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filterPrivacy="1" codeName="ThisWorkbook" defaultThemeVersion="153222"/>
  <bookViews>
    <workbookView xWindow="0" yWindow="0" windowWidth="28800" windowHeight="13080" tabRatio="837"/>
  </bookViews>
  <sheets>
    <sheet name="Cover" sheetId="8" r:id="rId1"/>
    <sheet name="Controls" sheetId="4" r:id="rId2"/>
    <sheet name="Data" sheetId="1" r:id="rId3"/>
    <sheet name="Coeffs" sheetId="12" r:id="rId4"/>
    <sheet name="Forecast drivers" sheetId="14" r:id="rId5"/>
    <sheet name="Selected forecast drivers" sheetId="9" r:id="rId6"/>
    <sheet name="Modelled unit costs" sheetId="13" r:id="rId7"/>
    <sheet name="Modelled costs" sheetId="3" r:id="rId8"/>
    <sheet name="Allowance" sheetId="11"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net1" localSheetId="4" hidden="1">{"NET",#N/A,FALSE,"401C11"}</definedName>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localSheetId="4" hidden="1">{"NET",#N/A,FALSE,"401C11"}</definedName>
    <definedName name="__net1" hidden="1">{"NET",#N/A,FALSE,"401C11"}</definedName>
    <definedName name="_1_0__123Grap" hidden="1">'[3]#REF'!#REF!</definedName>
    <definedName name="_1_123Grap" hidden="1">'[4]#REF'!#REF!</definedName>
    <definedName name="_123Graph_F" hidden="1">'[5]Chelmsford '!$G$18:$G$28</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xlnm._FilterDatabase" localSheetId="2" hidden="1">Data!$A$7:$M$175</definedName>
    <definedName name="_xlnm._FilterDatabase" localSheetId="7" hidden="1">'Modelled costs'!$A$7:$E$7</definedName>
    <definedName name="_Key1" localSheetId="4" hidden="1">'[2]#REF'!#REF!</definedName>
    <definedName name="_Key1" hidden="1">'[2]#REF'!#REF!</definedName>
    <definedName name="_Key2" localSheetId="4" hidden="1">#REF!</definedName>
    <definedName name="_Key2" hidden="1">#REF!</definedName>
    <definedName name="_net1" localSheetId="4" hidden="1">{"NET",#N/A,FALSE,"401C11"}</definedName>
    <definedName name="_net1" hidden="1">{"NET",#N/A,FALSE,"401C11"}</definedName>
    <definedName name="_Order1" hidden="1">255</definedName>
    <definedName name="_Order2" hidden="1">255</definedName>
    <definedName name="_Sort" localSheetId="4" hidden="1">#REF!</definedName>
    <definedName name="_Sort" hidden="1">#REF!</definedName>
    <definedName name="a" localSheetId="4" hidden="1">{"CHARGE",#N/A,FALSE,"401C11"}</definedName>
    <definedName name="a" hidden="1">{"CHARGE",#N/A,FALSE,"401C11"}</definedName>
    <definedName name="aa" localSheetId="4" hidden="1">{"CHARGE",#N/A,FALSE,"401C11"}</definedName>
    <definedName name="aa" hidden="1">{"CHARGE",#N/A,FALSE,"401C11"}</definedName>
    <definedName name="aaa" localSheetId="4" hidden="1">{"CHARGE",#N/A,FALSE,"401C11"}</definedName>
    <definedName name="aaa" hidden="1">{"CHARGE",#N/A,FALSE,"401C11"}</definedName>
    <definedName name="aaaa" localSheetId="4" hidden="1">{"CHARGE",#N/A,FALSE,"401C11"}</definedName>
    <definedName name="aaaa" hidden="1">{"CHARGE",#N/A,FALSE,"401C11"}</definedName>
    <definedName name="abc" localSheetId="4" hidden="1">{"NET",#N/A,FALSE,"401C11"}</definedName>
    <definedName name="abc" hidden="1">{"NET",#N/A,FALSE,"401C11"}</definedName>
    <definedName name="adbr" localSheetId="4" hidden="1">{"CHARGE",#N/A,FALSE,"401C11"}</definedName>
    <definedName name="adbr" hidden="1">{"CHARGE",#N/A,FALSE,"401C11"}</definedName>
    <definedName name="amp.totex">'[6]Exp''ture &amp; materiality'!$AE$182:$AE$200</definedName>
    <definedName name="amp.totex.compnames">'[6]Exp''ture &amp; materiality'!$A$182:$A$200</definedName>
    <definedName name="AVON" localSheetId="4">#REF!</definedName>
    <definedName name="AVON">#REF!</definedName>
    <definedName name="b" localSheetId="4" hidden="1">{"CHARGE",#N/A,FALSE,"401C11"}</definedName>
    <definedName name="b" hidden="1">{"CHARGE",#N/A,FALSE,"401C11"}</definedName>
    <definedName name="BEDS" localSheetId="4">#REF!</definedName>
    <definedName name="BEDS">#REF!</definedName>
    <definedName name="BERKS" localSheetId="4">#REF!</definedName>
    <definedName name="BERKS">#REF!</definedName>
    <definedName name="BMGHIndex" hidden="1">"O"</definedName>
    <definedName name="BUCKS" localSheetId="4">#REF!</definedName>
    <definedName name="BUCKS">#REF!</definedName>
    <definedName name="CAMBS" localSheetId="4">#REF!</definedName>
    <definedName name="CAMBS">#REF!</definedName>
    <definedName name="change1" localSheetId="4" hidden="1">{"CHARGE",#N/A,FALSE,"401C11"}</definedName>
    <definedName name="change1" hidden="1">{"CHARGE",#N/A,FALSE,"401C11"}</definedName>
    <definedName name="charge" localSheetId="4" hidden="1">{"CHARGE",#N/A,FALSE,"401C11"}</definedName>
    <definedName name="charge" hidden="1">{"CHARGE",#N/A,FALSE,"401C11"}</definedName>
    <definedName name="CHESHIRE" localSheetId="4">#REF!</definedName>
    <definedName name="CHESHIRE">#REF!</definedName>
    <definedName name="CHK_TOL">[7]InpActive!$F$1891</definedName>
    <definedName name="CHK_TOL_TAX">[7]InpActive!$F$1893</definedName>
    <definedName name="CLEVELAND" localSheetId="4">#REF!</definedName>
    <definedName name="CLEVELAND">#REF!</definedName>
    <definedName name="CLWYD" localSheetId="4">#REF!</definedName>
    <definedName name="CLWYD">#REF!</definedName>
    <definedName name="Codes" localSheetId="4">#REF!</definedName>
    <definedName name="Codes">#REF!</definedName>
    <definedName name="CORNWALL">#REF!</definedName>
    <definedName name="CUMBRIA">#REF!</definedName>
    <definedName name="da" hidden="1">#REF!</definedName>
    <definedName name="_xlnm.Database">#REF!</definedName>
    <definedName name="DERBYSHIRE">#REF!</definedName>
    <definedName name="DEVON">#REF!</definedName>
    <definedName name="dnonames">#REF!</definedName>
    <definedName name="dog" localSheetId="4" hidden="1">{"NET",#N/A,FALSE,"401C11"}</definedName>
    <definedName name="dog" hidden="1">{"NET",#N/A,FALSE,"401C11"}</definedName>
    <definedName name="DORSET" localSheetId="4">#REF!</definedName>
    <definedName name="DORSET">#REF!</definedName>
    <definedName name="DURHAM" localSheetId="4">#REF!</definedName>
    <definedName name="DURHAM">#REF!</definedName>
    <definedName name="DYFED" localSheetId="4">#REF!</definedName>
    <definedName name="DYFED">#REF!</definedName>
    <definedName name="E_SUSSEX">#REF!</definedName>
    <definedName name="eff_update">#REF!</definedName>
    <definedName name="el3.bp.capex">'[6]Exp''ture &amp; materiality'!$AG$66:$AG$84</definedName>
    <definedName name="el3.compnames">'[6]Exp''ture &amp; materiality'!$A$66:$A$84</definedName>
    <definedName name="ESSEX" localSheetId="4">#REF!</definedName>
    <definedName name="ESSEX">#REF!</definedName>
    <definedName name="EV__LASTREFTIME__" hidden="1">40339.4799074074</definedName>
    <definedName name="Expired" hidden="1">FALSE</definedName>
    <definedName name="F" localSheetId="4" hidden="1">{"bal",#N/A,FALSE,"working papers";"income",#N/A,FALSE,"working papers"}</definedName>
    <definedName name="F" hidden="1">{"bal",#N/A,FALSE,"working papers";"income",#N/A,FALSE,"working papers"}</definedName>
    <definedName name="fdraf" localSheetId="4" hidden="1">{"bal",#N/A,FALSE,"working papers";"income",#N/A,FALSE,"working papers"}</definedName>
    <definedName name="fdraf" hidden="1">{"bal",#N/A,FALSE,"working papers";"income",#N/A,FALSE,"working papers"}</definedName>
    <definedName name="Fdraft" localSheetId="4" hidden="1">{"bal",#N/A,FALSE,"working papers";"income",#N/A,FALSE,"working papers"}</definedName>
    <definedName name="Fdraft" hidden="1">{"bal",#N/A,FALSE,"working papers";"income",#N/A,FALSE,"working papers"}</definedName>
    <definedName name="fe" localSheetId="4">#REF!</definedName>
    <definedName name="fe">#REF!</definedName>
    <definedName name="Foutput" localSheetId="4" hidden="1">#REF!</definedName>
    <definedName name="Foutput" hidden="1">#REF!</definedName>
    <definedName name="fsdfffd" localSheetId="4" hidden="1">#REF!</definedName>
    <definedName name="fsdfffd" hidden="1">#REF!</definedName>
    <definedName name="fsdfsd" hidden="1">#REF!</definedName>
    <definedName name="fsfds" hidden="1">#REF!</definedName>
    <definedName name="fsfsd" hidden="1">#REF!</definedName>
    <definedName name="General">#REF!</definedName>
    <definedName name="General1">#REF!</definedName>
    <definedName name="General2">#REF!</definedName>
    <definedName name="GEOG9703">#REF!</definedName>
    <definedName name="gfff" localSheetId="4" hidden="1">{"CHARGE",#N/A,FALSE,"401C11"}</definedName>
    <definedName name="gfff" hidden="1">{"CHARGE",#N/A,FALSE,"401C11"}</definedName>
    <definedName name="GLOS" localSheetId="4">#REF!</definedName>
    <definedName name="GLOS">#REF!</definedName>
    <definedName name="gross" localSheetId="4" hidden="1">{"GROSS",#N/A,FALSE,"401C11"}</definedName>
    <definedName name="gross" hidden="1">{"GROSS",#N/A,FALSE,"401C11"}</definedName>
    <definedName name="gross1" localSheetId="4" hidden="1">{"GROSS",#N/A,FALSE,"401C11"}</definedName>
    <definedName name="gross1" hidden="1">{"GROSS",#N/A,FALSE,"401C11"}</definedName>
    <definedName name="GTR_MAN" localSheetId="4">#REF!</definedName>
    <definedName name="GTR_MAN">#REF!</definedName>
    <definedName name="GWENT" localSheetId="4">#REF!</definedName>
    <definedName name="GWENT">#REF!</definedName>
    <definedName name="GWYNEDD" localSheetId="4">#REF!</definedName>
    <definedName name="GWYNEDD">#REF!</definedName>
    <definedName name="HANTS">#REF!</definedName>
    <definedName name="hasdfjklhklj" localSheetId="4" hidden="1">{"NET",#N/A,FALSE,"401C11"}</definedName>
    <definedName name="hasdfjklhklj" hidden="1">{"NET",#N/A,FALSE,"401C11"}</definedName>
    <definedName name="help" localSheetId="4" hidden="1">{"CHARGE",#N/A,FALSE,"401C11"}</definedName>
    <definedName name="help" hidden="1">{"CHARGE",#N/A,FALSE,"401C11"}</definedName>
    <definedName name="HEREFORD_W" localSheetId="4">#REF!</definedName>
    <definedName name="HEREFORD_W">#REF!</definedName>
    <definedName name="HERTS" localSheetId="4">#REF!</definedName>
    <definedName name="HERTS">#REF!</definedName>
    <definedName name="hghghhj" localSheetId="4" hidden="1">{"CHARGE",#N/A,FALSE,"401C11"}</definedName>
    <definedName name="hghghhj" hidden="1">{"CHARGE",#N/A,FALSE,"401C11"}</definedName>
    <definedName name="HRG_Codes">#REF!</definedName>
    <definedName name="HTML_CodePage" hidden="1">1252</definedName>
    <definedName name="HTML_Control" localSheetId="4"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 localSheetId="4">#REF!</definedName>
    <definedName name="HUMBERSIDE">#REF!</definedName>
    <definedName name="I_OF_WIGHT" localSheetId="4">#REF!</definedName>
    <definedName name="I_OF_WIGHT">#REF!</definedName>
    <definedName name="ICD_Codes" localSheetId="4">#REF!</definedName>
    <definedName name="ICD_Codes">#REF!</definedName>
    <definedName name="interpretation">'[8]Catch up efficiency'!$I$7:$I$13</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FELL" hidden="1">#REF!</definedName>
    <definedName name="KENT" localSheetId="4">#REF!</definedName>
    <definedName name="KENT">#REF!</definedName>
    <definedName name="LANCS" localSheetId="4">#REF!</definedName>
    <definedName name="LANCS">#REF!</definedName>
    <definedName name="LEICS">#REF!</definedName>
    <definedName name="LINCS">#REF!</definedName>
    <definedName name="LONDON">#REF!</definedName>
    <definedName name="lst_acronyms">[9]F_Inputs_Clean!$C$7:$C$348</definedName>
    <definedName name="lst_all_companies">[9]Other_Inputs!$D$21:$U$21</definedName>
    <definedName name="lst_menus">'[9]Menu design'!$D$10:$I$10</definedName>
    <definedName name="lst_reference">[9]F_Inputs_Clean!$D$7:$D$348</definedName>
    <definedName name="lst_scenarios">[9]Scenarios!$E$3:$J$3</definedName>
    <definedName name="M_GLAM" localSheetId="4">#REF!</definedName>
    <definedName name="M_GLAM">#REF!</definedName>
    <definedName name="MERSEYSIDE" localSheetId="4">#REF!</definedName>
    <definedName name="MERSEYSIDE">#REF!</definedName>
    <definedName name="MFF_2014_15" localSheetId="4">#REF!</definedName>
    <definedName name="MFF_2014_15">#REF!</definedName>
    <definedName name="N_YORKS">#REF!</definedName>
    <definedName name="New" hidden="1">#REF!</definedName>
    <definedName name="NORFOLK">#REF!</definedName>
    <definedName name="NORTHANTS">#REF!</definedName>
    <definedName name="NORTHUMBERLAND">#REF!</definedName>
    <definedName name="NOTTS">#REF!</definedName>
    <definedName name="ODS_Care_Trust_List">#REF!</definedName>
    <definedName name="ODS_List">#REF!</definedName>
    <definedName name="OISIII" hidden="1">#REF!</definedName>
    <definedName name="OPCS_Codes">#REF!</definedName>
    <definedName name="opt_actuals">'[9]Control Panel'!$H$22</definedName>
    <definedName name="opt_actuals_percentage">'[9]Control Panel'!$H$26</definedName>
    <definedName name="opt_baseline_bid_threshold">'[9]Control Panel'!$H$18</definedName>
    <definedName name="opt_baseline_cap">'[9]Control Panel'!$H$20</definedName>
    <definedName name="opt_bids">'[9]Control Panel'!$H$13</definedName>
    <definedName name="opt_bids_percentage">'[9]Control Panel'!$H$16</definedName>
    <definedName name="opt_gearing">'[9]Control Panel'!$H$44</definedName>
    <definedName name="opt_tax">'[9]Control Panel'!$H$46</definedName>
    <definedName name="opt_wacc">'[9]Control Panel'!$H$42</definedName>
    <definedName name="OXON" localSheetId="4">#REF!</definedName>
    <definedName name="OXON">#REF!</definedName>
    <definedName name="POWYS" localSheetId="4">#REF!</definedName>
    <definedName name="POWYS">#REF!</definedName>
    <definedName name="qfx" localSheetId="4" hidden="1">{"NET",#N/A,FALSE,"401C11"}</definedName>
    <definedName name="qfx" hidden="1">{"NET",#N/A,FALSE,"401C11"}</definedName>
    <definedName name="qwefqefa" hidden="1">#REF!</definedName>
    <definedName name="real" localSheetId="4" hidden="1">#REF!</definedName>
    <definedName name="real" hidden="1">#REF!</definedName>
    <definedName name="rge" localSheetId="4">#REF!</definedName>
    <definedName name="rge">#REF!</definedName>
    <definedName name="rgwe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ound_dp">#REF!</definedName>
    <definedName name="rytry" localSheetId="4" hidden="1">{"NET",#N/A,FALSE,"401C11"}</definedName>
    <definedName name="rytry" hidden="1">{"NET",#N/A,FALSE,"401C11"}</definedName>
    <definedName name="S_GLAM" localSheetId="4">#REF!</definedName>
    <definedName name="S_GLAM">#REF!</definedName>
    <definedName name="S_YORKS" localSheetId="4">#REF!</definedName>
    <definedName name="S_YORKS">#REF!</definedName>
    <definedName name="SAPBEXrevision" hidden="1">1</definedName>
    <definedName name="SAPBEXsysID" hidden="1">"BWB"</definedName>
    <definedName name="SAPBEXwbID" hidden="1">"49ZLUKBQR0WG29D9LLI3IBIIT"</definedName>
    <definedName name="SHROPS" localSheetId="4">#REF!</definedName>
    <definedName name="SHROPS">#REF!</definedName>
    <definedName name="SOMERSET" localSheetId="4">#REF!</definedName>
    <definedName name="SOMERSET">#REF!</definedName>
    <definedName name="sort" localSheetId="4" hidden="1">#REF!</definedName>
    <definedName name="sort" hidden="1">#REF!</definedName>
    <definedName name="STAFFS">#REF!</definedName>
    <definedName name="SUFFOLK">#REF!</definedName>
    <definedName name="SURREY">#REF!</definedName>
    <definedName name="Table3.4" localSheetId="4" hidden="1">{"CHARGE",#N/A,FALSE,"401C11"}</definedName>
    <definedName name="Table3.4" hidden="1">{"CHARGE",#N/A,FALSE,"401C11"}</definedName>
    <definedName name="Test23" localSheetId="4" hidden="1">{"NET",#N/A,FALSE,"401C11"}</definedName>
    <definedName name="Test23" hidden="1">{"NET",#N/A,FALSE,"401C11"}</definedName>
    <definedName name="time">'[8]Catch up efficiency'!$C$6:$H$6</definedName>
    <definedName name="trdhtr" localSheetId="4" hidden="1">#REF!</definedName>
    <definedName name="trdhtr" hidden="1">#REF!</definedName>
    <definedName name="TRK_TOL">[7]InpActive!$F$1895</definedName>
    <definedName name="TYNE_WEAR" localSheetId="4">#REF!</definedName>
    <definedName name="TYNE_WEAR">#REF!</definedName>
    <definedName name="W_GLAM" localSheetId="4">#REF!</definedName>
    <definedName name="W_GLAM">#REF!</definedName>
    <definedName name="W_MIDS" localSheetId="4">#REF!</definedName>
    <definedName name="W_MIDS">#REF!</definedName>
    <definedName name="W_SUSSEX">#REF!</definedName>
    <definedName name="W_YORKS">#REF!</definedName>
    <definedName name="WARWICKS">#REF!</definedName>
    <definedName name="wdfw">#REF!</definedName>
    <definedName name="wedfw">#REF!</definedName>
    <definedName name="wefw">#REF!</definedName>
    <definedName name="wefwe">#REF!</definedName>
    <definedName name="wefwerf">#REF!</definedName>
    <definedName name="wert" localSheetId="4" hidden="1">{"GROSS",#N/A,FALSE,"401C11"}</definedName>
    <definedName name="wert" hidden="1">{"GROSS",#N/A,FALSE,"401C11"}</definedName>
    <definedName name="WILTS" localSheetId="4">#REF!</definedName>
    <definedName name="WILTS">#REF!</definedName>
    <definedName name="wombat" localSheetId="4" hidden="1">#REF!</definedName>
    <definedName name="wombat" hidden="1">#REF!</definedName>
    <definedName name="wotsthis" localSheetId="4"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4" hidden="1">{"CHARGE",#N/A,FALSE,"401C11"}</definedName>
    <definedName name="wrn.CHARGE." hidden="1">{"CHARGE",#N/A,FALSE,"401C11"}</definedName>
    <definedName name="wrn.GROSS." localSheetId="4" hidden="1">{"GROSS",#N/A,FALSE,"401C11"}</definedName>
    <definedName name="wrn.GROSS." hidden="1">{"GROSS",#N/A,FALSE,"401C11"}</definedName>
    <definedName name="wrn.NET." localSheetId="4" hidden="1">{"NET",#N/A,FALSE,"401C11"}</definedName>
    <definedName name="wrn.NET." hidden="1">{"NET",#N/A,FALSE,"401C11"}</definedName>
    <definedName name="wrn.papersdraft" localSheetId="4" hidden="1">{"bal",#N/A,FALSE,"working papers";"income",#N/A,FALSE,"working papers"}</definedName>
    <definedName name="wrn.papersdraft" hidden="1">{"bal",#N/A,FALSE,"working papers";"income",#N/A,FALSE,"working papers"}</definedName>
    <definedName name="wrn.Print._.5._.and._.12." localSheetId="4"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4"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4" hidden="1">{"bal",#N/A,FALSE,"working papers";"income",#N/A,FALSE,"working papers"}</definedName>
    <definedName name="wrn.wpapers." hidden="1">{"bal",#N/A,FALSE,"working papers";"income",#N/A,FALSE,"working papers"}</definedName>
    <definedName name="xxx" localSheetId="4" hidden="1">{"CHARGE",#N/A,FALSE,"401C11"}</definedName>
    <definedName name="xxx" hidden="1">{"CHARGE",#N/A,FALSE,"401C11"}</definedName>
    <definedName name="yhnry" localSheetId="4">#REF!</definedName>
    <definedName name="yhnry">#REF!</definedName>
    <definedName name="yyy" localSheetId="4" hidden="1">{"GROSS",#N/A,FALSE,"401C11"}</definedName>
    <definedName name="yyy" hidden="1">{"GROSS",#N/A,FALSE,"401C11"}</definedName>
    <definedName name="zzz" localSheetId="4" hidden="1">{"NET",#N/A,FALSE,"401C11"}</definedName>
    <definedName name="zzz" hidden="1">{"NET",#N/A,FALSE,"401C11"}</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1" l="1"/>
  <c r="F8" i="1"/>
  <c r="J8" i="1"/>
  <c r="M8" i="1"/>
  <c r="F9" i="1"/>
  <c r="G11" i="1" s="1"/>
  <c r="J9" i="1"/>
  <c r="M9" i="1"/>
  <c r="F10" i="1"/>
  <c r="G10" i="1"/>
  <c r="J10" i="1"/>
  <c r="K10" i="1"/>
  <c r="L10" i="1"/>
  <c r="M10" i="1"/>
  <c r="F11" i="1"/>
  <c r="J11" i="1"/>
  <c r="K11" i="1"/>
  <c r="M11" i="1" s="1"/>
  <c r="L11" i="1"/>
  <c r="F12" i="1"/>
  <c r="G12" i="1"/>
  <c r="J12" i="1"/>
  <c r="K12" i="1"/>
  <c r="L12" i="1"/>
  <c r="M12" i="1"/>
  <c r="F13" i="1"/>
  <c r="G13" i="1"/>
  <c r="J13" i="1"/>
  <c r="K13" i="1"/>
  <c r="M13" i="1" s="1"/>
  <c r="L13" i="1"/>
  <c r="F14" i="1"/>
  <c r="G14" i="1"/>
  <c r="J14" i="1"/>
  <c r="K14" i="1"/>
  <c r="L14" i="1"/>
  <c r="M14" i="1"/>
  <c r="F15" i="1"/>
  <c r="G15" i="1"/>
  <c r="J15" i="1"/>
  <c r="K15" i="1"/>
  <c r="M15" i="1" s="1"/>
  <c r="L15" i="1"/>
  <c r="F16" i="1"/>
  <c r="G16" i="1"/>
  <c r="J16" i="1"/>
  <c r="K16" i="1"/>
  <c r="L16" i="1"/>
  <c r="M16" i="1"/>
  <c r="E5" i="3" l="1"/>
  <c r="G12" i="13" l="1"/>
  <c r="D5" i="3" l="1"/>
  <c r="M163" i="1" l="1"/>
  <c r="M162" i="1"/>
  <c r="M149" i="1"/>
  <c r="M148" i="1"/>
  <c r="M135" i="1"/>
  <c r="M134" i="1"/>
  <c r="M121" i="1"/>
  <c r="M120" i="1"/>
  <c r="M107" i="1"/>
  <c r="M106" i="1"/>
  <c r="M93" i="1"/>
  <c r="M92" i="1"/>
  <c r="M79" i="1"/>
  <c r="M78" i="1"/>
  <c r="M65" i="1"/>
  <c r="M64" i="1"/>
  <c r="M51" i="1"/>
  <c r="M50" i="1"/>
  <c r="M37" i="1"/>
  <c r="M36" i="1"/>
  <c r="M23" i="1"/>
  <c r="M22" i="1"/>
  <c r="D13" i="13"/>
  <c r="J73" i="1"/>
  <c r="J81" i="1"/>
  <c r="J89" i="1"/>
  <c r="J97" i="1"/>
  <c r="J103" i="1"/>
  <c r="J107" i="1"/>
  <c r="J115" i="1"/>
  <c r="J119" i="1"/>
  <c r="J123" i="1"/>
  <c r="J131" i="1"/>
  <c r="J135" i="1"/>
  <c r="J139" i="1"/>
  <c r="J143" i="1"/>
  <c r="J147" i="1"/>
  <c r="J151" i="1"/>
  <c r="J153" i="1"/>
  <c r="J155" i="1"/>
  <c r="J157" i="1"/>
  <c r="J159" i="1"/>
  <c r="J161" i="1"/>
  <c r="J165" i="1"/>
  <c r="J167" i="1"/>
  <c r="J169" i="1"/>
  <c r="J173" i="1"/>
  <c r="J175" i="1"/>
  <c r="J55" i="1" l="1"/>
  <c r="D9" i="13"/>
  <c r="D10" i="13"/>
  <c r="D11" i="13"/>
  <c r="D15" i="13"/>
  <c r="D16" i="13"/>
  <c r="D17" i="13"/>
  <c r="J67" i="1"/>
  <c r="J77" i="1"/>
  <c r="J85" i="1"/>
  <c r="J93" i="1"/>
  <c r="J111" i="1"/>
  <c r="J127" i="1"/>
  <c r="J100" i="1"/>
  <c r="J57" i="1"/>
  <c r="J65" i="1"/>
  <c r="J71" i="1"/>
  <c r="J75" i="1"/>
  <c r="J79" i="1"/>
  <c r="J83" i="1"/>
  <c r="J95" i="1"/>
  <c r="J99" i="1"/>
  <c r="J109" i="1"/>
  <c r="D14" i="13"/>
  <c r="J113" i="1"/>
  <c r="J121" i="1"/>
  <c r="J125" i="1"/>
  <c r="J137" i="1"/>
  <c r="J141" i="1"/>
  <c r="J149" i="1"/>
  <c r="J156" i="1"/>
  <c r="J163" i="1"/>
  <c r="J145" i="1"/>
  <c r="J129" i="1"/>
  <c r="J105" i="1"/>
  <c r="J91" i="1"/>
  <c r="J24" i="1"/>
  <c r="J28" i="1"/>
  <c r="J40" i="1"/>
  <c r="J44" i="1"/>
  <c r="J52" i="1"/>
  <c r="J56" i="1"/>
  <c r="J64" i="1"/>
  <c r="J68" i="1"/>
  <c r="J72" i="1"/>
  <c r="J76" i="1"/>
  <c r="J80" i="1"/>
  <c r="J61" i="1"/>
  <c r="J171" i="1"/>
  <c r="J133" i="1"/>
  <c r="J117" i="1"/>
  <c r="J101" i="1"/>
  <c r="J87" i="1"/>
  <c r="J96" i="1"/>
  <c r="J108" i="1"/>
  <c r="J112" i="1"/>
  <c r="J124" i="1"/>
  <c r="J128" i="1"/>
  <c r="J136" i="1"/>
  <c r="J140" i="1"/>
  <c r="J148" i="1"/>
  <c r="J152" i="1"/>
  <c r="J164" i="1"/>
  <c r="J168" i="1"/>
  <c r="J51" i="1"/>
  <c r="J69" i="1"/>
  <c r="J84" i="1"/>
  <c r="J63" i="1"/>
  <c r="J172" i="1"/>
  <c r="J132" i="1"/>
  <c r="J116" i="1"/>
  <c r="J120" i="1"/>
  <c r="J104" i="1"/>
  <c r="J88" i="1"/>
  <c r="J49" i="1"/>
  <c r="J21" i="1"/>
  <c r="J92" i="1"/>
  <c r="J60" i="1"/>
  <c r="J48" i="1"/>
  <c r="J36" i="1"/>
  <c r="J20" i="1"/>
  <c r="E7" i="13"/>
  <c r="E9" i="13"/>
  <c r="E10" i="13"/>
  <c r="E11" i="13"/>
  <c r="E13" i="13"/>
  <c r="E14" i="13"/>
  <c r="E15" i="13"/>
  <c r="E16" i="13"/>
  <c r="E17" i="13"/>
  <c r="E12" i="13"/>
  <c r="E8" i="13"/>
  <c r="D7" i="13"/>
  <c r="J160" i="1"/>
  <c r="J144" i="1"/>
  <c r="J59" i="1"/>
  <c r="J45" i="1"/>
  <c r="J32" i="1"/>
  <c r="J17" i="1"/>
  <c r="J19" i="1"/>
  <c r="J23" i="1"/>
  <c r="J25" i="1"/>
  <c r="J27" i="1"/>
  <c r="J29" i="1"/>
  <c r="J31" i="1"/>
  <c r="J33" i="1"/>
  <c r="J35" i="1"/>
  <c r="J37" i="1"/>
  <c r="J39" i="1"/>
  <c r="J41" i="1"/>
  <c r="J43" i="1"/>
  <c r="J47" i="1"/>
  <c r="J53" i="1"/>
  <c r="J18" i="1"/>
  <c r="J22" i="1"/>
  <c r="J26" i="1"/>
  <c r="J30" i="1"/>
  <c r="J34" i="1"/>
  <c r="J38" i="1"/>
  <c r="J42" i="1"/>
  <c r="J46" i="1"/>
  <c r="J50" i="1"/>
  <c r="J54" i="1"/>
  <c r="J58" i="1"/>
  <c r="J62" i="1"/>
  <c r="J66" i="1"/>
  <c r="J70" i="1"/>
  <c r="J74" i="1"/>
  <c r="J78" i="1"/>
  <c r="J82" i="1"/>
  <c r="J86" i="1"/>
  <c r="J90" i="1"/>
  <c r="J94" i="1"/>
  <c r="J98" i="1"/>
  <c r="J102" i="1"/>
  <c r="J106" i="1"/>
  <c r="J110" i="1"/>
  <c r="J114" i="1"/>
  <c r="J118" i="1"/>
  <c r="J122" i="1"/>
  <c r="J126" i="1"/>
  <c r="J130" i="1"/>
  <c r="J134" i="1"/>
  <c r="J138" i="1"/>
  <c r="J142" i="1"/>
  <c r="J146" i="1"/>
  <c r="J150" i="1"/>
  <c r="J154" i="1"/>
  <c r="J158" i="1"/>
  <c r="J162" i="1"/>
  <c r="J166" i="1"/>
  <c r="J170" i="1"/>
  <c r="J174" i="1"/>
  <c r="L175" i="1"/>
  <c r="L173" i="1"/>
  <c r="L171" i="1"/>
  <c r="L169" i="1"/>
  <c r="L167" i="1"/>
  <c r="L165" i="1"/>
  <c r="L161" i="1"/>
  <c r="L159" i="1"/>
  <c r="L157" i="1"/>
  <c r="L155" i="1"/>
  <c r="L153" i="1"/>
  <c r="L151" i="1"/>
  <c r="L147" i="1"/>
  <c r="L145" i="1"/>
  <c r="L143" i="1"/>
  <c r="L141" i="1"/>
  <c r="L139" i="1"/>
  <c r="L137" i="1"/>
  <c r="L133" i="1"/>
  <c r="L131" i="1"/>
  <c r="L129" i="1"/>
  <c r="L127" i="1"/>
  <c r="L125" i="1"/>
  <c r="L123" i="1"/>
  <c r="L119" i="1"/>
  <c r="L117" i="1"/>
  <c r="L115" i="1"/>
  <c r="L113" i="1"/>
  <c r="L111" i="1"/>
  <c r="L109" i="1"/>
  <c r="L105" i="1"/>
  <c r="L103" i="1"/>
  <c r="L101" i="1"/>
  <c r="L99" i="1"/>
  <c r="L97" i="1"/>
  <c r="L87" i="1"/>
  <c r="L85" i="1"/>
  <c r="L83" i="1"/>
  <c r="L81" i="1"/>
  <c r="L77" i="1"/>
  <c r="L21" i="1"/>
  <c r="L19" i="1"/>
  <c r="L17" i="1"/>
  <c r="L75" i="1" l="1"/>
  <c r="L144" i="1"/>
  <c r="L150" i="1"/>
  <c r="L164" i="1"/>
  <c r="L168" i="1"/>
  <c r="L108" i="1"/>
  <c r="L112" i="1"/>
  <c r="L116" i="1"/>
  <c r="L122" i="1"/>
  <c r="L126" i="1"/>
  <c r="L130" i="1"/>
  <c r="L136" i="1"/>
  <c r="L140" i="1"/>
  <c r="L154" i="1"/>
  <c r="L158" i="1"/>
  <c r="L172" i="1"/>
  <c r="L25" i="1"/>
  <c r="L27" i="1"/>
  <c r="L29" i="1"/>
  <c r="L33" i="1"/>
  <c r="L35" i="1"/>
  <c r="L39" i="1"/>
  <c r="L41" i="1"/>
  <c r="L43" i="1"/>
  <c r="L45" i="1"/>
  <c r="L49" i="1"/>
  <c r="L55" i="1"/>
  <c r="L57" i="1"/>
  <c r="L59" i="1"/>
  <c r="L61" i="1"/>
  <c r="L63" i="1"/>
  <c r="L67" i="1"/>
  <c r="L69" i="1"/>
  <c r="L71" i="1"/>
  <c r="L73" i="1"/>
  <c r="L89" i="1"/>
  <c r="L91" i="1"/>
  <c r="L95" i="1"/>
  <c r="L31" i="1"/>
  <c r="L47" i="1"/>
  <c r="L53" i="1"/>
  <c r="L18" i="1"/>
  <c r="L20" i="1"/>
  <c r="L24" i="1"/>
  <c r="L26" i="1"/>
  <c r="L28" i="1"/>
  <c r="L30" i="1"/>
  <c r="L32" i="1"/>
  <c r="L34" i="1"/>
  <c r="L38" i="1"/>
  <c r="L40" i="1"/>
  <c r="L42" i="1"/>
  <c r="L44" i="1"/>
  <c r="L46" i="1"/>
  <c r="L48" i="1"/>
  <c r="L52" i="1"/>
  <c r="L54" i="1"/>
  <c r="L56" i="1"/>
  <c r="L58" i="1"/>
  <c r="L60" i="1"/>
  <c r="L62" i="1"/>
  <c r="L66" i="1"/>
  <c r="L68" i="1"/>
  <c r="L70" i="1"/>
  <c r="L72" i="1"/>
  <c r="L74" i="1"/>
  <c r="L76" i="1"/>
  <c r="L80" i="1"/>
  <c r="L82" i="1"/>
  <c r="L84" i="1"/>
  <c r="L86" i="1"/>
  <c r="L88" i="1"/>
  <c r="L90" i="1"/>
  <c r="L94" i="1"/>
  <c r="L98" i="1"/>
  <c r="L102" i="1"/>
  <c r="L96" i="1"/>
  <c r="L100" i="1"/>
  <c r="L104" i="1"/>
  <c r="L110" i="1"/>
  <c r="L114" i="1"/>
  <c r="L118" i="1"/>
  <c r="L124" i="1"/>
  <c r="L128" i="1"/>
  <c r="L132" i="1"/>
  <c r="L138" i="1"/>
  <c r="L142" i="1"/>
  <c r="L146" i="1"/>
  <c r="L152" i="1"/>
  <c r="L156" i="1"/>
  <c r="L160" i="1"/>
  <c r="L166" i="1"/>
  <c r="L170" i="1"/>
  <c r="L174" i="1"/>
  <c r="W16" i="14" l="1"/>
  <c r="W37" i="14"/>
  <c r="AG22" i="14" l="1"/>
  <c r="AG21" i="14"/>
  <c r="AG20" i="14"/>
  <c r="AG19" i="14"/>
  <c r="AG18" i="14"/>
  <c r="AG17" i="14"/>
  <c r="AG16" i="14"/>
  <c r="AC16" i="14"/>
  <c r="AB16" i="14"/>
  <c r="AA16" i="14"/>
  <c r="Z16" i="14"/>
  <c r="Y16" i="14"/>
  <c r="X16" i="14"/>
  <c r="AG15" i="14"/>
  <c r="AG14" i="14"/>
  <c r="AG13" i="14"/>
  <c r="AG12" i="14"/>
  <c r="AG11" i="14"/>
  <c r="AG10" i="14"/>
  <c r="AG43" i="14"/>
  <c r="AG42" i="14"/>
  <c r="AG41" i="14"/>
  <c r="AG40" i="14"/>
  <c r="AG39" i="14"/>
  <c r="AG38" i="14"/>
  <c r="AG37" i="14"/>
  <c r="AC37" i="14"/>
  <c r="AB37" i="14"/>
  <c r="AA37" i="14"/>
  <c r="Z37" i="14"/>
  <c r="Y37" i="14"/>
  <c r="X37" i="14"/>
  <c r="AG36" i="14"/>
  <c r="AG35" i="14"/>
  <c r="AG34" i="14"/>
  <c r="AG33" i="14"/>
  <c r="AG32" i="14"/>
  <c r="AG31" i="14"/>
  <c r="G8" i="13" l="1"/>
  <c r="F7" i="13"/>
  <c r="K5" i="13"/>
  <c r="J5" i="13"/>
  <c r="G14" i="11" l="1"/>
  <c r="G18" i="11" l="1"/>
  <c r="G21" i="11" l="1"/>
  <c r="G17" i="11"/>
  <c r="G15" i="11" l="1"/>
  <c r="G19" i="11"/>
  <c r="G23" i="11"/>
  <c r="G16" i="11"/>
  <c r="G20" i="11"/>
  <c r="G13" i="11"/>
  <c r="G22" i="11"/>
  <c r="D38" i="14"/>
  <c r="D17" i="14"/>
  <c r="F94" i="1"/>
  <c r="F175" i="1"/>
  <c r="F171" i="1"/>
  <c r="F167" i="1"/>
  <c r="F163" i="1"/>
  <c r="F159" i="1"/>
  <c r="F155" i="1"/>
  <c r="F151" i="1"/>
  <c r="C38" i="14"/>
  <c r="C17" i="14"/>
  <c r="F93" i="1"/>
  <c r="F174" i="1"/>
  <c r="F170" i="1"/>
  <c r="F166" i="1"/>
  <c r="F162" i="1"/>
  <c r="F158" i="1"/>
  <c r="F154" i="1"/>
  <c r="F150" i="1"/>
  <c r="F38" i="14"/>
  <c r="F17" i="14"/>
  <c r="F96" i="1"/>
  <c r="B38" i="14"/>
  <c r="F92" i="1"/>
  <c r="O32" i="14"/>
  <c r="AC32" i="14" s="1"/>
  <c r="O11" i="14"/>
  <c r="AC11" i="14" s="1"/>
  <c r="G16" i="9" s="1"/>
  <c r="H16" i="9" s="1"/>
  <c r="M15" i="14"/>
  <c r="AA15" i="14" s="1"/>
  <c r="G34" i="9" s="1"/>
  <c r="F173" i="1"/>
  <c r="I36" i="14"/>
  <c r="F169" i="1"/>
  <c r="F165" i="1"/>
  <c r="F161" i="1"/>
  <c r="F157" i="1"/>
  <c r="F153" i="1"/>
  <c r="F149" i="1"/>
  <c r="E38" i="14"/>
  <c r="E17" i="14"/>
  <c r="F95" i="1"/>
  <c r="N32" i="14"/>
  <c r="AB32" i="14" s="1"/>
  <c r="N11" i="14"/>
  <c r="AB11" i="14" s="1"/>
  <c r="G15" i="9" s="1"/>
  <c r="H15" i="9" s="1"/>
  <c r="J32" i="14"/>
  <c r="J11" i="14"/>
  <c r="L36" i="14"/>
  <c r="Z36" i="14" s="1"/>
  <c r="L15" i="14"/>
  <c r="Z15" i="14" s="1"/>
  <c r="G33" i="9" s="1"/>
  <c r="F172" i="1"/>
  <c r="F168" i="1"/>
  <c r="F164" i="1"/>
  <c r="F160" i="1"/>
  <c r="F156" i="1"/>
  <c r="F152" i="1"/>
  <c r="F148" i="1"/>
  <c r="H34" i="9" l="1"/>
  <c r="E35" i="3" s="1"/>
  <c r="H33" i="9"/>
  <c r="D34" i="3" s="1"/>
  <c r="K36" i="14"/>
  <c r="Y36" i="14" s="1"/>
  <c r="J36" i="14"/>
  <c r="W36" i="14" s="1"/>
  <c r="H11" i="14"/>
  <c r="L32" i="14"/>
  <c r="Z32" i="14" s="1"/>
  <c r="K15" i="14"/>
  <c r="Y15" i="14" s="1"/>
  <c r="G32" i="9" s="1"/>
  <c r="O36" i="14"/>
  <c r="AC36" i="14" s="1"/>
  <c r="M11" i="14"/>
  <c r="AA11" i="14" s="1"/>
  <c r="G14" i="9" s="1"/>
  <c r="H14" i="9" s="1"/>
  <c r="H32" i="14"/>
  <c r="I11" i="14"/>
  <c r="M32" i="14"/>
  <c r="AA32" i="14" s="1"/>
  <c r="N15" i="14"/>
  <c r="AB15" i="14" s="1"/>
  <c r="G35" i="9" s="1"/>
  <c r="I32" i="14"/>
  <c r="J15" i="14"/>
  <c r="W15" i="14" s="1"/>
  <c r="N36" i="14"/>
  <c r="AB36" i="14" s="1"/>
  <c r="L11" i="14"/>
  <c r="Z11" i="14" s="1"/>
  <c r="G13" i="9" s="1"/>
  <c r="H13" i="9" s="1"/>
  <c r="O15" i="14"/>
  <c r="AC15" i="14" s="1"/>
  <c r="G36" i="9" s="1"/>
  <c r="K166" i="1"/>
  <c r="M166" i="1" s="1"/>
  <c r="X32" i="14"/>
  <c r="W32" i="14"/>
  <c r="X11" i="14"/>
  <c r="W11" i="14"/>
  <c r="K32" i="14"/>
  <c r="Y32" i="14" s="1"/>
  <c r="K94" i="1"/>
  <c r="M94" i="1" s="1"/>
  <c r="B17" i="14"/>
  <c r="K150" i="1"/>
  <c r="M150" i="1" s="1"/>
  <c r="K170" i="1"/>
  <c r="M170" i="1" s="1"/>
  <c r="H15" i="14"/>
  <c r="K155" i="1"/>
  <c r="M155" i="1" s="1"/>
  <c r="K171" i="1"/>
  <c r="M171" i="1" s="1"/>
  <c r="I15" i="14"/>
  <c r="M36" i="14"/>
  <c r="AA36" i="14" s="1"/>
  <c r="K11" i="14"/>
  <c r="Y11" i="14" s="1"/>
  <c r="G12" i="9" s="1"/>
  <c r="H12" i="9" s="1"/>
  <c r="H36" i="14"/>
  <c r="K154" i="1"/>
  <c r="M154" i="1" s="1"/>
  <c r="K158" i="1"/>
  <c r="M158" i="1" s="1"/>
  <c r="K151" i="1"/>
  <c r="M151" i="1" s="1"/>
  <c r="K167" i="1"/>
  <c r="M167" i="1" s="1"/>
  <c r="K164" i="1"/>
  <c r="M164" i="1" s="1"/>
  <c r="K153" i="1"/>
  <c r="M153" i="1" s="1"/>
  <c r="K169" i="1"/>
  <c r="M169" i="1" s="1"/>
  <c r="K152" i="1"/>
  <c r="M152" i="1" s="1"/>
  <c r="K168" i="1"/>
  <c r="M168" i="1" s="1"/>
  <c r="K157" i="1"/>
  <c r="M157" i="1" s="1"/>
  <c r="K173" i="1"/>
  <c r="M173" i="1" s="1"/>
  <c r="K174" i="1"/>
  <c r="M174" i="1" s="1"/>
  <c r="K159" i="1"/>
  <c r="M159" i="1" s="1"/>
  <c r="K175" i="1"/>
  <c r="M175" i="1" s="1"/>
  <c r="K156" i="1"/>
  <c r="M156" i="1" s="1"/>
  <c r="K172" i="1"/>
  <c r="M172" i="1" s="1"/>
  <c r="K161" i="1"/>
  <c r="M161" i="1" s="1"/>
  <c r="K96" i="1"/>
  <c r="M96" i="1" s="1"/>
  <c r="K160" i="1"/>
  <c r="M160" i="1" s="1"/>
  <c r="K95" i="1"/>
  <c r="M95" i="1" s="1"/>
  <c r="K165" i="1"/>
  <c r="M165" i="1" s="1"/>
  <c r="K13" i="3"/>
  <c r="C8" i="13"/>
  <c r="C12" i="13"/>
  <c r="H12" i="13" s="1"/>
  <c r="D23" i="11"/>
  <c r="D14" i="11"/>
  <c r="D18" i="11"/>
  <c r="G155" i="1"/>
  <c r="G156" i="1"/>
  <c r="G160" i="1"/>
  <c r="G150" i="1"/>
  <c r="G171" i="1"/>
  <c r="G95" i="1"/>
  <c r="G151" i="1"/>
  <c r="G154" i="1"/>
  <c r="G152" i="1"/>
  <c r="G153" i="1"/>
  <c r="G169" i="1"/>
  <c r="G161" i="1"/>
  <c r="G168" i="1"/>
  <c r="G172" i="1"/>
  <c r="G170" i="1"/>
  <c r="G167" i="1"/>
  <c r="G94" i="1"/>
  <c r="G96" i="1"/>
  <c r="G166" i="1"/>
  <c r="D35" i="3" l="1"/>
  <c r="H32" i="9"/>
  <c r="E33" i="3" s="1"/>
  <c r="H36" i="9"/>
  <c r="E37" i="3" s="1"/>
  <c r="E34" i="3"/>
  <c r="H35" i="9"/>
  <c r="D36" i="3" s="1"/>
  <c r="X36" i="14"/>
  <c r="X15" i="14"/>
  <c r="H8" i="13"/>
  <c r="G165" i="1"/>
  <c r="G164" i="1"/>
  <c r="G159" i="1"/>
  <c r="G157" i="1"/>
  <c r="G175" i="1"/>
  <c r="G158" i="1"/>
  <c r="G173" i="1"/>
  <c r="G174" i="1"/>
  <c r="D33" i="3" l="1"/>
  <c r="E36" i="3"/>
  <c r="D37" i="3"/>
  <c r="F24" i="11"/>
  <c r="E24" i="11"/>
  <c r="B9" i="3" l="1"/>
  <c r="C9" i="3"/>
  <c r="B10" i="3"/>
  <c r="C10" i="3"/>
  <c r="B11" i="3"/>
  <c r="C11" i="3"/>
  <c r="B12" i="3"/>
  <c r="C12" i="3"/>
  <c r="B13" i="3"/>
  <c r="C13" i="3"/>
  <c r="B14" i="3"/>
  <c r="C14" i="3"/>
  <c r="B15" i="3"/>
  <c r="C15" i="3"/>
  <c r="B16" i="3"/>
  <c r="C16" i="3"/>
  <c r="B17" i="3"/>
  <c r="C17" i="3"/>
  <c r="B18" i="3"/>
  <c r="C18" i="3"/>
  <c r="B19" i="3"/>
  <c r="C19" i="3"/>
  <c r="B20" i="3"/>
  <c r="C20" i="3"/>
  <c r="B21" i="3"/>
  <c r="C21" i="3"/>
  <c r="B22" i="3"/>
  <c r="C22" i="3"/>
  <c r="B23" i="3"/>
  <c r="C23" i="3"/>
  <c r="B24" i="3"/>
  <c r="C24" i="3"/>
  <c r="B25" i="3"/>
  <c r="C25" i="3"/>
  <c r="B26" i="3"/>
  <c r="C26" i="3"/>
  <c r="B27" i="3"/>
  <c r="C27" i="3"/>
  <c r="B28" i="3"/>
  <c r="C28" i="3"/>
  <c r="B29" i="3"/>
  <c r="C29" i="3"/>
  <c r="B30" i="3"/>
  <c r="C30" i="3"/>
  <c r="B31" i="3"/>
  <c r="C31" i="3"/>
  <c r="B32" i="3"/>
  <c r="C32" i="3"/>
  <c r="B33" i="3"/>
  <c r="C33" i="3"/>
  <c r="B34" i="3"/>
  <c r="C34" i="3"/>
  <c r="B35" i="3"/>
  <c r="C35" i="3"/>
  <c r="B36" i="3"/>
  <c r="C36" i="3"/>
  <c r="B37" i="3"/>
  <c r="C37" i="3"/>
  <c r="B38" i="3"/>
  <c r="C38" i="3"/>
  <c r="B39" i="3"/>
  <c r="C39" i="3"/>
  <c r="B40" i="3"/>
  <c r="C40" i="3"/>
  <c r="B41" i="3"/>
  <c r="C41" i="3"/>
  <c r="B42" i="3"/>
  <c r="C42" i="3"/>
  <c r="B43" i="3"/>
  <c r="C43" i="3"/>
  <c r="B44" i="3"/>
  <c r="C44" i="3"/>
  <c r="B45" i="3"/>
  <c r="C45" i="3"/>
  <c r="B46" i="3"/>
  <c r="C46" i="3"/>
  <c r="B47" i="3"/>
  <c r="C47" i="3"/>
  <c r="B48" i="3"/>
  <c r="C48" i="3"/>
  <c r="B49" i="3"/>
  <c r="C49" i="3"/>
  <c r="B50" i="3"/>
  <c r="C50" i="3"/>
  <c r="B51" i="3"/>
  <c r="C51" i="3"/>
  <c r="B52" i="3"/>
  <c r="C52" i="3"/>
  <c r="B53" i="3"/>
  <c r="C53" i="3"/>
  <c r="B54" i="3"/>
  <c r="C54" i="3"/>
  <c r="B55" i="3"/>
  <c r="C55" i="3"/>
  <c r="B56" i="3"/>
  <c r="C56" i="3"/>
  <c r="B57" i="3"/>
  <c r="C57" i="3"/>
  <c r="B58" i="3"/>
  <c r="C58" i="3"/>
  <c r="B59" i="3"/>
  <c r="C59" i="3"/>
  <c r="B60" i="3"/>
  <c r="C60" i="3"/>
  <c r="B61" i="3"/>
  <c r="C61" i="3"/>
  <c r="B62" i="3"/>
  <c r="C62" i="3"/>
  <c r="B8" i="3"/>
  <c r="C8" i="3"/>
  <c r="A8" i="9" l="1"/>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7" i="9"/>
  <c r="E55" i="9" l="1"/>
  <c r="E47" i="9"/>
  <c r="E39" i="9"/>
  <c r="E31" i="9"/>
  <c r="E23" i="9"/>
  <c r="E15" i="9"/>
  <c r="F15" i="9" s="1"/>
  <c r="E7" i="9"/>
  <c r="E54" i="9"/>
  <c r="E46" i="9"/>
  <c r="E34" i="9"/>
  <c r="E26" i="9"/>
  <c r="E18" i="9"/>
  <c r="E10" i="9"/>
  <c r="E61" i="9"/>
  <c r="E57" i="9"/>
  <c r="E53" i="9"/>
  <c r="E49" i="9"/>
  <c r="E45" i="9"/>
  <c r="E41" i="9"/>
  <c r="E37" i="9"/>
  <c r="E33" i="9"/>
  <c r="E29" i="9"/>
  <c r="E25" i="9"/>
  <c r="E21" i="9"/>
  <c r="E17" i="9"/>
  <c r="E13" i="9"/>
  <c r="F13" i="9" s="1"/>
  <c r="E9" i="9"/>
  <c r="E59" i="9"/>
  <c r="E51" i="9"/>
  <c r="E43" i="9"/>
  <c r="E35" i="9"/>
  <c r="E27" i="9"/>
  <c r="E19" i="9"/>
  <c r="E11" i="9"/>
  <c r="E58" i="9"/>
  <c r="E50" i="9"/>
  <c r="E42" i="9"/>
  <c r="E38" i="9"/>
  <c r="E30" i="9"/>
  <c r="E22" i="9"/>
  <c r="E14" i="9"/>
  <c r="F14" i="9" s="1"/>
  <c r="E60" i="9"/>
  <c r="E56" i="9"/>
  <c r="E52" i="9"/>
  <c r="E48" i="9"/>
  <c r="E44" i="9"/>
  <c r="E40" i="9"/>
  <c r="E36" i="9"/>
  <c r="E32" i="9"/>
  <c r="E28" i="9"/>
  <c r="E24" i="9"/>
  <c r="E20" i="9"/>
  <c r="E16" i="9"/>
  <c r="F16" i="9" s="1"/>
  <c r="E12" i="9"/>
  <c r="F12" i="9" s="1"/>
  <c r="E8" i="9"/>
  <c r="A57" i="3"/>
  <c r="A49" i="3"/>
  <c r="A41" i="3"/>
  <c r="A56" i="3"/>
  <c r="A52" i="3"/>
  <c r="A48" i="3"/>
  <c r="A44" i="3"/>
  <c r="A40" i="3"/>
  <c r="A32" i="3"/>
  <c r="A28" i="3"/>
  <c r="A24" i="3"/>
  <c r="A20" i="3"/>
  <c r="A12" i="3"/>
  <c r="A53" i="3"/>
  <c r="A45" i="3"/>
  <c r="A8" i="3"/>
  <c r="A55" i="3"/>
  <c r="A51" i="3"/>
  <c r="A47" i="3"/>
  <c r="A43" i="3"/>
  <c r="A39" i="3"/>
  <c r="A31" i="3"/>
  <c r="A27" i="3"/>
  <c r="A23" i="3"/>
  <c r="A19" i="3"/>
  <c r="A11" i="3"/>
  <c r="A54" i="3"/>
  <c r="A50" i="3"/>
  <c r="A46" i="3"/>
  <c r="A42" i="3"/>
  <c r="A38" i="3"/>
  <c r="A30" i="3"/>
  <c r="A26" i="3"/>
  <c r="A22" i="3"/>
  <c r="A18" i="3"/>
  <c r="A10" i="3"/>
  <c r="A29" i="3"/>
  <c r="A25" i="3"/>
  <c r="A21" i="3"/>
  <c r="A9" i="3"/>
  <c r="A60" i="3"/>
  <c r="A36" i="3"/>
  <c r="A16" i="3"/>
  <c r="A59" i="3"/>
  <c r="A35" i="3"/>
  <c r="A15" i="3"/>
  <c r="A62" i="3"/>
  <c r="A58" i="3"/>
  <c r="A34" i="3"/>
  <c r="A14" i="3"/>
  <c r="A61" i="3"/>
  <c r="A37" i="3"/>
  <c r="A33" i="3"/>
  <c r="A17" i="3"/>
  <c r="A13" i="3"/>
  <c r="F146" i="1"/>
  <c r="F134" i="1"/>
  <c r="F125" i="1"/>
  <c r="F112" i="1"/>
  <c r="F103" i="1"/>
  <c r="F90" i="1"/>
  <c r="F78" i="1"/>
  <c r="F77" i="1"/>
  <c r="F65" i="1"/>
  <c r="F60" i="1"/>
  <c r="D35" i="14"/>
  <c r="D14" i="14"/>
  <c r="F52" i="1"/>
  <c r="F47" i="1"/>
  <c r="F39" i="1"/>
  <c r="F34" i="1"/>
  <c r="F22" i="1"/>
  <c r="F17" i="1"/>
  <c r="F145" i="1"/>
  <c r="F141" i="1"/>
  <c r="F137" i="1"/>
  <c r="F132" i="1"/>
  <c r="F128" i="1"/>
  <c r="F124" i="1"/>
  <c r="F120" i="1"/>
  <c r="F119" i="1"/>
  <c r="F115" i="1"/>
  <c r="F111" i="1"/>
  <c r="C39" i="14"/>
  <c r="C18" i="14"/>
  <c r="F107" i="1"/>
  <c r="F102" i="1"/>
  <c r="F98" i="1"/>
  <c r="F89" i="1"/>
  <c r="F85" i="1"/>
  <c r="F81" i="1"/>
  <c r="F76" i="1"/>
  <c r="F72" i="1"/>
  <c r="F68" i="1"/>
  <c r="B37" i="14"/>
  <c r="B16" i="14"/>
  <c r="F64" i="1"/>
  <c r="O35" i="14"/>
  <c r="AC35" i="14" s="1"/>
  <c r="O14" i="14"/>
  <c r="AC14" i="14" s="1"/>
  <c r="G31" i="9" s="1"/>
  <c r="F63" i="1"/>
  <c r="K35" i="14"/>
  <c r="Y35" i="14" s="1"/>
  <c r="K14" i="14"/>
  <c r="Y14" i="14" s="1"/>
  <c r="G27" i="9" s="1"/>
  <c r="F59" i="1"/>
  <c r="F55" i="1"/>
  <c r="C35" i="14"/>
  <c r="C14" i="14"/>
  <c r="F51" i="1"/>
  <c r="F46" i="1"/>
  <c r="F42" i="1"/>
  <c r="F38" i="1"/>
  <c r="M33" i="14"/>
  <c r="AA33" i="14" s="1"/>
  <c r="M12" i="14"/>
  <c r="AA12" i="14" s="1"/>
  <c r="G19" i="9" s="1"/>
  <c r="F33" i="1"/>
  <c r="I33" i="14"/>
  <c r="I12" i="14"/>
  <c r="F29" i="1"/>
  <c r="E33" i="14"/>
  <c r="E12" i="14"/>
  <c r="F25" i="1"/>
  <c r="F20" i="1"/>
  <c r="F138" i="1"/>
  <c r="K40" i="14"/>
  <c r="Y40" i="14" s="1"/>
  <c r="K19" i="14"/>
  <c r="Y19" i="14" s="1"/>
  <c r="G47" i="9" s="1"/>
  <c r="F129" i="1"/>
  <c r="C19" i="14"/>
  <c r="F121" i="1"/>
  <c r="F116" i="1"/>
  <c r="D39" i="14"/>
  <c r="D18" i="14"/>
  <c r="F108" i="1"/>
  <c r="I17" i="14"/>
  <c r="F99" i="1"/>
  <c r="F82" i="1"/>
  <c r="F73" i="1"/>
  <c r="F56" i="1"/>
  <c r="I34" i="14"/>
  <c r="I13" i="14"/>
  <c r="F43" i="1"/>
  <c r="J33" i="14"/>
  <c r="J12" i="14"/>
  <c r="F30" i="1"/>
  <c r="F21" i="1"/>
  <c r="F144" i="1"/>
  <c r="F140" i="1"/>
  <c r="F136" i="1"/>
  <c r="F131" i="1"/>
  <c r="F127" i="1"/>
  <c r="F123" i="1"/>
  <c r="F118" i="1"/>
  <c r="F114" i="1"/>
  <c r="F39" i="14"/>
  <c r="F18" i="14"/>
  <c r="F110" i="1"/>
  <c r="B39" i="14"/>
  <c r="B18" i="14"/>
  <c r="F106" i="1"/>
  <c r="F105" i="1"/>
  <c r="F101" i="1"/>
  <c r="G38" i="14"/>
  <c r="G17" i="14"/>
  <c r="F97" i="1"/>
  <c r="F88" i="1"/>
  <c r="F84" i="1"/>
  <c r="F80" i="1"/>
  <c r="F75" i="1"/>
  <c r="F71" i="1"/>
  <c r="F67" i="1"/>
  <c r="N35" i="14"/>
  <c r="AB35" i="14" s="1"/>
  <c r="N14" i="14"/>
  <c r="AB14" i="14" s="1"/>
  <c r="G30" i="9" s="1"/>
  <c r="F62" i="1"/>
  <c r="J35" i="14"/>
  <c r="J14" i="14"/>
  <c r="F58" i="1"/>
  <c r="F54" i="1"/>
  <c r="B14" i="14"/>
  <c r="F50" i="1"/>
  <c r="O34" i="14"/>
  <c r="AC34" i="14" s="1"/>
  <c r="O13" i="14"/>
  <c r="AC13" i="14" s="1"/>
  <c r="G26" i="9" s="1"/>
  <c r="F49" i="1"/>
  <c r="K34" i="14"/>
  <c r="Y34" i="14" s="1"/>
  <c r="K13" i="14"/>
  <c r="Y13" i="14" s="1"/>
  <c r="G22" i="9" s="1"/>
  <c r="F45" i="1"/>
  <c r="F41" i="1"/>
  <c r="F37" i="1"/>
  <c r="L33" i="14"/>
  <c r="Z33" i="14" s="1"/>
  <c r="F32" i="1"/>
  <c r="F28" i="1"/>
  <c r="D33" i="14"/>
  <c r="D12" i="14"/>
  <c r="F24" i="1"/>
  <c r="M31" i="14"/>
  <c r="M10" i="14"/>
  <c r="F19" i="1"/>
  <c r="E10" i="14"/>
  <c r="F142" i="1"/>
  <c r="F133" i="1"/>
  <c r="F86" i="1"/>
  <c r="G37" i="14"/>
  <c r="G16" i="14"/>
  <c r="F69" i="1"/>
  <c r="F26" i="1"/>
  <c r="F147" i="1"/>
  <c r="F143" i="1"/>
  <c r="F139" i="1"/>
  <c r="F135" i="1"/>
  <c r="L40" i="14"/>
  <c r="Z40" i="14" s="1"/>
  <c r="F130" i="1"/>
  <c r="H40" i="14"/>
  <c r="H19" i="14"/>
  <c r="F126" i="1"/>
  <c r="D19" i="14"/>
  <c r="F122" i="1"/>
  <c r="F117" i="1"/>
  <c r="F113" i="1"/>
  <c r="E39" i="14"/>
  <c r="E18" i="14"/>
  <c r="F109" i="1"/>
  <c r="N38" i="14"/>
  <c r="AB38" i="14" s="1"/>
  <c r="N17" i="14"/>
  <c r="AB17" i="14" s="1"/>
  <c r="G40" i="9" s="1"/>
  <c r="F104" i="1"/>
  <c r="J17" i="14"/>
  <c r="F100" i="1"/>
  <c r="F91" i="1"/>
  <c r="F87" i="1"/>
  <c r="K85" i="1"/>
  <c r="M85" i="1" s="1"/>
  <c r="F83" i="1"/>
  <c r="F79" i="1"/>
  <c r="F74" i="1"/>
  <c r="H37" i="14"/>
  <c r="H16" i="14"/>
  <c r="F70" i="1"/>
  <c r="D37" i="14"/>
  <c r="D16" i="14"/>
  <c r="F66" i="1"/>
  <c r="M35" i="14"/>
  <c r="AA35" i="14" s="1"/>
  <c r="M14" i="14"/>
  <c r="AA14" i="14" s="1"/>
  <c r="G29" i="9" s="1"/>
  <c r="F61" i="1"/>
  <c r="I35" i="14"/>
  <c r="I14" i="14"/>
  <c r="F57" i="1"/>
  <c r="F53" i="1"/>
  <c r="N34" i="14"/>
  <c r="AB34" i="14" s="1"/>
  <c r="N13" i="14"/>
  <c r="AB13" i="14" s="1"/>
  <c r="G25" i="9" s="1"/>
  <c r="F48" i="1"/>
  <c r="J34" i="14"/>
  <c r="F44" i="1"/>
  <c r="F13" i="14"/>
  <c r="F40" i="1"/>
  <c r="B13" i="14"/>
  <c r="F36" i="1"/>
  <c r="O33" i="14"/>
  <c r="AC33" i="14" s="1"/>
  <c r="O12" i="14"/>
  <c r="AC12" i="14" s="1"/>
  <c r="G21" i="9" s="1"/>
  <c r="F35" i="1"/>
  <c r="F31" i="1"/>
  <c r="F27" i="1"/>
  <c r="C12" i="14"/>
  <c r="F23" i="1"/>
  <c r="L31" i="14"/>
  <c r="L10" i="14"/>
  <c r="F18" i="1"/>
  <c r="H31" i="14"/>
  <c r="D10" i="14"/>
  <c r="H31" i="9" l="1"/>
  <c r="E32" i="3" s="1"/>
  <c r="H21" i="9"/>
  <c r="D22" i="3" s="1"/>
  <c r="H29" i="9"/>
  <c r="E30" i="3" s="1"/>
  <c r="H26" i="9"/>
  <c r="E27" i="3" s="1"/>
  <c r="H47" i="9"/>
  <c r="E48" i="3" s="1"/>
  <c r="H27" i="9"/>
  <c r="D28" i="3" s="1"/>
  <c r="H19" i="9"/>
  <c r="D20" i="3" s="1"/>
  <c r="H25" i="9"/>
  <c r="E26" i="3" s="1"/>
  <c r="H40" i="9"/>
  <c r="E41" i="3" s="1"/>
  <c r="H22" i="9"/>
  <c r="E23" i="3" s="1"/>
  <c r="H30" i="9"/>
  <c r="D31" i="3" s="1"/>
  <c r="F20" i="9"/>
  <c r="F36" i="9"/>
  <c r="F52" i="9"/>
  <c r="F22" i="9"/>
  <c r="F50" i="9"/>
  <c r="F27" i="9"/>
  <c r="F59" i="9"/>
  <c r="F21" i="9"/>
  <c r="F37" i="9"/>
  <c r="F53" i="9"/>
  <c r="F18" i="9"/>
  <c r="F54" i="9"/>
  <c r="F31" i="9"/>
  <c r="F8" i="9"/>
  <c r="F24" i="9"/>
  <c r="F40" i="9"/>
  <c r="F56" i="9"/>
  <c r="F30" i="9"/>
  <c r="F58" i="9"/>
  <c r="F35" i="9"/>
  <c r="F9" i="9"/>
  <c r="F25" i="9"/>
  <c r="F41" i="9"/>
  <c r="F57" i="9"/>
  <c r="F26" i="9"/>
  <c r="F7" i="9"/>
  <c r="F39" i="9"/>
  <c r="F28" i="9"/>
  <c r="F44" i="9"/>
  <c r="F60" i="9"/>
  <c r="F38" i="9"/>
  <c r="F11" i="9"/>
  <c r="F43" i="9"/>
  <c r="F29" i="9"/>
  <c r="F45" i="9"/>
  <c r="F61" i="9"/>
  <c r="F34" i="9"/>
  <c r="F47" i="9"/>
  <c r="F32" i="9"/>
  <c r="F48" i="9"/>
  <c r="F42" i="9"/>
  <c r="F19" i="9"/>
  <c r="F51" i="9"/>
  <c r="F17" i="9"/>
  <c r="F33" i="9"/>
  <c r="F49" i="9"/>
  <c r="F10" i="9"/>
  <c r="F46" i="9"/>
  <c r="F23" i="9"/>
  <c r="F55" i="9"/>
  <c r="J39" i="14"/>
  <c r="X39" i="14" s="1"/>
  <c r="E19" i="14"/>
  <c r="M40" i="14"/>
  <c r="AA40" i="14" s="1"/>
  <c r="L17" i="14"/>
  <c r="Z17" i="14" s="1"/>
  <c r="G38" i="9" s="1"/>
  <c r="O18" i="14"/>
  <c r="AC18" i="14" s="1"/>
  <c r="G46" i="9" s="1"/>
  <c r="B40" i="14"/>
  <c r="N19" i="14"/>
  <c r="AB19" i="14" s="1"/>
  <c r="G50" i="9" s="1"/>
  <c r="M17" i="14"/>
  <c r="AA17" i="14" s="1"/>
  <c r="G39" i="9" s="1"/>
  <c r="H39" i="14"/>
  <c r="I40" i="14"/>
  <c r="H17" i="14"/>
  <c r="V17" i="14" s="1"/>
  <c r="L38" i="14"/>
  <c r="Z38" i="14" s="1"/>
  <c r="K18" i="14"/>
  <c r="Y18" i="14" s="1"/>
  <c r="G42" i="9" s="1"/>
  <c r="O39" i="14"/>
  <c r="AC39" i="14" s="1"/>
  <c r="J19" i="14"/>
  <c r="X19" i="14" s="1"/>
  <c r="N40" i="14"/>
  <c r="AB40" i="14" s="1"/>
  <c r="M38" i="14"/>
  <c r="AA38" i="14" s="1"/>
  <c r="K41" i="14"/>
  <c r="Y41" i="14" s="1"/>
  <c r="K42" i="14"/>
  <c r="Y42" i="14" s="1"/>
  <c r="F41" i="14"/>
  <c r="F42" i="14"/>
  <c r="E41" i="14"/>
  <c r="E42" i="14"/>
  <c r="B17" i="13"/>
  <c r="G17" i="13" s="1"/>
  <c r="D40" i="14"/>
  <c r="G41" i="14"/>
  <c r="G42" i="14"/>
  <c r="N18" i="14"/>
  <c r="AB18" i="14" s="1"/>
  <c r="G45" i="9" s="1"/>
  <c r="L41" i="14"/>
  <c r="Z41" i="14" s="1"/>
  <c r="L42" i="14"/>
  <c r="Z42" i="14" s="1"/>
  <c r="I38" i="14"/>
  <c r="B20" i="14"/>
  <c r="B21" i="14"/>
  <c r="C41" i="14"/>
  <c r="C42" i="14"/>
  <c r="C17" i="13"/>
  <c r="H17" i="13" s="1"/>
  <c r="K18" i="3"/>
  <c r="O20" i="14"/>
  <c r="AC20" i="14" s="1"/>
  <c r="G56" i="9" s="1"/>
  <c r="O21" i="14"/>
  <c r="AC21" i="14" s="1"/>
  <c r="G61" i="9" s="1"/>
  <c r="O19" i="14"/>
  <c r="AC19" i="14" s="1"/>
  <c r="G51" i="9" s="1"/>
  <c r="J41" i="14"/>
  <c r="W41" i="14" s="1"/>
  <c r="J42" i="14"/>
  <c r="O17" i="14"/>
  <c r="AC17" i="14" s="1"/>
  <c r="G41" i="9" s="1"/>
  <c r="E40" i="14"/>
  <c r="D20" i="14"/>
  <c r="D21" i="14"/>
  <c r="H41" i="14"/>
  <c r="H42" i="14"/>
  <c r="L18" i="14"/>
  <c r="Z18" i="14" s="1"/>
  <c r="G43" i="9" s="1"/>
  <c r="C40" i="14"/>
  <c r="H38" i="14"/>
  <c r="S38" i="14" s="1"/>
  <c r="G18" i="14"/>
  <c r="K39" i="14"/>
  <c r="Y39" i="14" s="1"/>
  <c r="F19" i="14"/>
  <c r="J40" i="14"/>
  <c r="X40" i="14" s="1"/>
  <c r="I20" i="14"/>
  <c r="I21" i="14"/>
  <c r="M41" i="14"/>
  <c r="AA41" i="14" s="1"/>
  <c r="M42" i="14"/>
  <c r="AA42" i="14" s="1"/>
  <c r="G19" i="14"/>
  <c r="B41" i="14"/>
  <c r="B42" i="14"/>
  <c r="G20" i="14"/>
  <c r="G21" i="14"/>
  <c r="L20" i="14"/>
  <c r="Z20" i="14" s="1"/>
  <c r="G53" i="9" s="1"/>
  <c r="L21" i="14"/>
  <c r="Z21" i="14" s="1"/>
  <c r="G58" i="9" s="1"/>
  <c r="N20" i="14"/>
  <c r="AB20" i="14" s="1"/>
  <c r="G55" i="9" s="1"/>
  <c r="N21" i="14"/>
  <c r="AB21" i="14" s="1"/>
  <c r="G60" i="9" s="1"/>
  <c r="K81" i="1"/>
  <c r="M81" i="1" s="1"/>
  <c r="C20" i="14"/>
  <c r="C21" i="14"/>
  <c r="J20" i="14"/>
  <c r="W20" i="14" s="1"/>
  <c r="J21" i="14"/>
  <c r="H20" i="14"/>
  <c r="H21" i="14"/>
  <c r="M20" i="14"/>
  <c r="AA20" i="14" s="1"/>
  <c r="G54" i="9" s="1"/>
  <c r="M21" i="14"/>
  <c r="AA21" i="14" s="1"/>
  <c r="G59" i="9" s="1"/>
  <c r="N41" i="14"/>
  <c r="AB41" i="14" s="1"/>
  <c r="N42" i="14"/>
  <c r="AB42" i="14" s="1"/>
  <c r="I39" i="14"/>
  <c r="K20" i="14"/>
  <c r="Y20" i="14" s="1"/>
  <c r="G52" i="9" s="1"/>
  <c r="K21" i="14"/>
  <c r="Y21" i="14" s="1"/>
  <c r="G57" i="9" s="1"/>
  <c r="O41" i="14"/>
  <c r="AC41" i="14" s="1"/>
  <c r="O42" i="14"/>
  <c r="AC42" i="14" s="1"/>
  <c r="O40" i="14"/>
  <c r="AC40" i="14" s="1"/>
  <c r="O38" i="14"/>
  <c r="AC38" i="14" s="1"/>
  <c r="J18" i="14"/>
  <c r="X18" i="14" s="1"/>
  <c r="N39" i="14"/>
  <c r="AB39" i="14" s="1"/>
  <c r="M19" i="14"/>
  <c r="AA19" i="14" s="1"/>
  <c r="G49" i="9" s="1"/>
  <c r="D41" i="14"/>
  <c r="D42" i="14"/>
  <c r="L39" i="14"/>
  <c r="Z39" i="14" s="1"/>
  <c r="F20" i="14"/>
  <c r="F21" i="14"/>
  <c r="G39" i="14"/>
  <c r="B19" i="14"/>
  <c r="F40" i="14"/>
  <c r="E20" i="14"/>
  <c r="E21" i="14"/>
  <c r="I41" i="14"/>
  <c r="I42" i="14"/>
  <c r="H18" i="14"/>
  <c r="G40" i="14"/>
  <c r="F12" i="14"/>
  <c r="G13" i="14"/>
  <c r="F10" i="14"/>
  <c r="J31" i="14"/>
  <c r="W31" i="14" s="1"/>
  <c r="L13" i="14"/>
  <c r="Z13" i="14" s="1"/>
  <c r="G23" i="9" s="1"/>
  <c r="C31" i="14"/>
  <c r="N12" i="14"/>
  <c r="AB12" i="14" s="1"/>
  <c r="G20" i="9" s="1"/>
  <c r="E34" i="14"/>
  <c r="L14" i="14"/>
  <c r="Z14" i="14" s="1"/>
  <c r="G28" i="9" s="1"/>
  <c r="C37" i="14"/>
  <c r="K33" i="14"/>
  <c r="Y33" i="14" s="1"/>
  <c r="F33" i="14"/>
  <c r="C13" i="14"/>
  <c r="E16" i="14"/>
  <c r="O10" i="14"/>
  <c r="AC10" i="14" s="1"/>
  <c r="B10" i="14"/>
  <c r="F31" i="14"/>
  <c r="H13" i="14"/>
  <c r="L34" i="14"/>
  <c r="Z34" i="14" s="1"/>
  <c r="B12" i="14"/>
  <c r="N33" i="14"/>
  <c r="AB33" i="14" s="1"/>
  <c r="L35" i="14"/>
  <c r="Z35" i="14" s="1"/>
  <c r="E37" i="14"/>
  <c r="G10" i="14"/>
  <c r="O31" i="14"/>
  <c r="AC31" i="14" s="1"/>
  <c r="H14" i="14"/>
  <c r="B31" i="14"/>
  <c r="N10" i="14"/>
  <c r="D13" i="14"/>
  <c r="H34" i="14"/>
  <c r="G14" i="14"/>
  <c r="F16" i="14"/>
  <c r="K10" i="14"/>
  <c r="Y10" i="14" s="1"/>
  <c r="G7" i="9" s="1"/>
  <c r="B33" i="14"/>
  <c r="M13" i="14"/>
  <c r="AA13" i="14" s="1"/>
  <c r="G24" i="9" s="1"/>
  <c r="I31" i="14"/>
  <c r="G31" i="14"/>
  <c r="H35" i="14"/>
  <c r="J10" i="14"/>
  <c r="W10" i="14" s="1"/>
  <c r="N31" i="14"/>
  <c r="D34" i="14"/>
  <c r="G35" i="14"/>
  <c r="F37" i="14"/>
  <c r="C10" i="14"/>
  <c r="K31" i="14"/>
  <c r="Y31" i="14" s="1"/>
  <c r="E13" i="14"/>
  <c r="M34" i="14"/>
  <c r="AA34" i="14" s="1"/>
  <c r="C16" i="14"/>
  <c r="K76" i="1"/>
  <c r="M76" i="1" s="1"/>
  <c r="K77" i="1"/>
  <c r="M77" i="1" s="1"/>
  <c r="X17" i="14"/>
  <c r="W17" i="14"/>
  <c r="X35" i="14"/>
  <c r="W35" i="14"/>
  <c r="X12" i="14"/>
  <c r="W12" i="14"/>
  <c r="X34" i="14"/>
  <c r="W34" i="14"/>
  <c r="X33" i="14"/>
  <c r="W33" i="14"/>
  <c r="X14" i="14"/>
  <c r="W14" i="14"/>
  <c r="H10" i="14"/>
  <c r="K56" i="1"/>
  <c r="M56" i="1" s="1"/>
  <c r="F14" i="14"/>
  <c r="Z31" i="14"/>
  <c r="K46" i="1"/>
  <c r="J13" i="14"/>
  <c r="K119" i="1"/>
  <c r="M18" i="14"/>
  <c r="AA18" i="14" s="1"/>
  <c r="G44" i="9" s="1"/>
  <c r="K29" i="1"/>
  <c r="M29" i="1" s="1"/>
  <c r="G12" i="14"/>
  <c r="J38" i="14"/>
  <c r="K115" i="1"/>
  <c r="M115" i="1" s="1"/>
  <c r="I18" i="14"/>
  <c r="M39" i="14"/>
  <c r="AA39" i="14" s="1"/>
  <c r="K132" i="1"/>
  <c r="M132" i="1" s="1"/>
  <c r="L19" i="14"/>
  <c r="Z19" i="14" s="1"/>
  <c r="G48" i="9" s="1"/>
  <c r="AA10" i="14"/>
  <c r="K33" i="1"/>
  <c r="K12" i="14"/>
  <c r="Y12" i="14" s="1"/>
  <c r="G17" i="9" s="1"/>
  <c r="K55" i="1"/>
  <c r="M55" i="1" s="1"/>
  <c r="E14" i="14"/>
  <c r="K17" i="1"/>
  <c r="I10" i="14"/>
  <c r="AA31" i="14"/>
  <c r="K34" i="1"/>
  <c r="L12" i="14"/>
  <c r="Z12" i="14" s="1"/>
  <c r="G18" i="9" s="1"/>
  <c r="K82" i="1"/>
  <c r="M82" i="1" s="1"/>
  <c r="K103" i="1"/>
  <c r="K17" i="14"/>
  <c r="Y17" i="14" s="1"/>
  <c r="G37" i="9" s="1"/>
  <c r="Z10" i="14"/>
  <c r="G8" i="9" s="1"/>
  <c r="K30" i="1"/>
  <c r="M30" i="1" s="1"/>
  <c r="H12" i="14"/>
  <c r="K38" i="14"/>
  <c r="Y38" i="14" s="1"/>
  <c r="K129" i="1"/>
  <c r="M129" i="1" s="1"/>
  <c r="I19" i="14"/>
  <c r="K72" i="1"/>
  <c r="M72" i="1" s="1"/>
  <c r="K89" i="1"/>
  <c r="K111" i="1"/>
  <c r="M111" i="1" s="1"/>
  <c r="K138" i="1"/>
  <c r="M138" i="1" s="1"/>
  <c r="K39" i="1"/>
  <c r="M39" i="1" s="1"/>
  <c r="K108" i="1"/>
  <c r="M108" i="1" s="1"/>
  <c r="K69" i="1"/>
  <c r="M69" i="1" s="1"/>
  <c r="G34" i="14"/>
  <c r="K25" i="1"/>
  <c r="M25" i="1" s="1"/>
  <c r="K42" i="1"/>
  <c r="M42" i="1" s="1"/>
  <c r="K128" i="1"/>
  <c r="M128" i="1" s="1"/>
  <c r="E31" i="14"/>
  <c r="K73" i="1"/>
  <c r="M73" i="1" s="1"/>
  <c r="F35" i="14"/>
  <c r="C33" i="14"/>
  <c r="G33" i="14"/>
  <c r="B34" i="14"/>
  <c r="F34" i="14"/>
  <c r="E35" i="14"/>
  <c r="K59" i="1"/>
  <c r="K137" i="1"/>
  <c r="M137" i="1" s="1"/>
  <c r="H33" i="14"/>
  <c r="K52" i="1"/>
  <c r="M52" i="1" s="1"/>
  <c r="K86" i="1"/>
  <c r="M86" i="1" s="1"/>
  <c r="K125" i="1"/>
  <c r="M125" i="1" s="1"/>
  <c r="D31" i="14"/>
  <c r="K68" i="1"/>
  <c r="M68" i="1" s="1"/>
  <c r="K124" i="1"/>
  <c r="M124" i="1" s="1"/>
  <c r="K141" i="1"/>
  <c r="M141" i="1" s="1"/>
  <c r="K144" i="1"/>
  <c r="M144" i="1" s="1"/>
  <c r="C34" i="14"/>
  <c r="K43" i="1"/>
  <c r="M43" i="1" s="1"/>
  <c r="B35" i="14"/>
  <c r="K90" i="1"/>
  <c r="M90" i="1" s="1"/>
  <c r="K112" i="1"/>
  <c r="M112" i="1" s="1"/>
  <c r="K116" i="1"/>
  <c r="M116" i="1" s="1"/>
  <c r="K75" i="1"/>
  <c r="M75" i="1" s="1"/>
  <c r="K123" i="1"/>
  <c r="M123" i="1" s="1"/>
  <c r="K27" i="1"/>
  <c r="M27" i="1" s="1"/>
  <c r="K44" i="1"/>
  <c r="M44" i="1" s="1"/>
  <c r="K61" i="1"/>
  <c r="M61" i="1" s="1"/>
  <c r="K74" i="1"/>
  <c r="M74" i="1" s="1"/>
  <c r="K91" i="1"/>
  <c r="M91" i="1" s="1"/>
  <c r="K113" i="1"/>
  <c r="M113" i="1" s="1"/>
  <c r="K117" i="1"/>
  <c r="M117" i="1" s="1"/>
  <c r="K126" i="1"/>
  <c r="M126" i="1" s="1"/>
  <c r="K143" i="1"/>
  <c r="K24" i="1"/>
  <c r="M24" i="1" s="1"/>
  <c r="K54" i="1"/>
  <c r="M54" i="1" s="1"/>
  <c r="K80" i="1"/>
  <c r="M80" i="1" s="1"/>
  <c r="K127" i="1"/>
  <c r="M127" i="1" s="1"/>
  <c r="K63" i="1"/>
  <c r="K102" i="1"/>
  <c r="M102" i="1" s="1"/>
  <c r="K28" i="1"/>
  <c r="M28" i="1" s="1"/>
  <c r="K26" i="1"/>
  <c r="M26" i="1" s="1"/>
  <c r="K142" i="1"/>
  <c r="M142" i="1" s="1"/>
  <c r="K32" i="1"/>
  <c r="K84" i="1"/>
  <c r="M84" i="1" s="1"/>
  <c r="K31" i="1"/>
  <c r="M31" i="1" s="1"/>
  <c r="K48" i="1"/>
  <c r="K100" i="1"/>
  <c r="M100" i="1" s="1"/>
  <c r="K130" i="1"/>
  <c r="M130" i="1" s="1"/>
  <c r="K147" i="1"/>
  <c r="M147" i="1" s="1"/>
  <c r="K62" i="1"/>
  <c r="K136" i="1"/>
  <c r="M136" i="1" s="1"/>
  <c r="K21" i="1"/>
  <c r="M21" i="1" s="1"/>
  <c r="K20" i="1"/>
  <c r="M20" i="1" s="1"/>
  <c r="K71" i="1"/>
  <c r="M71" i="1" s="1"/>
  <c r="K47" i="1"/>
  <c r="K60" i="1"/>
  <c r="M60" i="1" s="1"/>
  <c r="K99" i="1"/>
  <c r="M99" i="1" s="1"/>
  <c r="K97" i="1"/>
  <c r="M97" i="1" s="1"/>
  <c r="K98" i="1"/>
  <c r="M98" i="1" s="1"/>
  <c r="K146" i="1"/>
  <c r="M146" i="1" s="1"/>
  <c r="K45" i="1"/>
  <c r="K101" i="1"/>
  <c r="K131" i="1"/>
  <c r="K18" i="1"/>
  <c r="K35" i="1"/>
  <c r="K53" i="1"/>
  <c r="M53" i="1" s="1"/>
  <c r="K66" i="1"/>
  <c r="M66" i="1" s="1"/>
  <c r="K83" i="1"/>
  <c r="M83" i="1" s="1"/>
  <c r="K104" i="1"/>
  <c r="K122" i="1"/>
  <c r="M122" i="1" s="1"/>
  <c r="K41" i="1"/>
  <c r="M41" i="1" s="1"/>
  <c r="K67" i="1"/>
  <c r="M67" i="1" s="1"/>
  <c r="K105" i="1"/>
  <c r="K114" i="1"/>
  <c r="M114" i="1" s="1"/>
  <c r="K38" i="1"/>
  <c r="M38" i="1" s="1"/>
  <c r="K145" i="1"/>
  <c r="M145" i="1" s="1"/>
  <c r="K88" i="1"/>
  <c r="M88" i="1" s="1"/>
  <c r="K133" i="1"/>
  <c r="M133" i="1" s="1"/>
  <c r="K58" i="1"/>
  <c r="M58" i="1" s="1"/>
  <c r="K110" i="1"/>
  <c r="M110" i="1" s="1"/>
  <c r="K118" i="1"/>
  <c r="K140" i="1"/>
  <c r="M140" i="1" s="1"/>
  <c r="K40" i="1"/>
  <c r="M40" i="1" s="1"/>
  <c r="K57" i="1"/>
  <c r="M57" i="1" s="1"/>
  <c r="K70" i="1"/>
  <c r="M70" i="1" s="1"/>
  <c r="K87" i="1"/>
  <c r="M87" i="1" s="1"/>
  <c r="K109" i="1"/>
  <c r="M109" i="1" s="1"/>
  <c r="K139" i="1"/>
  <c r="M139" i="1" s="1"/>
  <c r="K19" i="1"/>
  <c r="K49" i="1"/>
  <c r="B13" i="13"/>
  <c r="G13" i="13" s="1"/>
  <c r="K10" i="3"/>
  <c r="B10" i="13"/>
  <c r="G10" i="13" s="1"/>
  <c r="K17" i="3"/>
  <c r="K16" i="3"/>
  <c r="K12" i="3"/>
  <c r="K15" i="3"/>
  <c r="B15" i="13"/>
  <c r="G15" i="13" s="1"/>
  <c r="B9" i="13"/>
  <c r="G9" i="13" s="1"/>
  <c r="K11" i="3"/>
  <c r="B11" i="13"/>
  <c r="G11" i="13" s="1"/>
  <c r="B7" i="13"/>
  <c r="G7" i="13" s="1"/>
  <c r="B16" i="13"/>
  <c r="G16" i="13" s="1"/>
  <c r="K14" i="3"/>
  <c r="C13" i="13"/>
  <c r="H13" i="13" s="1"/>
  <c r="B14" i="13"/>
  <c r="G14" i="13" s="1"/>
  <c r="K8" i="3"/>
  <c r="C9" i="13"/>
  <c r="H9" i="13" s="1"/>
  <c r="C16" i="13"/>
  <c r="H16" i="13" s="1"/>
  <c r="C15" i="13"/>
  <c r="H15" i="13" s="1"/>
  <c r="C11" i="13"/>
  <c r="H11" i="13" s="1"/>
  <c r="C14" i="13"/>
  <c r="H14" i="13" s="1"/>
  <c r="C10" i="13"/>
  <c r="H10" i="13" s="1"/>
  <c r="C7" i="13"/>
  <c r="H7" i="13" s="1"/>
  <c r="D22" i="11"/>
  <c r="D21" i="11"/>
  <c r="D17" i="11"/>
  <c r="D20" i="11"/>
  <c r="D15" i="11"/>
  <c r="D16" i="11"/>
  <c r="D19" i="11"/>
  <c r="G73" i="1"/>
  <c r="G34" i="1"/>
  <c r="G39" i="1"/>
  <c r="G60" i="1"/>
  <c r="G112" i="1"/>
  <c r="G125" i="1"/>
  <c r="G146" i="1"/>
  <c r="G83" i="1"/>
  <c r="G119" i="1"/>
  <c r="G124" i="1"/>
  <c r="G35" i="1"/>
  <c r="G63" i="1"/>
  <c r="G67" i="1"/>
  <c r="G127" i="1"/>
  <c r="G147" i="1"/>
  <c r="G89" i="1"/>
  <c r="G24" i="1"/>
  <c r="G132" i="1"/>
  <c r="G52" i="1"/>
  <c r="G97" i="1"/>
  <c r="G138" i="1"/>
  <c r="G140" i="1"/>
  <c r="G30" i="1"/>
  <c r="G77" i="1"/>
  <c r="G139" i="1"/>
  <c r="G82" i="1"/>
  <c r="G46" i="1"/>
  <c r="G128" i="1"/>
  <c r="G20" i="1"/>
  <c r="G49" i="1"/>
  <c r="G80" i="1"/>
  <c r="G114" i="1"/>
  <c r="G42" i="1"/>
  <c r="G41" i="1"/>
  <c r="G129" i="1"/>
  <c r="G61" i="1"/>
  <c r="G87" i="1"/>
  <c r="G103" i="1"/>
  <c r="G116" i="1"/>
  <c r="G62" i="1"/>
  <c r="G71" i="1"/>
  <c r="G70" i="1"/>
  <c r="G72" i="1"/>
  <c r="G44" i="1"/>
  <c r="G69" i="1"/>
  <c r="G33" i="1"/>
  <c r="G84" i="1"/>
  <c r="G18" i="1"/>
  <c r="G40" i="1"/>
  <c r="G54" i="1"/>
  <c r="G55" i="1"/>
  <c r="G53" i="1"/>
  <c r="G144" i="1"/>
  <c r="G145" i="1"/>
  <c r="G142" i="1"/>
  <c r="G143" i="1"/>
  <c r="G43" i="1"/>
  <c r="G76" i="1"/>
  <c r="G75" i="1"/>
  <c r="G74" i="1"/>
  <c r="G137" i="1"/>
  <c r="G136" i="1"/>
  <c r="G122" i="1"/>
  <c r="G81" i="1"/>
  <c r="G85" i="1"/>
  <c r="G141" i="1"/>
  <c r="G48" i="1"/>
  <c r="G113" i="1"/>
  <c r="G115" i="1"/>
  <c r="G45" i="1"/>
  <c r="G126" i="1"/>
  <c r="G17" i="1"/>
  <c r="G38" i="1"/>
  <c r="G59" i="1"/>
  <c r="G21" i="1"/>
  <c r="G47" i="1"/>
  <c r="G32" i="1"/>
  <c r="G27" i="1"/>
  <c r="G56" i="1"/>
  <c r="G108" i="1"/>
  <c r="G100" i="1"/>
  <c r="G102" i="1"/>
  <c r="G101" i="1"/>
  <c r="G105" i="1"/>
  <c r="G104" i="1"/>
  <c r="G109" i="1"/>
  <c r="G111" i="1"/>
  <c r="G110" i="1"/>
  <c r="G68" i="1"/>
  <c r="G98" i="1"/>
  <c r="G130" i="1"/>
  <c r="G131" i="1"/>
  <c r="G86" i="1"/>
  <c r="G58" i="1"/>
  <c r="G123" i="1"/>
  <c r="G66" i="1"/>
  <c r="G117" i="1"/>
  <c r="G28" i="1"/>
  <c r="G118" i="1"/>
  <c r="G91" i="1"/>
  <c r="G26" i="1"/>
  <c r="G133" i="1"/>
  <c r="G31" i="1"/>
  <c r="G25" i="1"/>
  <c r="G88" i="1"/>
  <c r="G57" i="1"/>
  <c r="G19" i="1"/>
  <c r="D32" i="3" l="1"/>
  <c r="D26" i="3"/>
  <c r="D41" i="3"/>
  <c r="E20" i="3"/>
  <c r="D27" i="3"/>
  <c r="D48" i="3"/>
  <c r="E31" i="3"/>
  <c r="D30" i="3"/>
  <c r="H17" i="9"/>
  <c r="D18" i="3" s="1"/>
  <c r="H52" i="9"/>
  <c r="E53" i="3" s="1"/>
  <c r="H53" i="9"/>
  <c r="D54" i="3" s="1"/>
  <c r="H43" i="9"/>
  <c r="D44" i="3" s="1"/>
  <c r="H46" i="9"/>
  <c r="E47" i="3" s="1"/>
  <c r="H8" i="9"/>
  <c r="D9" i="3" s="1"/>
  <c r="H18" i="9"/>
  <c r="D19" i="3" s="1"/>
  <c r="H7" i="9"/>
  <c r="E8" i="3" s="1"/>
  <c r="H28" i="9"/>
  <c r="D29" i="3" s="1"/>
  <c r="H23" i="9"/>
  <c r="D24" i="3" s="1"/>
  <c r="H54" i="9"/>
  <c r="D55" i="3" s="1"/>
  <c r="H60" i="9"/>
  <c r="E61" i="3" s="1"/>
  <c r="H51" i="9"/>
  <c r="D52" i="3" s="1"/>
  <c r="H45" i="9"/>
  <c r="D46" i="3" s="1"/>
  <c r="H39" i="9"/>
  <c r="E40" i="3" s="1"/>
  <c r="H38" i="9"/>
  <c r="D39" i="3" s="1"/>
  <c r="H42" i="9"/>
  <c r="E43" i="3" s="1"/>
  <c r="H37" i="9"/>
  <c r="E38" i="3" s="1"/>
  <c r="H55" i="9"/>
  <c r="E56" i="3" s="1"/>
  <c r="H41" i="9"/>
  <c r="E42" i="3" s="1"/>
  <c r="H61" i="9"/>
  <c r="E62" i="3" s="1"/>
  <c r="H50" i="9"/>
  <c r="E51" i="3" s="1"/>
  <c r="D23" i="3"/>
  <c r="E28" i="3"/>
  <c r="E22" i="3"/>
  <c r="H49" i="9"/>
  <c r="D50" i="3" s="1"/>
  <c r="H59" i="9"/>
  <c r="D60" i="3" s="1"/>
  <c r="H48" i="9"/>
  <c r="E49" i="3" s="1"/>
  <c r="H44" i="9"/>
  <c r="D45" i="3" s="1"/>
  <c r="H24" i="9"/>
  <c r="E25" i="3" s="1"/>
  <c r="H20" i="9"/>
  <c r="E21" i="3" s="1"/>
  <c r="H57" i="9"/>
  <c r="D58" i="3" s="1"/>
  <c r="H58" i="9"/>
  <c r="D59" i="3" s="1"/>
  <c r="H56" i="9"/>
  <c r="D57" i="3" s="1"/>
  <c r="F33" i="3"/>
  <c r="G33" i="3" s="1"/>
  <c r="W39" i="14"/>
  <c r="X41" i="14"/>
  <c r="M104" i="1"/>
  <c r="M35" i="1"/>
  <c r="M45" i="1"/>
  <c r="M63" i="1"/>
  <c r="M89" i="1"/>
  <c r="M34" i="1"/>
  <c r="M46" i="1"/>
  <c r="M49" i="1"/>
  <c r="M18" i="1"/>
  <c r="M143" i="1"/>
  <c r="M59" i="1"/>
  <c r="M103" i="1"/>
  <c r="M19" i="1"/>
  <c r="M118" i="1"/>
  <c r="M131" i="1"/>
  <c r="M47" i="1"/>
  <c r="M119" i="1"/>
  <c r="M105" i="1"/>
  <c r="M101" i="1"/>
  <c r="M62" i="1"/>
  <c r="M48" i="1"/>
  <c r="M32" i="1"/>
  <c r="M17" i="1"/>
  <c r="M33" i="1"/>
  <c r="X31" i="14"/>
  <c r="S18" i="14"/>
  <c r="W18" i="14"/>
  <c r="U13" i="14"/>
  <c r="S19" i="14"/>
  <c r="T20" i="14"/>
  <c r="Q17" i="14"/>
  <c r="P17" i="14"/>
  <c r="S17" i="14"/>
  <c r="Q19" i="14"/>
  <c r="W19" i="14"/>
  <c r="Q38" i="14"/>
  <c r="R17" i="14"/>
  <c r="T17" i="14"/>
  <c r="Q18" i="14"/>
  <c r="D22" i="14"/>
  <c r="V19" i="14"/>
  <c r="P38" i="14"/>
  <c r="U17" i="14"/>
  <c r="P20" i="14"/>
  <c r="R38" i="14"/>
  <c r="L43" i="14"/>
  <c r="T38" i="14"/>
  <c r="U38" i="14"/>
  <c r="V38" i="14"/>
  <c r="X10" i="14"/>
  <c r="U18" i="14"/>
  <c r="W40" i="14"/>
  <c r="O43" i="14"/>
  <c r="T16" i="14"/>
  <c r="P18" i="14"/>
  <c r="V20" i="14"/>
  <c r="T13" i="14"/>
  <c r="Q20" i="14"/>
  <c r="U21" i="14"/>
  <c r="S21" i="14"/>
  <c r="V21" i="14"/>
  <c r="R21" i="14"/>
  <c r="Q21" i="14"/>
  <c r="P21" i="14"/>
  <c r="T21" i="14"/>
  <c r="U19" i="14"/>
  <c r="R19" i="14"/>
  <c r="I43" i="14"/>
  <c r="N22" i="14"/>
  <c r="P19" i="14"/>
  <c r="T19" i="14"/>
  <c r="R20" i="14"/>
  <c r="U20" i="14"/>
  <c r="T18" i="14"/>
  <c r="R18" i="14"/>
  <c r="X20" i="14"/>
  <c r="V42" i="14"/>
  <c r="P42" i="14"/>
  <c r="S42" i="14"/>
  <c r="U42" i="14"/>
  <c r="R42" i="14"/>
  <c r="Q42" i="14"/>
  <c r="T42" i="14"/>
  <c r="F22" i="14"/>
  <c r="G43" i="14"/>
  <c r="O22" i="14"/>
  <c r="S20" i="14"/>
  <c r="V18" i="14"/>
  <c r="W21" i="14"/>
  <c r="X21" i="14"/>
  <c r="W42" i="14"/>
  <c r="X42" i="14"/>
  <c r="AB10" i="14"/>
  <c r="AB22" i="14" s="1"/>
  <c r="P16" i="14"/>
  <c r="B22" i="14"/>
  <c r="S16" i="14"/>
  <c r="G22" i="14"/>
  <c r="F43" i="14"/>
  <c r="V13" i="14"/>
  <c r="Q13" i="14"/>
  <c r="S13" i="14"/>
  <c r="C22" i="14"/>
  <c r="N43" i="14"/>
  <c r="R10" i="14"/>
  <c r="R13" i="14"/>
  <c r="P13" i="14"/>
  <c r="V16" i="14"/>
  <c r="AB31" i="14"/>
  <c r="R16" i="14"/>
  <c r="Q16" i="14"/>
  <c r="Q10" i="14"/>
  <c r="V10" i="14"/>
  <c r="U16" i="14"/>
  <c r="M43" i="14"/>
  <c r="U10" i="14"/>
  <c r="P10" i="14"/>
  <c r="T10" i="14"/>
  <c r="S10" i="14"/>
  <c r="AC22" i="14"/>
  <c r="G11" i="9"/>
  <c r="AC43" i="14"/>
  <c r="AA22" i="14"/>
  <c r="G9" i="9"/>
  <c r="Z43" i="14"/>
  <c r="L22" i="14"/>
  <c r="P14" i="14"/>
  <c r="P12" i="14"/>
  <c r="AA43" i="14"/>
  <c r="K22" i="14"/>
  <c r="M22" i="14"/>
  <c r="X38" i="14"/>
  <c r="W38" i="14"/>
  <c r="K43" i="14"/>
  <c r="Z22" i="14"/>
  <c r="X13" i="14"/>
  <c r="W13" i="14"/>
  <c r="J22" i="14"/>
  <c r="E22" i="14"/>
  <c r="R12" i="14"/>
  <c r="Q12" i="14"/>
  <c r="U14" i="14"/>
  <c r="U12" i="14"/>
  <c r="V12" i="14"/>
  <c r="Q14" i="14"/>
  <c r="S14" i="14"/>
  <c r="T12" i="14"/>
  <c r="S12" i="14"/>
  <c r="T14" i="14"/>
  <c r="V14" i="14"/>
  <c r="J43" i="14"/>
  <c r="H22" i="14"/>
  <c r="Y43" i="14"/>
  <c r="Y22" i="14"/>
  <c r="I22" i="14"/>
  <c r="R14" i="14"/>
  <c r="S31" i="14"/>
  <c r="R31" i="14"/>
  <c r="F34" i="3"/>
  <c r="G34" i="3" s="1"/>
  <c r="V31" i="14"/>
  <c r="U31" i="14"/>
  <c r="V41" i="14"/>
  <c r="Q31" i="14"/>
  <c r="S34" i="14"/>
  <c r="Q34" i="14"/>
  <c r="T34" i="14"/>
  <c r="P34" i="14"/>
  <c r="R34" i="14"/>
  <c r="U34" i="14"/>
  <c r="V34" i="14"/>
  <c r="F37" i="3"/>
  <c r="G37" i="3" s="1"/>
  <c r="S40" i="14"/>
  <c r="V33" i="14"/>
  <c r="P31" i="14"/>
  <c r="Q37" i="14"/>
  <c r="P37" i="14"/>
  <c r="T37" i="14"/>
  <c r="V37" i="14"/>
  <c r="R37" i="14"/>
  <c r="S37" i="14"/>
  <c r="U37" i="14"/>
  <c r="H43" i="14"/>
  <c r="R41" i="14"/>
  <c r="P41" i="14"/>
  <c r="F36" i="3"/>
  <c r="G36" i="3" s="1"/>
  <c r="C43" i="14"/>
  <c r="R39" i="14"/>
  <c r="P39" i="14"/>
  <c r="S39" i="14"/>
  <c r="U39" i="14"/>
  <c r="Q39" i="14"/>
  <c r="T39" i="14"/>
  <c r="V39" i="14"/>
  <c r="S35" i="14"/>
  <c r="V35" i="14"/>
  <c r="R35" i="14"/>
  <c r="T35" i="14"/>
  <c r="U35" i="14"/>
  <c r="P35" i="14"/>
  <c r="Q35" i="14"/>
  <c r="P40" i="14"/>
  <c r="Q40" i="14"/>
  <c r="S33" i="14"/>
  <c r="Q33" i="14"/>
  <c r="B43" i="14"/>
  <c r="U41" i="14"/>
  <c r="V40" i="14"/>
  <c r="U33" i="14"/>
  <c r="R33" i="14"/>
  <c r="F35" i="3"/>
  <c r="G35" i="3" s="1"/>
  <c r="D43" i="14"/>
  <c r="R40" i="14"/>
  <c r="T40" i="14"/>
  <c r="T33" i="14"/>
  <c r="P33" i="14"/>
  <c r="T31" i="14"/>
  <c r="S41" i="14"/>
  <c r="E43" i="14"/>
  <c r="Q41" i="14"/>
  <c r="T41" i="14"/>
  <c r="U40" i="14"/>
  <c r="G99" i="1"/>
  <c r="G90" i="1"/>
  <c r="G29" i="1"/>
  <c r="G24" i="11"/>
  <c r="D42" i="3" l="1"/>
  <c r="E29" i="3"/>
  <c r="E57" i="3"/>
  <c r="D25" i="3"/>
  <c r="E39" i="3"/>
  <c r="E55" i="3"/>
  <c r="E44" i="3"/>
  <c r="F44" i="3" s="1"/>
  <c r="G44" i="3" s="1"/>
  <c r="D21" i="3"/>
  <c r="F21" i="3" s="1"/>
  <c r="G21" i="3" s="1"/>
  <c r="D62" i="3"/>
  <c r="D43" i="3"/>
  <c r="F43" i="3" s="1"/>
  <c r="G43" i="3" s="1"/>
  <c r="E18" i="3"/>
  <c r="F18" i="3" s="1"/>
  <c r="G18" i="3" s="1"/>
  <c r="E59" i="3"/>
  <c r="E50" i="3"/>
  <c r="D56" i="3"/>
  <c r="D61" i="3"/>
  <c r="D47" i="3"/>
  <c r="F47" i="3" s="1"/>
  <c r="G47" i="3" s="1"/>
  <c r="E54" i="3"/>
  <c r="E19" i="3"/>
  <c r="E60" i="3"/>
  <c r="F60" i="3" s="1"/>
  <c r="G60" i="3" s="1"/>
  <c r="E52" i="3"/>
  <c r="F52" i="3" s="1"/>
  <c r="G52" i="3" s="1"/>
  <c r="D8" i="3"/>
  <c r="E45" i="3"/>
  <c r="F45" i="3" s="1"/>
  <c r="G45" i="3" s="1"/>
  <c r="D40" i="3"/>
  <c r="F40" i="3" s="1"/>
  <c r="G40" i="3" s="1"/>
  <c r="H11" i="9"/>
  <c r="E12" i="3" s="1"/>
  <c r="H9" i="9"/>
  <c r="E10" i="3" s="1"/>
  <c r="E58" i="3"/>
  <c r="F58" i="3" s="1"/>
  <c r="G58" i="3" s="1"/>
  <c r="D49" i="3"/>
  <c r="F49" i="3" s="1"/>
  <c r="G49" i="3" s="1"/>
  <c r="D51" i="3"/>
  <c r="F51" i="3" s="1"/>
  <c r="G51" i="3" s="1"/>
  <c r="D38" i="3"/>
  <c r="E46" i="3"/>
  <c r="F46" i="3" s="1"/>
  <c r="G46" i="3" s="1"/>
  <c r="E24" i="3"/>
  <c r="F24" i="3" s="1"/>
  <c r="G24" i="3" s="1"/>
  <c r="E9" i="3"/>
  <c r="F9" i="3" s="1"/>
  <c r="G9" i="3" s="1"/>
  <c r="D53" i="3"/>
  <c r="AB43" i="14"/>
  <c r="F55" i="3"/>
  <c r="G55" i="3" s="1"/>
  <c r="F25" i="3"/>
  <c r="G25" i="3" s="1"/>
  <c r="F38" i="3"/>
  <c r="G38" i="3" s="1"/>
  <c r="W43" i="14"/>
  <c r="W22" i="14"/>
  <c r="G10" i="9"/>
  <c r="X43" i="14"/>
  <c r="I14" i="11"/>
  <c r="I18" i="11"/>
  <c r="X22" i="14"/>
  <c r="F48" i="3"/>
  <c r="G48" i="3" s="1"/>
  <c r="F50" i="3"/>
  <c r="G50" i="3" s="1"/>
  <c r="F54" i="3"/>
  <c r="G54" i="3" s="1"/>
  <c r="P22" i="14"/>
  <c r="S22" i="14"/>
  <c r="U22" i="14"/>
  <c r="T22" i="14"/>
  <c r="V22" i="14"/>
  <c r="R22" i="14"/>
  <c r="Q22" i="14"/>
  <c r="R43" i="14"/>
  <c r="T43" i="14"/>
  <c r="U43" i="14"/>
  <c r="V43" i="14"/>
  <c r="Q43" i="14"/>
  <c r="P43" i="14"/>
  <c r="S43" i="14"/>
  <c r="G18" i="13"/>
  <c r="J7" i="13" s="1"/>
  <c r="H18" i="13"/>
  <c r="F32" i="3"/>
  <c r="G32" i="3" s="1"/>
  <c r="F39" i="3"/>
  <c r="G39" i="3" s="1"/>
  <c r="F8" i="3"/>
  <c r="G8" i="3" s="1"/>
  <c r="F31" i="3"/>
  <c r="G31" i="3" s="1"/>
  <c r="F28" i="3"/>
  <c r="G28" i="3" s="1"/>
  <c r="F53" i="3"/>
  <c r="G53" i="3" s="1"/>
  <c r="F42" i="3"/>
  <c r="G42" i="3" s="1"/>
  <c r="F23" i="3"/>
  <c r="G23" i="3" s="1"/>
  <c r="F30" i="3"/>
  <c r="G30" i="3" s="1"/>
  <c r="F22" i="3"/>
  <c r="G22" i="3" s="1"/>
  <c r="F19" i="3"/>
  <c r="G19" i="3" s="1"/>
  <c r="F27" i="3"/>
  <c r="G27" i="3" s="1"/>
  <c r="F41" i="3"/>
  <c r="G41" i="3" s="1"/>
  <c r="F20" i="3"/>
  <c r="G20" i="3" s="1"/>
  <c r="F26" i="3"/>
  <c r="G26" i="3" s="1"/>
  <c r="D12" i="3" l="1"/>
  <c r="F12" i="3" s="1"/>
  <c r="G12" i="3" s="1"/>
  <c r="D10" i="3"/>
  <c r="F10" i="3" s="1"/>
  <c r="G10" i="3" s="1"/>
  <c r="H10" i="9"/>
  <c r="D11" i="3" s="1"/>
  <c r="F57" i="3"/>
  <c r="G57" i="3" s="1"/>
  <c r="F56" i="3"/>
  <c r="G56" i="3" s="1"/>
  <c r="F29" i="3"/>
  <c r="G29" i="3" s="1"/>
  <c r="F62" i="3"/>
  <c r="G62" i="3" s="1"/>
  <c r="F61" i="3"/>
  <c r="G61" i="3" s="1"/>
  <c r="F59" i="3"/>
  <c r="G59" i="3" s="1"/>
  <c r="I20" i="11"/>
  <c r="I21" i="11"/>
  <c r="I15" i="11"/>
  <c r="I19" i="11"/>
  <c r="I17" i="11"/>
  <c r="I16" i="11"/>
  <c r="H18" i="11"/>
  <c r="E11" i="3" l="1"/>
  <c r="F11" i="3" s="1"/>
  <c r="G11" i="3" s="1"/>
  <c r="I22" i="11"/>
  <c r="I23" i="11"/>
  <c r="H22" i="11"/>
  <c r="H20" i="11"/>
  <c r="H21" i="11"/>
  <c r="H23" i="11"/>
  <c r="H19" i="11"/>
  <c r="H16" i="11"/>
  <c r="H14" i="11"/>
  <c r="H17" i="11" l="1"/>
  <c r="H15" i="11"/>
  <c r="I13" i="11" l="1"/>
  <c r="J16" i="11" l="1"/>
  <c r="J15" i="11"/>
  <c r="J17" i="11"/>
  <c r="J18" i="11"/>
  <c r="J19" i="11"/>
  <c r="J22" i="11"/>
  <c r="J23" i="11"/>
  <c r="J21" i="11"/>
  <c r="J20" i="11"/>
  <c r="J14" i="11"/>
  <c r="L15" i="3"/>
  <c r="M15" i="3" s="1"/>
  <c r="L16" i="3"/>
  <c r="M16" i="3" s="1"/>
  <c r="L17" i="3"/>
  <c r="M17" i="3" s="1"/>
  <c r="L11" i="3"/>
  <c r="M11" i="3" s="1"/>
  <c r="L8" i="3"/>
  <c r="M8" i="3" s="1"/>
  <c r="L14" i="3"/>
  <c r="M14" i="3" s="1"/>
  <c r="L12" i="3"/>
  <c r="M12" i="3" s="1"/>
  <c r="L13" i="3"/>
  <c r="M13" i="3" s="1"/>
  <c r="L18" i="3"/>
  <c r="M18" i="3" s="1"/>
  <c r="L10" i="3"/>
  <c r="M10" i="3" s="1"/>
  <c r="M22" i="3" l="1"/>
  <c r="M21" i="3"/>
  <c r="L14" i="11"/>
  <c r="M14" i="11"/>
  <c r="M15" i="11"/>
  <c r="L15" i="11"/>
  <c r="M20" i="11"/>
  <c r="L20" i="11"/>
  <c r="L18" i="11"/>
  <c r="M18" i="11"/>
  <c r="M21" i="11"/>
  <c r="L21" i="11"/>
  <c r="M22" i="11"/>
  <c r="L22" i="11"/>
  <c r="L16" i="11"/>
  <c r="M16" i="11"/>
  <c r="J13" i="11"/>
  <c r="I24" i="11"/>
  <c r="M23" i="11"/>
  <c r="L23" i="11"/>
  <c r="M19" i="11"/>
  <c r="L19" i="11"/>
  <c r="L17" i="11"/>
  <c r="M17" i="11"/>
  <c r="M13" i="11" l="1"/>
  <c r="M24" i="11" s="1"/>
  <c r="J24" i="11"/>
  <c r="L13" i="11"/>
  <c r="L24" i="11" s="1"/>
  <c r="D24" i="11" l="1"/>
  <c r="H13" i="11"/>
  <c r="H24" i="11" l="1"/>
  <c r="K13" i="13" l="1"/>
  <c r="K12" i="13"/>
  <c r="K16" i="13"/>
  <c r="K14" i="13"/>
  <c r="K10" i="13"/>
  <c r="K7" i="13"/>
  <c r="K8" i="13"/>
  <c r="K17" i="13"/>
  <c r="K15" i="13"/>
  <c r="K11" i="13"/>
  <c r="K9" i="13"/>
  <c r="J13" i="13"/>
  <c r="J12" i="13"/>
  <c r="J16" i="13"/>
  <c r="J14" i="13"/>
  <c r="J10" i="13"/>
  <c r="J8" i="13"/>
  <c r="J17" i="13"/>
  <c r="J15" i="13"/>
  <c r="J11" i="13"/>
  <c r="J9" i="13"/>
  <c r="L14" i="13" l="1"/>
  <c r="L17" i="13"/>
  <c r="L9" i="13"/>
  <c r="L13" i="13"/>
  <c r="L8" i="13"/>
  <c r="L10" i="13"/>
  <c r="L15" i="13"/>
  <c r="L7" i="13"/>
  <c r="L12" i="13"/>
  <c r="L11" i="13"/>
  <c r="L16" i="13"/>
</calcChain>
</file>

<file path=xl/sharedStrings.xml><?xml version="1.0" encoding="utf-8"?>
<sst xmlns="http://schemas.openxmlformats.org/spreadsheetml/2006/main" count="780" uniqueCount="324">
  <si>
    <t>Reallocations</t>
  </si>
  <si>
    <t>Cost data</t>
  </si>
  <si>
    <t>Variable code</t>
  </si>
  <si>
    <t>Variable name</t>
  </si>
  <si>
    <t>Triangulation weights</t>
  </si>
  <si>
    <t>Company</t>
  </si>
  <si>
    <t>Year</t>
  </si>
  <si>
    <t>ANH</t>
  </si>
  <si>
    <t>NES</t>
  </si>
  <si>
    <t>NWT</t>
  </si>
  <si>
    <t>SRN</t>
  </si>
  <si>
    <t>SVT</t>
  </si>
  <si>
    <t>SWT</t>
  </si>
  <si>
    <t>SWB</t>
  </si>
  <si>
    <t>TMS</t>
  </si>
  <si>
    <t>WSH</t>
  </si>
  <si>
    <t>WSX</t>
  </si>
  <si>
    <t>YKY</t>
  </si>
  <si>
    <t>SVE</t>
  </si>
  <si>
    <t>HDD</t>
  </si>
  <si>
    <t>Code</t>
  </si>
  <si>
    <t>Data</t>
  </si>
  <si>
    <t>Efficiency challenge</t>
  </si>
  <si>
    <t>Historical</t>
  </si>
  <si>
    <t>Forecast</t>
  </si>
  <si>
    <t>Econometric models - estimated coefficients</t>
  </si>
  <si>
    <t>Forecast cost drivers</t>
  </si>
  <si>
    <t xml:space="preserve"> - use for setting allowance</t>
  </si>
  <si>
    <t xml:space="preserve">Model weights </t>
  </si>
  <si>
    <t>Total</t>
  </si>
  <si>
    <t>Actual costs</t>
  </si>
  <si>
    <t>Triangulated modelled costs</t>
  </si>
  <si>
    <t>Modelled costs</t>
  </si>
  <si>
    <t>Forward looking efficiency score</t>
  </si>
  <si>
    <t>Median</t>
  </si>
  <si>
    <t>Upper quartile</t>
  </si>
  <si>
    <t>Assessor's name</t>
  </si>
  <si>
    <t>Peer review (initials, date)</t>
  </si>
  <si>
    <t>BoN code</t>
  </si>
  <si>
    <t>Enhancement line</t>
  </si>
  <si>
    <t>Control</t>
  </si>
  <si>
    <t>Cost allowance for AMP7 (£m)</t>
  </si>
  <si>
    <t>Capex reallocated out to other lines</t>
  </si>
  <si>
    <t>Capex reallocated in to this line</t>
  </si>
  <si>
    <t>Net Capex reallocated</t>
  </si>
  <si>
    <t>Ofwat view of capex requested for this line</t>
  </si>
  <si>
    <t>Before min of'</t>
  </si>
  <si>
    <t>Capex allowed - network plus</t>
  </si>
  <si>
    <t>Global controls</t>
  </si>
  <si>
    <t xml:space="preserve"> - In this sheet we set model weights and efficiency challenge</t>
  </si>
  <si>
    <t>Data for AMP7</t>
  </si>
  <si>
    <t xml:space="preserve">Unit cost weights </t>
  </si>
  <si>
    <t>Unit cost view</t>
  </si>
  <si>
    <t>Mean or Median?</t>
  </si>
  <si>
    <t>Historical 
modelled costs (£m)</t>
  </si>
  <si>
    <t>Forecast 
modelled costs (£m)</t>
  </si>
  <si>
    <t>Triangulated modelled costs (£m)</t>
  </si>
  <si>
    <t>Unit cost - historical period</t>
  </si>
  <si>
    <t>Unit cost - Forecast period</t>
  </si>
  <si>
    <t>Industry unit cost</t>
  </si>
  <si>
    <t>Company forecast</t>
  </si>
  <si>
    <t>Final Decision</t>
  </si>
  <si>
    <t>2011-12</t>
  </si>
  <si>
    <t>2012-13</t>
  </si>
  <si>
    <t>2013-14</t>
  </si>
  <si>
    <t>2014-15</t>
  </si>
  <si>
    <t>2015-16</t>
  </si>
  <si>
    <t>2016-17</t>
  </si>
  <si>
    <t>2017-18</t>
  </si>
  <si>
    <t>2018-19</t>
  </si>
  <si>
    <t>2019-20</t>
  </si>
  <si>
    <t>2020-21</t>
  </si>
  <si>
    <t>2021-22</t>
  </si>
  <si>
    <t>2022-23</t>
  </si>
  <si>
    <t>2023-24</t>
  </si>
  <si>
    <t>2024-25</t>
  </si>
  <si>
    <t>Industry</t>
  </si>
  <si>
    <t>Forecast: time trend</t>
  </si>
  <si>
    <t>Final decision</t>
  </si>
  <si>
    <t>Hard coded decision</t>
  </si>
  <si>
    <t>Check</t>
  </si>
  <si>
    <t>Time trend</t>
  </si>
  <si>
    <t>Ofwat's forecasts</t>
  </si>
  <si>
    <t>Company's forecasts</t>
  </si>
  <si>
    <t>Financial year</t>
  </si>
  <si>
    <t>Financial year ending in</t>
  </si>
  <si>
    <t>ANH12</t>
  </si>
  <si>
    <t>ANH13</t>
  </si>
  <si>
    <t>ANH14</t>
  </si>
  <si>
    <t>ANH15</t>
  </si>
  <si>
    <t>ANH16</t>
  </si>
  <si>
    <t>ANH17</t>
  </si>
  <si>
    <t>ANH18</t>
  </si>
  <si>
    <t>ANH19</t>
  </si>
  <si>
    <t>ANH20</t>
  </si>
  <si>
    <t>ANH21</t>
  </si>
  <si>
    <t>ANH22</t>
  </si>
  <si>
    <t>ANH23</t>
  </si>
  <si>
    <t>ANH24</t>
  </si>
  <si>
    <t>ANH25</t>
  </si>
  <si>
    <t>NES12</t>
  </si>
  <si>
    <t>NES13</t>
  </si>
  <si>
    <t>NES14</t>
  </si>
  <si>
    <t>NES15</t>
  </si>
  <si>
    <t>NES16</t>
  </si>
  <si>
    <t>NES17</t>
  </si>
  <si>
    <t>NES18</t>
  </si>
  <si>
    <t>NES19</t>
  </si>
  <si>
    <t>NES20</t>
  </si>
  <si>
    <t>NES21</t>
  </si>
  <si>
    <t>NES22</t>
  </si>
  <si>
    <t>NES23</t>
  </si>
  <si>
    <t>NES24</t>
  </si>
  <si>
    <t>NES25</t>
  </si>
  <si>
    <t>NWT12</t>
  </si>
  <si>
    <t>NWT13</t>
  </si>
  <si>
    <t>NWT14</t>
  </si>
  <si>
    <t>NWT15</t>
  </si>
  <si>
    <t>NWT16</t>
  </si>
  <si>
    <t>NWT17</t>
  </si>
  <si>
    <t>NWT18</t>
  </si>
  <si>
    <t>NWT19</t>
  </si>
  <si>
    <t>NWT20</t>
  </si>
  <si>
    <t>NWT21</t>
  </si>
  <si>
    <t>NWT22</t>
  </si>
  <si>
    <t>NWT23</t>
  </si>
  <si>
    <t>NWT24</t>
  </si>
  <si>
    <t>NWT25</t>
  </si>
  <si>
    <t>SRN12</t>
  </si>
  <si>
    <t>SRN13</t>
  </si>
  <si>
    <t>SRN14</t>
  </si>
  <si>
    <t>SRN15</t>
  </si>
  <si>
    <t>SRN16</t>
  </si>
  <si>
    <t>SRN17</t>
  </si>
  <si>
    <t>SRN18</t>
  </si>
  <si>
    <t>SRN19</t>
  </si>
  <si>
    <t>SRN20</t>
  </si>
  <si>
    <t>SRN21</t>
  </si>
  <si>
    <t>SRN22</t>
  </si>
  <si>
    <t>SRN23</t>
  </si>
  <si>
    <t>SRN24</t>
  </si>
  <si>
    <t>SRN25</t>
  </si>
  <si>
    <t>SVT12</t>
  </si>
  <si>
    <t>SVT13</t>
  </si>
  <si>
    <t>SVT14</t>
  </si>
  <si>
    <t>SVT15</t>
  </si>
  <si>
    <t>SVT16</t>
  </si>
  <si>
    <t>SVT17</t>
  </si>
  <si>
    <t>SVT18</t>
  </si>
  <si>
    <t>SVT19</t>
  </si>
  <si>
    <t>SVT20</t>
  </si>
  <si>
    <t>SVT21</t>
  </si>
  <si>
    <t>SVT22</t>
  </si>
  <si>
    <t>SVT23</t>
  </si>
  <si>
    <t>SVT24</t>
  </si>
  <si>
    <t>SVT25</t>
  </si>
  <si>
    <t>SWT12</t>
  </si>
  <si>
    <t>SWT13</t>
  </si>
  <si>
    <t>SWT14</t>
  </si>
  <si>
    <t>SWT15</t>
  </si>
  <si>
    <t>SWT16</t>
  </si>
  <si>
    <t>SWT17</t>
  </si>
  <si>
    <t>SWB18</t>
  </si>
  <si>
    <t>SWB19</t>
  </si>
  <si>
    <t>SWB20</t>
  </si>
  <si>
    <t>SWB21</t>
  </si>
  <si>
    <t>SWB22</t>
  </si>
  <si>
    <t>SWB23</t>
  </si>
  <si>
    <t>SWB24</t>
  </si>
  <si>
    <t>SWB25</t>
  </si>
  <si>
    <t>TMS12</t>
  </si>
  <si>
    <t>TMS13</t>
  </si>
  <si>
    <t>TMS14</t>
  </si>
  <si>
    <t>TMS15</t>
  </si>
  <si>
    <t>TMS16</t>
  </si>
  <si>
    <t>TMS17</t>
  </si>
  <si>
    <t>TMS18</t>
  </si>
  <si>
    <t>TMS19</t>
  </si>
  <si>
    <t>TMS20</t>
  </si>
  <si>
    <t>TMS21</t>
  </si>
  <si>
    <t>TMS22</t>
  </si>
  <si>
    <t>TMS23</t>
  </si>
  <si>
    <t>TMS24</t>
  </si>
  <si>
    <t>TMS25</t>
  </si>
  <si>
    <t>WSH12</t>
  </si>
  <si>
    <t>WSH13</t>
  </si>
  <si>
    <t>WSH14</t>
  </si>
  <si>
    <t>WSH15</t>
  </si>
  <si>
    <t>WSH16</t>
  </si>
  <si>
    <t>WSH17</t>
  </si>
  <si>
    <t>WSH18</t>
  </si>
  <si>
    <t>WSH19</t>
  </si>
  <si>
    <t>WSH20</t>
  </si>
  <si>
    <t>WSH21</t>
  </si>
  <si>
    <t>WSH22</t>
  </si>
  <si>
    <t>WSH23</t>
  </si>
  <si>
    <t>WSH24</t>
  </si>
  <si>
    <t>WSH25</t>
  </si>
  <si>
    <t>WSX12</t>
  </si>
  <si>
    <t>WSX13</t>
  </si>
  <si>
    <t>WSX14</t>
  </si>
  <si>
    <t>WSX15</t>
  </si>
  <si>
    <t>WSX16</t>
  </si>
  <si>
    <t>WSX17</t>
  </si>
  <si>
    <t>WSX18</t>
  </si>
  <si>
    <t>WSX19</t>
  </si>
  <si>
    <t>WSX20</t>
  </si>
  <si>
    <t>WSX21</t>
  </si>
  <si>
    <t>WSX22</t>
  </si>
  <si>
    <t>WSX23</t>
  </si>
  <si>
    <t>WSX24</t>
  </si>
  <si>
    <t>WSX25</t>
  </si>
  <si>
    <t>YKY12</t>
  </si>
  <si>
    <t>YKY13</t>
  </si>
  <si>
    <t>YKY14</t>
  </si>
  <si>
    <t>YKY15</t>
  </si>
  <si>
    <t>YKY16</t>
  </si>
  <si>
    <t>YKY17</t>
  </si>
  <si>
    <t>YKY18</t>
  </si>
  <si>
    <t>YKY19</t>
  </si>
  <si>
    <t>YKY20</t>
  </si>
  <si>
    <t>YKY21</t>
  </si>
  <si>
    <t>YKY22</t>
  </si>
  <si>
    <t>YKY23</t>
  </si>
  <si>
    <t>YKY24</t>
  </si>
  <si>
    <t>YKY25</t>
  </si>
  <si>
    <t>SVE12</t>
  </si>
  <si>
    <t>SVE13</t>
  </si>
  <si>
    <t>SVE14</t>
  </si>
  <si>
    <t>SVE15</t>
  </si>
  <si>
    <t>SVE16</t>
  </si>
  <si>
    <t>SVE17</t>
  </si>
  <si>
    <t>SVE18</t>
  </si>
  <si>
    <t>SVE19</t>
  </si>
  <si>
    <t>SVE20</t>
  </si>
  <si>
    <t>SVE21</t>
  </si>
  <si>
    <t>SVE22</t>
  </si>
  <si>
    <t>SVE23</t>
  </si>
  <si>
    <t>SVE24</t>
  </si>
  <si>
    <t>SVE25</t>
  </si>
  <si>
    <t>HDD12</t>
  </si>
  <si>
    <t>HDD13</t>
  </si>
  <si>
    <t>HDD14</t>
  </si>
  <si>
    <t>HDD15</t>
  </si>
  <si>
    <t>HDD16</t>
  </si>
  <si>
    <t>HDD17</t>
  </si>
  <si>
    <t>HDD18</t>
  </si>
  <si>
    <t>HDD19</t>
  </si>
  <si>
    <t>HDD20</t>
  </si>
  <si>
    <t>HDD21</t>
  </si>
  <si>
    <t>HDD22</t>
  </si>
  <si>
    <t>HDD23</t>
  </si>
  <si>
    <t>HDD24</t>
  </si>
  <si>
    <t>HDD25</t>
  </si>
  <si>
    <t>realBC31379CAS</t>
  </si>
  <si>
    <t>S4002</t>
  </si>
  <si>
    <t>S4002A</t>
  </si>
  <si>
    <t>Connectable properties served by s101A schemes</t>
  </si>
  <si>
    <t>Number of s101A schemes</t>
  </si>
  <si>
    <t>S4002/S4002A</t>
  </si>
  <si>
    <t>First time sewage</t>
  </si>
  <si>
    <t>First time sewage with reallocations</t>
  </si>
  <si>
    <t>First time sewage smoothed</t>
  </si>
  <si>
    <t>Connectable properties smoothed</t>
  </si>
  <si>
    <t>Number of schemes smoothed</t>
  </si>
  <si>
    <t>Number of properties per scheme smoothed</t>
  </si>
  <si>
    <t>Number of properties per s101A scheme</t>
  </si>
  <si>
    <t>properties</t>
  </si>
  <si>
    <t>schemes</t>
  </si>
  <si>
    <t>propertiesperscheme</t>
  </si>
  <si>
    <t>Dependent variable: First time sewage costs (3-year smoothed)</t>
  </si>
  <si>
    <t>Connectable properties served by s101A schemes smoothed</t>
  </si>
  <si>
    <t>Proportion of bio resources</t>
  </si>
  <si>
    <t>Capex allowed - bioresources</t>
  </si>
  <si>
    <t>First time sewage costs with reallocations costs with reallocations - AMP7 period (2020/21 to 2024/25)</t>
  </si>
  <si>
    <t>Total first time sewage costs with reallocations - historical period (2011/12 to 2017/18)</t>
  </si>
  <si>
    <t>Connectable properties served by s101A schemes - AMP7 period (2020/21 to 2024/25)</t>
  </si>
  <si>
    <t xml:space="preserve">Connectable properties served by s101A schemes - historical period (2011/12 to 2017 - 18) </t>
  </si>
  <si>
    <t xml:space="preserve">Connectable properties served by s101A schemes </t>
  </si>
  <si>
    <t>ftseweragecosts</t>
  </si>
  <si>
    <t>ftseweragecostsreallocations</t>
  </si>
  <si>
    <t>propertiessmoothed</t>
  </si>
  <si>
    <t>schemessmoothed</t>
  </si>
  <si>
    <t>propertiesperschemesmoothed</t>
  </si>
  <si>
    <t>seweragecosts</t>
  </si>
  <si>
    <t>seweragecostssmoothed</t>
  </si>
  <si>
    <t xml:space="preserve">Squared of connectable properties served by s101A schemes </t>
  </si>
  <si>
    <t>Squared of connectable properties served by s101A schemes smoothed</t>
  </si>
  <si>
    <t>ols1</t>
  </si>
  <si>
    <t>ols2</t>
  </si>
  <si>
    <t>propertiessmoothed2</t>
  </si>
  <si>
    <t>Pooled OLS</t>
  </si>
  <si>
    <t xml:space="preserve">Historical </t>
  </si>
  <si>
    <t>_cons</t>
  </si>
  <si>
    <t>Constant</t>
  </si>
  <si>
    <t>Capex allowed - wholesale wastewater</t>
  </si>
  <si>
    <t>BC31379CAS</t>
  </si>
  <si>
    <t>First time sewerage</t>
  </si>
  <si>
    <t>Wholesale wastewater</t>
  </si>
  <si>
    <t>Allowance for first time sewerage costs</t>
  </si>
  <si>
    <t>Rationale:</t>
  </si>
  <si>
    <t>1. ANH, WSH, YKY - use company's forecast because Ofwat overestimates</t>
  </si>
  <si>
    <t>3. NWT, SRN, TMS - use companies' forecast because Ofwat predicts zero driver due to patchy data</t>
  </si>
  <si>
    <t>4. SVE &amp; HDD we can only use companies' forecast as only have 1 historical data point.</t>
  </si>
  <si>
    <t>5. SVE &amp; HDD we can only use companies' forecast as only have 1 historical data point</t>
  </si>
  <si>
    <t>SS</t>
  </si>
  <si>
    <t>MG 22/01/2019</t>
  </si>
  <si>
    <t>Cover sheet</t>
  </si>
  <si>
    <t>£m 2017-18 prices</t>
  </si>
  <si>
    <t>Objective</t>
  </si>
  <si>
    <t>To assess enhancement capex expenditure submitted by companies in their PR19 business plan submissions as pre-defined enhancement capex lines.</t>
  </si>
  <si>
    <t>Approach</t>
  </si>
  <si>
    <t>First time sewerage feeder model</t>
  </si>
  <si>
    <t xml:space="preserve">We assess the first time sewerage costs using a panel data model where the cost drivers are the number of connectable properties served by s101A schemes and the squared of the same driver. We triangulate our cost allowance across two models, one using historical data for the period 2011-12 to 2017-18 and other using forecast data for the period of 2020-21 to 2024-25. Both models are in levels and use smoothed data over a 3-year period. Where companies forecast below our allowance, we reduce the allowance to the company’s forecast. </t>
  </si>
  <si>
    <t>We choose company forecast, except potentially for NES, SWB, WSX  for the following reasons:</t>
  </si>
  <si>
    <t>We have a stata file:first time sewerage.do which we use for determining our model coefficients</t>
  </si>
  <si>
    <t>Capex in business plan - wholesale wastewater</t>
  </si>
  <si>
    <t>Ofwat best forecast is a 3-year moving average. We dropped linear trend because it  produced negative forecasts for most companies in several years. We dropped rolling over the past average because it consistently overestimates as it failed to capture the downward trend shown in most companies' forecasts.</t>
  </si>
  <si>
    <t>2. NES, SWB, WSX - we could potentially use Ofwat forecast because is lower than the company's forecast and the modelled allowance is ~ company requested</t>
  </si>
  <si>
    <t>1. ANH - use company's forecast. Allowances based on company's forecast already correspond to a cut of ~26%. Should we use the lower Ofwat forecasts the cut would be even more significant</t>
  </si>
  <si>
    <t>2. NES, SWB, WSX, YKY - we could potentially use Ofwat forecast because is lower than the company's forecast and the modelled allowance is ~ company requested</t>
  </si>
  <si>
    <t>4. WSH - both company and Ofwat forecast generate similar forecasts</t>
  </si>
  <si>
    <t>Allowed costs - First time sewerage costs</t>
  </si>
  <si>
    <t>Ofwat's forecast of cost drivers for first time sewerage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</si>
</sst>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_(* \(#,##0.00\);_(* &quot;-&quot;??_);_(@_)"/>
    <numFmt numFmtId="165" formatCode="_-* #,##0.0_-;\-* #,##0.0_-;_-* &quot;-&quot;??_-;_-@_-"/>
    <numFmt numFmtId="166" formatCode="#,##0.0_ ;\-#,##0.0\ "/>
    <numFmt numFmtId="167" formatCode="_-* #,##0_-;\-* #,##0_-;_-* &quot;-&quot;??_-;_-@_-"/>
    <numFmt numFmtId="168" formatCode="0.0"/>
    <numFmt numFmtId="169" formatCode="_(* #,##0_);_(* \(#,##0\);_(* &quot;-&quot;??_);_(@_)"/>
    <numFmt numFmtId="170" formatCode="0.000"/>
    <numFmt numFmtId="171" formatCode="#,##0.0000"/>
    <numFmt numFmtId="172" formatCode="0.000%"/>
    <numFmt numFmtId="173" formatCode="#,##0.00000"/>
    <numFmt numFmtId="174" formatCode="#,##0.000"/>
    <numFmt numFmtId="175" formatCode="#,##0.000_ ;\-#,##0.000\ "/>
    <numFmt numFmtId="176" formatCode="_-* #,##0.000_-;\-* #,##0.000_-;_-* &quot;-&quot;??_-;_-@_-"/>
  </numFmts>
  <fonts count="37" x14ac:knownFonts="1">
    <font>
      <sz val="11"/>
      <color theme="1"/>
      <name val="Arial"/>
      <family val="2"/>
    </font>
    <font>
      <sz val="11"/>
      <color theme="1"/>
      <name val="Arial"/>
      <family val="2"/>
    </font>
    <font>
      <b/>
      <sz val="10"/>
      <color theme="1"/>
      <name val="Calibri"/>
      <family val="2"/>
      <scheme val="minor"/>
    </font>
    <font>
      <sz val="10"/>
      <color theme="1"/>
      <name val="Calibri"/>
      <family val="2"/>
      <scheme val="minor"/>
    </font>
    <font>
      <sz val="10"/>
      <color theme="3"/>
      <name val="Calibri"/>
      <family val="2"/>
      <scheme val="minor"/>
    </font>
    <font>
      <sz val="10"/>
      <color theme="1"/>
      <name val="Calibri"/>
      <family val="2"/>
    </font>
    <font>
      <b/>
      <sz val="12"/>
      <color theme="3"/>
      <name val="Calibri"/>
      <family val="2"/>
    </font>
    <font>
      <b/>
      <sz val="10"/>
      <color theme="1"/>
      <name val="Calibri"/>
      <family val="2"/>
    </font>
    <font>
      <i/>
      <sz val="11"/>
      <color rgb="FF7F7F7F"/>
      <name val="Arial"/>
      <family val="2"/>
    </font>
    <font>
      <sz val="11"/>
      <color theme="1"/>
      <name val="Calibri"/>
      <family val="2"/>
      <scheme val="minor"/>
    </font>
    <font>
      <b/>
      <sz val="10"/>
      <color theme="3"/>
      <name val="Calibri"/>
      <family val="2"/>
    </font>
    <font>
      <sz val="10"/>
      <color theme="1"/>
      <name val="Arial"/>
      <family val="2"/>
    </font>
    <font>
      <b/>
      <sz val="14"/>
      <color theme="1"/>
      <name val="Calibri"/>
      <family val="2"/>
      <scheme val="minor"/>
    </font>
    <font>
      <sz val="10"/>
      <color rgb="FFFF0000"/>
      <name val="Calibri"/>
      <family val="2"/>
      <scheme val="minor"/>
    </font>
    <font>
      <b/>
      <sz val="10"/>
      <color rgb="FFFF0000"/>
      <name val="Calibri"/>
      <family val="2"/>
      <scheme val="minor"/>
    </font>
    <font>
      <b/>
      <sz val="16"/>
      <name val="Arial"/>
      <family val="2"/>
    </font>
    <font>
      <sz val="11"/>
      <name val="Calibri"/>
      <family val="2"/>
      <scheme val="minor"/>
    </font>
    <font>
      <b/>
      <sz val="8"/>
      <name val="Calibri"/>
      <family val="2"/>
      <scheme val="minor"/>
    </font>
    <font>
      <sz val="8"/>
      <color theme="1"/>
      <name val="Calibri"/>
      <family val="2"/>
      <scheme val="minor"/>
    </font>
    <font>
      <sz val="10"/>
      <name val="Calibri"/>
      <family val="2"/>
      <scheme val="minor"/>
    </font>
    <font>
      <b/>
      <sz val="10"/>
      <name val="Calibri"/>
      <family val="2"/>
      <scheme val="minor"/>
    </font>
    <font>
      <b/>
      <sz val="14"/>
      <color theme="0"/>
      <name val="Arial"/>
      <family val="2"/>
    </font>
    <font>
      <b/>
      <sz val="8"/>
      <color theme="0"/>
      <name val="Calibri"/>
      <family val="2"/>
      <scheme val="minor"/>
    </font>
    <font>
      <sz val="12"/>
      <color rgb="FF002060"/>
      <name val="Calibri"/>
      <family val="2"/>
      <scheme val="minor"/>
    </font>
    <font>
      <i/>
      <sz val="10"/>
      <color theme="1"/>
      <name val="Calibri"/>
      <family val="2"/>
      <scheme val="minor"/>
    </font>
    <font>
      <b/>
      <i/>
      <sz val="10"/>
      <color theme="1"/>
      <name val="Calibri"/>
      <family val="2"/>
      <scheme val="minor"/>
    </font>
    <font>
      <b/>
      <sz val="10"/>
      <color theme="3"/>
      <name val="Calibri"/>
      <family val="2"/>
      <scheme val="minor"/>
    </font>
    <font>
      <i/>
      <sz val="10"/>
      <color rgb="FF7F7F7F"/>
      <name val="Calibri"/>
      <family val="2"/>
      <scheme val="minor"/>
    </font>
    <font>
      <sz val="10"/>
      <name val="Arial"/>
      <family val="2"/>
    </font>
    <font>
      <b/>
      <sz val="11"/>
      <color rgb="FF000000"/>
      <name val="Calibri"/>
      <family val="2"/>
    </font>
    <font>
      <sz val="11"/>
      <color rgb="FF000000"/>
      <name val="Calibri"/>
      <family val="2"/>
    </font>
    <font>
      <b/>
      <sz val="11"/>
      <color theme="1"/>
      <name val="Arial"/>
      <family val="2"/>
    </font>
    <font>
      <sz val="14"/>
      <color theme="3"/>
      <name val="Calibri"/>
      <family val="2"/>
      <scheme val="minor"/>
    </font>
    <font>
      <sz val="12"/>
      <color theme="3"/>
      <name val="Calibri"/>
      <family val="2"/>
      <scheme val="minor"/>
    </font>
    <font>
      <sz val="11"/>
      <color theme="1"/>
      <name val="Calibri"/>
      <family val="2"/>
    </font>
    <font>
      <b/>
      <sz val="11"/>
      <color theme="1"/>
      <name val="Calibri"/>
      <family val="2"/>
    </font>
    <font>
      <b/>
      <u/>
      <sz val="11"/>
      <color theme="1"/>
      <name val="Calibri"/>
      <family val="2"/>
    </font>
  </fonts>
  <fills count="1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5"/>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C4BD97"/>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ck">
        <color theme="3"/>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8" fillId="0" borderId="0" applyNumberFormat="0" applyFill="0" applyBorder="0" applyAlignment="0" applyProtection="0"/>
    <xf numFmtId="0" fontId="9" fillId="0" borderId="0"/>
    <xf numFmtId="0" fontId="1" fillId="0" borderId="0"/>
    <xf numFmtId="0" fontId="1" fillId="0" borderId="0"/>
    <xf numFmtId="0" fontId="1" fillId="0" borderId="0"/>
    <xf numFmtId="164" fontId="9" fillId="0" borderId="0" applyFont="0" applyFill="0" applyBorder="0" applyAlignment="0" applyProtection="0"/>
    <xf numFmtId="9" fontId="9" fillId="0" borderId="0" applyFont="0" applyFill="0" applyBorder="0" applyAlignment="0" applyProtection="0"/>
    <xf numFmtId="164" fontId="1" fillId="0" borderId="0" applyFont="0" applyFill="0" applyBorder="0" applyAlignment="0" applyProtection="0"/>
    <xf numFmtId="0" fontId="28" fillId="0" borderId="0"/>
    <xf numFmtId="0" fontId="9" fillId="0" borderId="0"/>
  </cellStyleXfs>
  <cellXfs count="243">
    <xf numFmtId="0" fontId="0" fillId="0" borderId="0" xfId="0"/>
    <xf numFmtId="0" fontId="3" fillId="0" borderId="0" xfId="0" applyFont="1"/>
    <xf numFmtId="0" fontId="3" fillId="0" borderId="3" xfId="0" applyFont="1" applyBorder="1"/>
    <xf numFmtId="9" fontId="3" fillId="0" borderId="3" xfId="0" applyNumberFormat="1" applyFont="1" applyBorder="1"/>
    <xf numFmtId="0" fontId="2" fillId="0" borderId="0" xfId="0" applyFont="1"/>
    <xf numFmtId="0" fontId="3" fillId="0" borderId="0" xfId="0" applyFont="1" applyFill="1"/>
    <xf numFmtId="0" fontId="2" fillId="0" borderId="0" xfId="0" applyFont="1" applyFill="1"/>
    <xf numFmtId="0" fontId="2" fillId="2" borderId="3" xfId="0" applyFont="1" applyFill="1" applyBorder="1" applyAlignment="1">
      <alignment wrapText="1"/>
    </xf>
    <xf numFmtId="0" fontId="5" fillId="2" borderId="3" xfId="0" applyFont="1" applyFill="1" applyBorder="1" applyAlignment="1">
      <alignment vertical="center"/>
    </xf>
    <xf numFmtId="0" fontId="3" fillId="2" borderId="3" xfId="0" applyFont="1" applyFill="1" applyBorder="1"/>
    <xf numFmtId="0" fontId="6" fillId="0" borderId="0" xfId="0" applyFont="1" applyFill="1" applyBorder="1"/>
    <xf numFmtId="0" fontId="2" fillId="0" borderId="1" xfId="0" applyFont="1" applyFill="1" applyBorder="1" applyAlignment="1">
      <alignment horizontal="centerContinuous"/>
    </xf>
    <xf numFmtId="0" fontId="3" fillId="0" borderId="2" xfId="0" applyFont="1" applyBorder="1" applyAlignment="1">
      <alignment horizontal="centerContinuous"/>
    </xf>
    <xf numFmtId="0" fontId="3" fillId="0" borderId="4" xfId="0" applyFont="1" applyBorder="1" applyAlignment="1">
      <alignment horizontal="centerContinuous"/>
    </xf>
    <xf numFmtId="0" fontId="4" fillId="0" borderId="0" xfId="0" applyFont="1"/>
    <xf numFmtId="0" fontId="3" fillId="0" borderId="3" xfId="0" applyFont="1" applyBorder="1" applyAlignment="1">
      <alignment horizontal="centerContinuous"/>
    </xf>
    <xf numFmtId="9" fontId="5" fillId="6" borderId="3" xfId="3" applyFont="1" applyFill="1" applyBorder="1" applyAlignment="1">
      <alignment horizontal="center" vertical="center" wrapText="1"/>
    </xf>
    <xf numFmtId="0" fontId="10" fillId="0" borderId="3" xfId="0" applyFont="1" applyFill="1" applyBorder="1" applyAlignment="1">
      <alignment horizontal="centerContinuous" vertical="center"/>
    </xf>
    <xf numFmtId="0" fontId="7" fillId="0" borderId="0" xfId="0" applyFont="1" applyFill="1"/>
    <xf numFmtId="0" fontId="11" fillId="0" borderId="0" xfId="0" applyFont="1"/>
    <xf numFmtId="0" fontId="5" fillId="6" borderId="3" xfId="0" applyFont="1" applyFill="1" applyBorder="1" applyAlignment="1">
      <alignment horizontal="center" vertical="center" wrapText="1"/>
    </xf>
    <xf numFmtId="0" fontId="5" fillId="0" borderId="3" xfId="0" applyFont="1" applyBorder="1"/>
    <xf numFmtId="0" fontId="2" fillId="3" borderId="3" xfId="0" applyFont="1" applyFill="1" applyBorder="1" applyAlignment="1">
      <alignment horizontal="centerContinuous" wrapText="1"/>
    </xf>
    <xf numFmtId="2" fontId="5" fillId="0" borderId="3" xfId="1" applyNumberFormat="1" applyFont="1" applyBorder="1" applyAlignment="1">
      <alignment vertical="center" wrapText="1"/>
    </xf>
    <xf numFmtId="0" fontId="2" fillId="0" borderId="1" xfId="0" applyFont="1" applyBorder="1"/>
    <xf numFmtId="0" fontId="2" fillId="0" borderId="2" xfId="0" applyFont="1" applyBorder="1"/>
    <xf numFmtId="164" fontId="2" fillId="0" borderId="4" xfId="1" applyFont="1" applyBorder="1"/>
    <xf numFmtId="0" fontId="12" fillId="7" borderId="0" xfId="0" applyFont="1" applyFill="1"/>
    <xf numFmtId="164" fontId="3" fillId="0" borderId="3" xfId="0" applyNumberFormat="1" applyFont="1" applyBorder="1"/>
    <xf numFmtId="0" fontId="2" fillId="0" borderId="3" xfId="0" applyFont="1" applyFill="1" applyBorder="1" applyAlignment="1">
      <alignment horizontal="centerContinuous"/>
    </xf>
    <xf numFmtId="0" fontId="3" fillId="0" borderId="0" xfId="0" quotePrefix="1" applyFont="1"/>
    <xf numFmtId="0" fontId="2" fillId="2" borderId="3" xfId="0" applyFont="1" applyFill="1" applyBorder="1" applyAlignment="1">
      <alignment vertical="center" wrapText="1"/>
    </xf>
    <xf numFmtId="0" fontId="2" fillId="3" borderId="3" xfId="0" applyFont="1" applyFill="1" applyBorder="1" applyAlignment="1">
      <alignment horizontal="left" vertical="center" wrapText="1"/>
    </xf>
    <xf numFmtId="0" fontId="2" fillId="4" borderId="3" xfId="0" applyFont="1" applyFill="1" applyBorder="1" applyAlignment="1">
      <alignment vertical="center" wrapText="1"/>
    </xf>
    <xf numFmtId="0" fontId="3" fillId="0" borderId="0" xfId="0" applyFont="1" applyAlignment="1">
      <alignment vertical="center"/>
    </xf>
    <xf numFmtId="3" fontId="3" fillId="4" borderId="3" xfId="1" applyNumberFormat="1" applyFont="1" applyFill="1" applyBorder="1"/>
    <xf numFmtId="0" fontId="3" fillId="0" borderId="0" xfId="7" applyFont="1"/>
    <xf numFmtId="0" fontId="2" fillId="0" borderId="3" xfId="7" applyFont="1" applyBorder="1" applyAlignment="1">
      <alignment horizontal="centerContinuous"/>
    </xf>
    <xf numFmtId="0" fontId="2" fillId="0" borderId="0" xfId="8" applyFont="1" applyFill="1"/>
    <xf numFmtId="0" fontId="3" fillId="0" borderId="0" xfId="8" applyFont="1" applyFill="1"/>
    <xf numFmtId="0" fontId="2" fillId="0" borderId="0" xfId="7" applyFont="1" applyFill="1" applyAlignment="1">
      <alignment horizontal="left" vertical="top" wrapText="1"/>
    </xf>
    <xf numFmtId="0" fontId="6" fillId="0" borderId="0" xfId="7" applyFont="1"/>
    <xf numFmtId="2" fontId="5" fillId="3" borderId="3" xfId="1" applyNumberFormat="1" applyFont="1" applyFill="1" applyBorder="1"/>
    <xf numFmtId="2" fontId="3" fillId="3" borderId="3" xfId="1" applyNumberFormat="1" applyFont="1" applyFill="1" applyBorder="1"/>
    <xf numFmtId="2" fontId="3" fillId="3" borderId="3" xfId="0" applyNumberFormat="1" applyFont="1" applyFill="1" applyBorder="1"/>
    <xf numFmtId="0" fontId="3" fillId="0" borderId="3" xfId="7" applyFont="1" applyBorder="1" applyAlignment="1">
      <alignment horizontal="left" vertical="center" wrapText="1"/>
    </xf>
    <xf numFmtId="0" fontId="2" fillId="0" borderId="3" xfId="0" applyFont="1" applyBorder="1" applyAlignment="1">
      <alignment vertical="center" wrapText="1"/>
    </xf>
    <xf numFmtId="0" fontId="2" fillId="0" borderId="0" xfId="0" applyFont="1" applyBorder="1" applyAlignment="1"/>
    <xf numFmtId="0" fontId="2" fillId="0" borderId="0" xfId="0" applyFont="1" applyBorder="1" applyAlignment="1">
      <alignment wrapText="1"/>
    </xf>
    <xf numFmtId="0" fontId="2" fillId="5" borderId="3" xfId="0" applyFont="1" applyFill="1" applyBorder="1" applyAlignment="1">
      <alignment horizontal="left" vertical="center" wrapText="1"/>
    </xf>
    <xf numFmtId="0" fontId="2" fillId="5" borderId="3" xfId="0" quotePrefix="1" applyFont="1" applyFill="1" applyBorder="1" applyAlignment="1">
      <alignment horizontal="left" vertical="center" wrapText="1"/>
    </xf>
    <xf numFmtId="0" fontId="2" fillId="3" borderId="3" xfId="0" applyFont="1" applyFill="1" applyBorder="1" applyAlignment="1">
      <alignment vertical="center" wrapText="1"/>
    </xf>
    <xf numFmtId="0" fontId="2" fillId="4" borderId="6" xfId="0" applyFont="1" applyFill="1" applyBorder="1" applyAlignment="1">
      <alignment vertical="center" wrapText="1"/>
    </xf>
    <xf numFmtId="3" fontId="3" fillId="0" borderId="3" xfId="0" applyNumberFormat="1" applyFont="1" applyBorder="1"/>
    <xf numFmtId="3" fontId="3" fillId="0" borderId="0" xfId="0" applyNumberFormat="1" applyFont="1"/>
    <xf numFmtId="0" fontId="14" fillId="0" borderId="0" xfId="0" applyFont="1" applyFill="1"/>
    <xf numFmtId="0" fontId="13" fillId="0" borderId="0" xfId="0" applyFont="1"/>
    <xf numFmtId="0" fontId="13" fillId="0" borderId="0" xfId="0" applyFont="1" applyAlignment="1">
      <alignment vertical="center"/>
    </xf>
    <xf numFmtId="0" fontId="2" fillId="2" borderId="1" xfId="0" applyFont="1" applyFill="1" applyBorder="1" applyAlignment="1">
      <alignment vertical="center" wrapText="1"/>
    </xf>
    <xf numFmtId="0" fontId="2" fillId="0" borderId="0" xfId="0" applyFont="1" applyAlignment="1">
      <alignment vertical="center"/>
    </xf>
    <xf numFmtId="0" fontId="3" fillId="0" borderId="3" xfId="0" applyFont="1" applyBorder="1" applyAlignment="1">
      <alignment horizontal="centerContinuous" vertical="center" wrapText="1"/>
    </xf>
    <xf numFmtId="3" fontId="3" fillId="10" borderId="3" xfId="0" applyNumberFormat="1" applyFont="1" applyFill="1" applyBorder="1"/>
    <xf numFmtId="3" fontId="2" fillId="0" borderId="3" xfId="0" applyNumberFormat="1" applyFont="1" applyBorder="1" applyAlignment="1">
      <alignment horizontal="center"/>
    </xf>
    <xf numFmtId="0" fontId="15" fillId="11" borderId="9" xfId="5" applyFont="1" applyFill="1" applyBorder="1" applyAlignment="1">
      <alignment vertical="center"/>
    </xf>
    <xf numFmtId="0" fontId="16" fillId="11" borderId="0" xfId="5" applyFont="1" applyFill="1" applyAlignment="1">
      <alignment vertical="center"/>
    </xf>
    <xf numFmtId="0" fontId="17" fillId="11" borderId="9" xfId="5" applyFont="1" applyFill="1" applyBorder="1" applyAlignment="1">
      <alignment vertical="center"/>
    </xf>
    <xf numFmtId="0" fontId="9" fillId="0" borderId="0" xfId="5"/>
    <xf numFmtId="0" fontId="3" fillId="0" borderId="0" xfId="5" applyFont="1"/>
    <xf numFmtId="0" fontId="18" fillId="0" borderId="0" xfId="5" applyFont="1"/>
    <xf numFmtId="0" fontId="3" fillId="5" borderId="10" xfId="5" applyFont="1" applyFill="1" applyBorder="1" applyAlignment="1">
      <alignment horizontal="centerContinuous"/>
    </xf>
    <xf numFmtId="0" fontId="3" fillId="5" borderId="11" xfId="5" applyFont="1" applyFill="1" applyBorder="1" applyAlignment="1">
      <alignment horizontal="centerContinuous"/>
    </xf>
    <xf numFmtId="0" fontId="3" fillId="6" borderId="10" xfId="5" applyFont="1" applyFill="1" applyBorder="1" applyAlignment="1">
      <alignment horizontal="centerContinuous"/>
    </xf>
    <xf numFmtId="0" fontId="3" fillId="6" borderId="11" xfId="5" applyFont="1" applyFill="1" applyBorder="1" applyAlignment="1">
      <alignment horizontal="centerContinuous"/>
    </xf>
    <xf numFmtId="0" fontId="2" fillId="3" borderId="1" xfId="5" applyFont="1" applyFill="1" applyBorder="1" applyAlignment="1">
      <alignment horizontal="centerContinuous"/>
    </xf>
    <xf numFmtId="0" fontId="2" fillId="3" borderId="2" xfId="5" applyFont="1" applyFill="1" applyBorder="1" applyAlignment="1">
      <alignment horizontal="centerContinuous"/>
    </xf>
    <xf numFmtId="0" fontId="2" fillId="3" borderId="4" xfId="5" applyFont="1" applyFill="1" applyBorder="1" applyAlignment="1">
      <alignment horizontal="centerContinuous"/>
    </xf>
    <xf numFmtId="0" fontId="2" fillId="5" borderId="3" xfId="5" applyFont="1" applyFill="1" applyBorder="1" applyAlignment="1">
      <alignment horizontal="center"/>
    </xf>
    <xf numFmtId="3" fontId="2" fillId="12" borderId="3" xfId="5" applyNumberFormat="1" applyFont="1" applyFill="1" applyBorder="1" applyAlignment="1">
      <alignment horizontal="center"/>
    </xf>
    <xf numFmtId="0" fontId="2" fillId="6" borderId="3" xfId="5" applyFont="1" applyFill="1" applyBorder="1" applyAlignment="1">
      <alignment horizontal="center"/>
    </xf>
    <xf numFmtId="0" fontId="2" fillId="3" borderId="8" xfId="5" applyFont="1" applyFill="1" applyBorder="1" applyAlignment="1">
      <alignment horizontal="center"/>
    </xf>
    <xf numFmtId="0" fontId="3" fillId="5" borderId="3" xfId="5" applyFont="1" applyFill="1" applyBorder="1" applyAlignment="1">
      <alignment horizontal="center"/>
    </xf>
    <xf numFmtId="169" fontId="3" fillId="12" borderId="3" xfId="9" applyNumberFormat="1" applyFont="1" applyFill="1" applyBorder="1"/>
    <xf numFmtId="169" fontId="3" fillId="6" borderId="3" xfId="9" applyNumberFormat="1" applyFont="1" applyFill="1" applyBorder="1"/>
    <xf numFmtId="0" fontId="3" fillId="13" borderId="3" xfId="5" applyFont="1" applyFill="1" applyBorder="1" applyAlignment="1">
      <alignment horizontal="center"/>
    </xf>
    <xf numFmtId="169" fontId="3" fillId="13" borderId="3" xfId="9" applyNumberFormat="1" applyFont="1" applyFill="1" applyBorder="1"/>
    <xf numFmtId="170" fontId="3" fillId="0" borderId="3" xfId="5" applyNumberFormat="1" applyFont="1" applyBorder="1" applyAlignment="1">
      <alignment vertical="center" wrapText="1"/>
    </xf>
    <xf numFmtId="168" fontId="2" fillId="0" borderId="3" xfId="5" applyNumberFormat="1" applyFont="1" applyBorder="1" applyAlignment="1">
      <alignment vertical="center" wrapText="1"/>
    </xf>
    <xf numFmtId="169" fontId="2" fillId="12" borderId="3" xfId="9" applyNumberFormat="1" applyFont="1" applyFill="1" applyBorder="1"/>
    <xf numFmtId="169" fontId="2" fillId="6" borderId="3" xfId="9" applyNumberFormat="1" applyFont="1" applyFill="1" applyBorder="1"/>
    <xf numFmtId="3" fontId="20" fillId="3" borderId="1" xfId="9" applyNumberFormat="1" applyFont="1" applyFill="1" applyBorder="1" applyAlignment="1">
      <alignment vertical="center"/>
    </xf>
    <xf numFmtId="3" fontId="20" fillId="3" borderId="3" xfId="9" applyNumberFormat="1" applyFont="1" applyFill="1" applyBorder="1" applyAlignment="1">
      <alignment vertical="center"/>
    </xf>
    <xf numFmtId="0" fontId="21" fillId="14" borderId="0" xfId="5" applyFont="1" applyFill="1" applyAlignment="1">
      <alignment horizontal="left"/>
    </xf>
    <xf numFmtId="0" fontId="9" fillId="14" borderId="0" xfId="5" applyFill="1"/>
    <xf numFmtId="0" fontId="22" fillId="14" borderId="0" xfId="5" applyFont="1" applyFill="1"/>
    <xf numFmtId="0" fontId="0" fillId="9" borderId="0" xfId="5" applyFont="1" applyFill="1"/>
    <xf numFmtId="0" fontId="9" fillId="9" borderId="0" xfId="5" applyFill="1"/>
    <xf numFmtId="0" fontId="23" fillId="0" borderId="0" xfId="5" applyFont="1" applyFill="1"/>
    <xf numFmtId="3" fontId="18" fillId="0" borderId="0" xfId="5" applyNumberFormat="1" applyFont="1" applyFill="1"/>
    <xf numFmtId="3" fontId="2" fillId="5" borderId="1" xfId="5" applyNumberFormat="1" applyFont="1" applyFill="1" applyBorder="1" applyAlignment="1">
      <alignment horizontal="centerContinuous"/>
    </xf>
    <xf numFmtId="0" fontId="2" fillId="12" borderId="1" xfId="5" applyFont="1" applyFill="1" applyBorder="1" applyAlignment="1">
      <alignment horizontal="centerContinuous"/>
    </xf>
    <xf numFmtId="0" fontId="3" fillId="12" borderId="2" xfId="5" applyFont="1" applyFill="1" applyBorder="1" applyAlignment="1">
      <alignment horizontal="centerContinuous"/>
    </xf>
    <xf numFmtId="0" fontId="3" fillId="12" borderId="4" xfId="5" applyFont="1" applyFill="1" applyBorder="1" applyAlignment="1">
      <alignment horizontal="centerContinuous"/>
    </xf>
    <xf numFmtId="0" fontId="2" fillId="6" borderId="12" xfId="5" applyFont="1" applyFill="1" applyBorder="1" applyAlignment="1">
      <alignment horizontal="centerContinuous"/>
    </xf>
    <xf numFmtId="3" fontId="3" fillId="0" borderId="0" xfId="5" applyNumberFormat="1" applyFont="1"/>
    <xf numFmtId="0" fontId="3" fillId="0" borderId="3" xfId="5" applyFont="1" applyBorder="1" applyAlignment="1">
      <alignment horizontal="right" vertical="center" wrapText="1"/>
    </xf>
    <xf numFmtId="0" fontId="24" fillId="0" borderId="3" xfId="5" applyFont="1" applyBorder="1" applyAlignment="1">
      <alignment horizontal="right"/>
    </xf>
    <xf numFmtId="0" fontId="25" fillId="5" borderId="3" xfId="5" applyFont="1" applyFill="1" applyBorder="1" applyAlignment="1">
      <alignment horizontal="center"/>
    </xf>
    <xf numFmtId="0" fontId="25" fillId="12" borderId="3" xfId="5" applyFont="1" applyFill="1" applyBorder="1" applyAlignment="1">
      <alignment horizontal="center"/>
    </xf>
    <xf numFmtId="0" fontId="25" fillId="6" borderId="3" xfId="5" applyFont="1" applyFill="1" applyBorder="1" applyAlignment="1">
      <alignment horizontal="center"/>
    </xf>
    <xf numFmtId="2" fontId="3" fillId="3" borderId="3" xfId="9" applyNumberFormat="1" applyFont="1" applyFill="1" applyBorder="1"/>
    <xf numFmtId="0" fontId="3" fillId="6" borderId="3" xfId="5" applyFont="1" applyFill="1" applyBorder="1" applyAlignment="1">
      <alignment horizontal="center"/>
    </xf>
    <xf numFmtId="0" fontId="19" fillId="6" borderId="3" xfId="5" applyFont="1" applyFill="1" applyBorder="1" applyAlignment="1">
      <alignment horizontal="center"/>
    </xf>
    <xf numFmtId="0" fontId="3" fillId="0" borderId="3" xfId="5" applyFont="1" applyBorder="1" applyAlignment="1">
      <alignment horizontal="center" wrapText="1"/>
    </xf>
    <xf numFmtId="171" fontId="18" fillId="0" borderId="0" xfId="5" applyNumberFormat="1" applyFont="1" applyFill="1"/>
    <xf numFmtId="172" fontId="18" fillId="0" borderId="0" xfId="10" applyNumberFormat="1" applyFont="1" applyFill="1"/>
    <xf numFmtId="173" fontId="18" fillId="0" borderId="0" xfId="5" applyNumberFormat="1" applyFont="1" applyFill="1"/>
    <xf numFmtId="10" fontId="18" fillId="0" borderId="0" xfId="10" applyNumberFormat="1" applyFont="1" applyFill="1"/>
    <xf numFmtId="0" fontId="2" fillId="0" borderId="0" xfId="5" applyFont="1" applyFill="1" applyBorder="1" applyAlignment="1">
      <alignment vertical="center" wrapText="1"/>
    </xf>
    <xf numFmtId="1" fontId="3" fillId="12" borderId="3" xfId="9" applyNumberFormat="1" applyFont="1" applyFill="1" applyBorder="1"/>
    <xf numFmtId="1" fontId="3" fillId="6" borderId="3" xfId="9" applyNumberFormat="1" applyFont="1" applyFill="1" applyBorder="1"/>
    <xf numFmtId="1" fontId="3" fillId="3" borderId="3" xfId="9" applyNumberFormat="1" applyFont="1" applyFill="1" applyBorder="1"/>
    <xf numFmtId="1" fontId="3" fillId="13" borderId="3" xfId="9" applyNumberFormat="1" applyFont="1" applyFill="1" applyBorder="1"/>
    <xf numFmtId="1" fontId="2" fillId="5" borderId="3" xfId="5" applyNumberFormat="1" applyFont="1" applyFill="1" applyBorder="1" applyAlignment="1">
      <alignment horizontal="center"/>
    </xf>
    <xf numFmtId="3" fontId="20" fillId="6" borderId="1" xfId="9" applyNumberFormat="1" applyFont="1" applyFill="1" applyBorder="1" applyAlignment="1">
      <alignment vertical="center"/>
    </xf>
    <xf numFmtId="1" fontId="20" fillId="3" borderId="1" xfId="9" applyNumberFormat="1" applyFont="1" applyFill="1" applyBorder="1" applyAlignment="1">
      <alignment vertical="center"/>
    </xf>
    <xf numFmtId="1" fontId="20" fillId="3" borderId="3" xfId="9" applyNumberFormat="1" applyFont="1" applyFill="1" applyBorder="1" applyAlignment="1">
      <alignment vertical="center"/>
    </xf>
    <xf numFmtId="0" fontId="3" fillId="0" borderId="1" xfId="0" applyFont="1" applyFill="1" applyBorder="1" applyAlignment="1">
      <alignment horizontal="centerContinuous"/>
    </xf>
    <xf numFmtId="3" fontId="3" fillId="5" borderId="3" xfId="5" applyNumberFormat="1" applyFont="1" applyFill="1" applyBorder="1" applyAlignment="1">
      <alignment horizontal="center"/>
    </xf>
    <xf numFmtId="3" fontId="3" fillId="13" borderId="3" xfId="5" applyNumberFormat="1" applyFont="1" applyFill="1" applyBorder="1" applyAlignment="1">
      <alignment horizontal="center"/>
    </xf>
    <xf numFmtId="0" fontId="2" fillId="0" borderId="2" xfId="0" applyFont="1" applyBorder="1" applyAlignment="1">
      <alignment horizontal="centerContinuous" vertical="center"/>
    </xf>
    <xf numFmtId="167" fontId="3" fillId="0" borderId="3" xfId="1" applyNumberFormat="1" applyFont="1" applyBorder="1" applyAlignment="1">
      <alignment vertical="center"/>
    </xf>
    <xf numFmtId="0" fontId="2" fillId="0" borderId="3" xfId="0" applyFont="1" applyBorder="1" applyAlignment="1">
      <alignment horizontal="centerContinuous" vertical="center"/>
    </xf>
    <xf numFmtId="168" fontId="2" fillId="0" borderId="0" xfId="5" applyNumberFormat="1" applyFont="1" applyBorder="1" applyAlignment="1">
      <alignment vertical="center" wrapText="1"/>
    </xf>
    <xf numFmtId="1" fontId="2" fillId="5" borderId="0" xfId="5" applyNumberFormat="1" applyFont="1" applyFill="1" applyBorder="1" applyAlignment="1">
      <alignment horizontal="center"/>
    </xf>
    <xf numFmtId="169" fontId="2" fillId="12" borderId="0" xfId="9" applyNumberFormat="1" applyFont="1" applyFill="1" applyBorder="1"/>
    <xf numFmtId="3" fontId="20" fillId="6" borderId="0" xfId="9" applyNumberFormat="1" applyFont="1" applyFill="1" applyBorder="1" applyAlignment="1">
      <alignment vertical="center"/>
    </xf>
    <xf numFmtId="1" fontId="20" fillId="3" borderId="0" xfId="9" applyNumberFormat="1" applyFont="1" applyFill="1" applyBorder="1" applyAlignment="1">
      <alignment vertical="center"/>
    </xf>
    <xf numFmtId="0" fontId="3" fillId="6" borderId="0" xfId="5" applyFont="1" applyFill="1" applyBorder="1" applyAlignment="1">
      <alignment horizontal="center"/>
    </xf>
    <xf numFmtId="0" fontId="19" fillId="6" borderId="0" xfId="5" applyFont="1" applyFill="1" applyBorder="1" applyAlignment="1">
      <alignment horizontal="center"/>
    </xf>
    <xf numFmtId="0" fontId="3" fillId="0" borderId="0" xfId="5" applyFont="1" applyBorder="1" applyAlignment="1">
      <alignment horizontal="center" wrapText="1"/>
    </xf>
    <xf numFmtId="3" fontId="3" fillId="0" borderId="3" xfId="1" applyNumberFormat="1" applyFont="1" applyBorder="1" applyAlignment="1">
      <alignment vertical="center"/>
    </xf>
    <xf numFmtId="0" fontId="26" fillId="0" borderId="3" xfId="0" applyFont="1" applyFill="1" applyBorder="1" applyAlignment="1">
      <alignment horizontal="centerContinuous" vertical="center"/>
    </xf>
    <xf numFmtId="0" fontId="3" fillId="0" borderId="3" xfId="0" applyFont="1" applyBorder="1" applyAlignment="1">
      <alignment horizontal="centerContinuous" vertical="center"/>
    </xf>
    <xf numFmtId="9" fontId="3" fillId="6" borderId="3" xfId="3" applyFont="1" applyFill="1" applyBorder="1" applyAlignment="1">
      <alignment horizontal="center" vertical="center" wrapText="1"/>
    </xf>
    <xf numFmtId="0" fontId="9" fillId="0" borderId="0" xfId="0" applyFont="1"/>
    <xf numFmtId="0" fontId="13" fillId="0" borderId="0" xfId="0" applyFont="1" applyFill="1"/>
    <xf numFmtId="174" fontId="3" fillId="4" borderId="3" xfId="1" applyNumberFormat="1" applyFont="1" applyFill="1" applyBorder="1"/>
    <xf numFmtId="170" fontId="3" fillId="0" borderId="0" xfId="0" applyNumberFormat="1" applyFont="1"/>
    <xf numFmtId="170" fontId="3" fillId="0" borderId="4" xfId="0" applyNumberFormat="1" applyFont="1" applyBorder="1" applyAlignment="1">
      <alignment horizontal="centerContinuous"/>
    </xf>
    <xf numFmtId="170" fontId="3" fillId="4" borderId="3" xfId="1" applyNumberFormat="1" applyFont="1" applyFill="1" applyBorder="1"/>
    <xf numFmtId="2" fontId="3" fillId="0" borderId="0" xfId="0" applyNumberFormat="1" applyFont="1"/>
    <xf numFmtId="2" fontId="3" fillId="0" borderId="2" xfId="0" applyNumberFormat="1" applyFont="1" applyBorder="1" applyAlignment="1">
      <alignment horizontal="centerContinuous"/>
    </xf>
    <xf numFmtId="2" fontId="2" fillId="4" borderId="3" xfId="0" applyNumberFormat="1" applyFont="1" applyFill="1" applyBorder="1" applyAlignment="1">
      <alignment vertical="center" wrapText="1"/>
    </xf>
    <xf numFmtId="2" fontId="3" fillId="4" borderId="3" xfId="1" applyNumberFormat="1" applyFont="1" applyFill="1" applyBorder="1"/>
    <xf numFmtId="0" fontId="3" fillId="0" borderId="3" xfId="7" applyFont="1" applyBorder="1" applyAlignment="1">
      <alignment horizontal="center"/>
    </xf>
    <xf numFmtId="0" fontId="7" fillId="0" borderId="3" xfId="7" applyFont="1" applyBorder="1" applyAlignment="1">
      <alignment vertical="center"/>
    </xf>
    <xf numFmtId="0" fontId="3" fillId="0" borderId="3" xfId="8" applyFont="1" applyFill="1" applyBorder="1" applyAlignment="1">
      <alignment vertical="center"/>
    </xf>
    <xf numFmtId="0" fontId="3" fillId="0" borderId="3" xfId="8" applyFont="1" applyFill="1" applyBorder="1" applyAlignment="1">
      <alignment vertical="center" wrapText="1"/>
    </xf>
    <xf numFmtId="171" fontId="5" fillId="0" borderId="3" xfId="7" applyNumberFormat="1" applyFont="1" applyFill="1" applyBorder="1" applyAlignment="1">
      <alignment vertical="center"/>
    </xf>
    <xf numFmtId="0" fontId="5" fillId="0" borderId="0" xfId="0" applyFont="1" applyFill="1" applyBorder="1"/>
    <xf numFmtId="165" fontId="3" fillId="0" borderId="0" xfId="1" applyNumberFormat="1" applyFont="1" applyFill="1" applyBorder="1"/>
    <xf numFmtId="2" fontId="5" fillId="0" borderId="0" xfId="1" applyNumberFormat="1" applyFont="1" applyFill="1" applyBorder="1" applyAlignment="1">
      <alignment vertical="center" wrapText="1"/>
    </xf>
    <xf numFmtId="2" fontId="5" fillId="10" borderId="3" xfId="1" applyNumberFormat="1" applyFont="1" applyFill="1" applyBorder="1" applyAlignment="1">
      <alignment vertical="center" wrapText="1"/>
    </xf>
    <xf numFmtId="0" fontId="3" fillId="0" borderId="3" xfId="7" applyFont="1" applyBorder="1" applyAlignment="1">
      <alignment horizontal="centerContinuous" vertical="center"/>
    </xf>
    <xf numFmtId="2" fontId="3" fillId="0" borderId="0" xfId="0" applyNumberFormat="1" applyFont="1" applyBorder="1" applyAlignment="1">
      <alignment horizontal="centerContinuous"/>
    </xf>
    <xf numFmtId="2" fontId="3" fillId="0" borderId="0" xfId="0" applyNumberFormat="1" applyFont="1" applyBorder="1"/>
    <xf numFmtId="0" fontId="3" fillId="0" borderId="3" xfId="0" applyFont="1" applyBorder="1" applyAlignment="1">
      <alignment horizontal="center"/>
    </xf>
    <xf numFmtId="0" fontId="3" fillId="8" borderId="3" xfId="0" applyFont="1" applyFill="1" applyBorder="1" applyAlignment="1">
      <alignment horizontal="left"/>
    </xf>
    <xf numFmtId="0" fontId="3" fillId="0" borderId="3" xfId="0" applyFont="1" applyBorder="1" applyAlignment="1"/>
    <xf numFmtId="0" fontId="3" fillId="0" borderId="0" xfId="0" applyFont="1" applyBorder="1" applyAlignment="1"/>
    <xf numFmtId="14" fontId="3" fillId="0" borderId="3" xfId="0" applyNumberFormat="1" applyFont="1" applyBorder="1"/>
    <xf numFmtId="0" fontId="3" fillId="0" borderId="0" xfId="0" applyFont="1" applyBorder="1"/>
    <xf numFmtId="0" fontId="3" fillId="0" borderId="0" xfId="0" applyFont="1" applyBorder="1" applyAlignment="1" applyProtection="1">
      <alignment horizontal="left"/>
      <protection locked="0"/>
    </xf>
    <xf numFmtId="0" fontId="27" fillId="0" borderId="0" xfId="4" applyFont="1"/>
    <xf numFmtId="14" fontId="3" fillId="0" borderId="0" xfId="0" applyNumberFormat="1" applyFont="1" applyBorder="1" applyAlignment="1" applyProtection="1">
      <alignment horizontal="left"/>
      <protection locked="0"/>
    </xf>
    <xf numFmtId="0" fontId="3" fillId="0" borderId="5" xfId="0" applyFont="1" applyBorder="1" applyAlignment="1">
      <alignment vertical="top"/>
    </xf>
    <xf numFmtId="0" fontId="3" fillId="0" borderId="5" xfId="0" applyFont="1" applyBorder="1" applyAlignment="1"/>
    <xf numFmtId="0" fontId="3" fillId="0" borderId="3" xfId="6" applyFont="1" applyBorder="1" applyAlignment="1">
      <alignment horizontal="center"/>
    </xf>
    <xf numFmtId="0" fontId="2" fillId="0" borderId="3" xfId="6" applyFont="1" applyBorder="1"/>
    <xf numFmtId="0" fontId="3" fillId="0" borderId="3" xfId="7" applyFont="1" applyBorder="1" applyAlignment="1">
      <alignment horizontal="left" vertical="center"/>
    </xf>
    <xf numFmtId="0" fontId="3" fillId="0" borderId="3" xfId="0" applyFont="1" applyBorder="1" applyAlignment="1">
      <alignment horizontal="left"/>
    </xf>
    <xf numFmtId="168" fontId="3" fillId="0" borderId="0" xfId="0" applyNumberFormat="1" applyFont="1" applyFill="1"/>
    <xf numFmtId="166" fontId="11" fillId="0" borderId="0" xfId="0" applyNumberFormat="1" applyFont="1"/>
    <xf numFmtId="173" fontId="5" fillId="0" borderId="3" xfId="7" applyNumberFormat="1" applyFont="1" applyFill="1" applyBorder="1" applyAlignment="1">
      <alignment vertical="center"/>
    </xf>
    <xf numFmtId="0" fontId="0" fillId="7" borderId="0" xfId="0" applyFill="1"/>
    <xf numFmtId="0" fontId="31" fillId="7" borderId="0" xfId="0" applyFont="1" applyFill="1"/>
    <xf numFmtId="0" fontId="32" fillId="0" borderId="0" xfId="0" applyFont="1" applyAlignment="1">
      <alignment vertical="center"/>
    </xf>
    <xf numFmtId="0" fontId="33" fillId="0" borderId="0" xfId="0" applyFont="1" applyAlignment="1">
      <alignment vertical="center"/>
    </xf>
    <xf numFmtId="0" fontId="3" fillId="15" borderId="3" xfId="0" applyFont="1" applyFill="1" applyBorder="1" applyAlignment="1">
      <alignment vertical="top" wrapText="1"/>
    </xf>
    <xf numFmtId="0" fontId="2" fillId="15" borderId="3" xfId="0" applyFont="1" applyFill="1" applyBorder="1" applyAlignment="1">
      <alignment vertical="top" wrapText="1"/>
    </xf>
    <xf numFmtId="0" fontId="5" fillId="0" borderId="3" xfId="0" applyFont="1" applyFill="1" applyBorder="1" applyAlignment="1">
      <alignment vertical="center"/>
    </xf>
    <xf numFmtId="0" fontId="3" fillId="0" borderId="3" xfId="0" applyFont="1" applyFill="1" applyBorder="1"/>
    <xf numFmtId="0" fontId="0" fillId="0" borderId="0" xfId="0" applyBorder="1"/>
    <xf numFmtId="0" fontId="36" fillId="16" borderId="12" xfId="0" applyFont="1" applyFill="1" applyBorder="1"/>
    <xf numFmtId="0" fontId="34" fillId="16" borderId="10" xfId="0" applyFont="1" applyFill="1" applyBorder="1"/>
    <xf numFmtId="0" fontId="34" fillId="16" borderId="11" xfId="0" applyFont="1" applyFill="1" applyBorder="1"/>
    <xf numFmtId="0" fontId="34" fillId="16" borderId="13" xfId="0" applyFont="1" applyFill="1" applyBorder="1"/>
    <xf numFmtId="0" fontId="34" fillId="16" borderId="0" xfId="0" applyFont="1" applyFill="1" applyBorder="1"/>
    <xf numFmtId="0" fontId="34" fillId="16" borderId="14" xfId="0" applyFont="1" applyFill="1" applyBorder="1"/>
    <xf numFmtId="0" fontId="35" fillId="16" borderId="13" xfId="0" applyFont="1" applyFill="1" applyBorder="1"/>
    <xf numFmtId="0" fontId="0" fillId="16" borderId="15" xfId="0" applyFont="1" applyFill="1" applyBorder="1"/>
    <xf numFmtId="0" fontId="0" fillId="16" borderId="16" xfId="0" applyFont="1" applyFill="1" applyBorder="1"/>
    <xf numFmtId="0" fontId="0" fillId="16" borderId="17" xfId="0" applyFont="1" applyFill="1" applyBorder="1"/>
    <xf numFmtId="0" fontId="29" fillId="0" borderId="12" xfId="0" applyFont="1" applyBorder="1"/>
    <xf numFmtId="0" fontId="0" fillId="0" borderId="10" xfId="0" applyBorder="1"/>
    <xf numFmtId="0" fontId="9" fillId="0" borderId="10" xfId="5" applyBorder="1"/>
    <xf numFmtId="0" fontId="9" fillId="0" borderId="11" xfId="5" applyBorder="1"/>
    <xf numFmtId="0" fontId="30" fillId="0" borderId="13" xfId="0" applyFont="1" applyBorder="1"/>
    <xf numFmtId="0" fontId="9" fillId="0" borderId="0" xfId="5" applyBorder="1"/>
    <xf numFmtId="0" fontId="9" fillId="0" borderId="14" xfId="5" applyBorder="1"/>
    <xf numFmtId="0" fontId="0" fillId="0" borderId="13" xfId="0" applyBorder="1"/>
    <xf numFmtId="0" fontId="0" fillId="0" borderId="15" xfId="0" applyBorder="1"/>
    <xf numFmtId="0" fontId="0" fillId="0" borderId="16" xfId="0" applyBorder="1"/>
    <xf numFmtId="0" fontId="9" fillId="0" borderId="16" xfId="5" applyBorder="1"/>
    <xf numFmtId="0" fontId="9" fillId="0" borderId="17" xfId="5" applyBorder="1"/>
    <xf numFmtId="175" fontId="3" fillId="0" borderId="3" xfId="1" applyNumberFormat="1" applyFont="1" applyBorder="1"/>
    <xf numFmtId="175" fontId="3" fillId="3" borderId="3" xfId="1" applyNumberFormat="1" applyFont="1" applyFill="1" applyBorder="1"/>
    <xf numFmtId="175" fontId="20" fillId="0" borderId="3" xfId="1" applyNumberFormat="1" applyFont="1" applyBorder="1"/>
    <xf numFmtId="175" fontId="2" fillId="3" borderId="3" xfId="1" applyNumberFormat="1" applyFont="1" applyFill="1" applyBorder="1"/>
    <xf numFmtId="170" fontId="3" fillId="0" borderId="3" xfId="1" applyNumberFormat="1" applyFont="1" applyFill="1" applyBorder="1"/>
    <xf numFmtId="170" fontId="3" fillId="0" borderId="3" xfId="1" applyNumberFormat="1" applyFont="1" applyBorder="1"/>
    <xf numFmtId="170" fontId="3" fillId="10" borderId="3" xfId="1" applyNumberFormat="1" applyFont="1" applyFill="1" applyBorder="1"/>
    <xf numFmtId="174" fontId="3" fillId="0" borderId="3" xfId="0" applyNumberFormat="1" applyFont="1" applyBorder="1"/>
    <xf numFmtId="176" fontId="3" fillId="0" borderId="3" xfId="1" applyNumberFormat="1" applyFont="1" applyBorder="1"/>
    <xf numFmtId="176" fontId="3" fillId="10" borderId="3" xfId="1" applyNumberFormat="1" applyFont="1" applyFill="1" applyBorder="1"/>
    <xf numFmtId="0" fontId="34" fillId="16" borderId="13" xfId="0" applyFont="1" applyFill="1" applyBorder="1" applyAlignment="1">
      <alignment horizontal="left" wrapText="1"/>
    </xf>
    <xf numFmtId="0" fontId="34" fillId="16" borderId="0" xfId="0" applyFont="1" applyFill="1" applyBorder="1" applyAlignment="1">
      <alignment horizontal="left" wrapText="1"/>
    </xf>
    <xf numFmtId="0" fontId="34" fillId="16" borderId="14" xfId="0" applyFont="1" applyFill="1" applyBorder="1" applyAlignment="1">
      <alignment horizontal="left" wrapText="1"/>
    </xf>
    <xf numFmtId="0" fontId="3" fillId="0" borderId="1" xfId="0" applyFont="1" applyBorder="1" applyAlignment="1">
      <alignment horizontal="center" wrapText="1"/>
    </xf>
    <xf numFmtId="0" fontId="3" fillId="0" borderId="4" xfId="0" applyFont="1" applyBorder="1" applyAlignment="1">
      <alignment horizontal="center" wrapText="1"/>
    </xf>
    <xf numFmtId="0" fontId="30" fillId="0" borderId="13" xfId="0" applyFont="1" applyBorder="1" applyAlignment="1">
      <alignment horizontal="left" wrapText="1"/>
    </xf>
    <xf numFmtId="0" fontId="30" fillId="0" borderId="0" xfId="0" applyFont="1" applyBorder="1" applyAlignment="1">
      <alignment horizontal="left" wrapText="1"/>
    </xf>
    <xf numFmtId="0" fontId="30" fillId="0" borderId="14" xfId="0" applyFont="1" applyBorder="1" applyAlignment="1">
      <alignment horizontal="left" wrapText="1"/>
    </xf>
    <xf numFmtId="0" fontId="30" fillId="0" borderId="13" xfId="0" applyFont="1" applyBorder="1" applyAlignment="1">
      <alignment horizontal="left" vertical="top" wrapText="1"/>
    </xf>
    <xf numFmtId="0" fontId="30" fillId="0" borderId="0" xfId="0" applyFont="1" applyBorder="1" applyAlignment="1">
      <alignment horizontal="left" vertical="top" wrapText="1"/>
    </xf>
    <xf numFmtId="0" fontId="30" fillId="0" borderId="14" xfId="0" applyFont="1" applyBorder="1" applyAlignment="1">
      <alignment horizontal="left" vertical="top" wrapText="1"/>
    </xf>
    <xf numFmtId="0" fontId="2" fillId="6" borderId="3" xfId="5"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cellXfs>
  <cellStyles count="14">
    <cellStyle name="Comma" xfId="1" builtinId="3"/>
    <cellStyle name="Comma 2" xfId="9"/>
    <cellStyle name="Comma 3" xfId="11"/>
    <cellStyle name="Explanatory Text" xfId="4" builtinId="53"/>
    <cellStyle name="Normal" xfId="0" builtinId="0"/>
    <cellStyle name="Normal 2" xfId="5"/>
    <cellStyle name="Normal 2 2" xfId="12"/>
    <cellStyle name="Normal 2 2 2" xfId="13"/>
    <cellStyle name="Normal 5 2 2" xfId="6"/>
    <cellStyle name="Normal 6" xfId="2"/>
    <cellStyle name="Normal 6 3" xfId="8"/>
    <cellStyle name="Normal 7" xfId="7"/>
    <cellStyle name="Percent" xfId="3" builtinId="5"/>
    <cellStyle name="Percent 2" xfId="10"/>
  </cellStyles>
  <dxfs count="15">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theme="0"/>
      </font>
    </dxf>
    <dxf>
      <font>
        <color theme="9"/>
      </font>
      <fill>
        <patternFill>
          <bgColor theme="9" tint="0.79998168889431442"/>
        </patternFill>
      </fill>
    </dxf>
    <dxf>
      <font>
        <color theme="9"/>
      </font>
      <fill>
        <patternFill>
          <bgColor theme="9" tint="0.79998168889431442"/>
        </patternFill>
      </fill>
    </dxf>
  </dxfs>
  <tableStyles count="0" defaultTableStyle="TableStyleMedium2" defaultPivotStyle="PivotStyleLight16"/>
  <colors>
    <mruColors>
      <color rgb="FFC4BD97"/>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aura.gatzschulz\Documents\Copy%20of%20FM_E_WWW_conservation%20driver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hona.labor\AppData\Local\Microsoft\Windows\INetCache\IE\QJKFE5G1\PR19-14h-for-publication.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FWSHARE/Cost%20assessment/Retail/Modelling%20-%20phase%204/Cost%20allowances/xls/FM_R2_v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OFWSHARE/PR14/Cost%20assessment/Menus/Analysis/Menu%20assessment/PR14%20menu%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pproach chart"/>
      <sheetName val="QA_Checklist"/>
      <sheetName val="Changes log"/>
      <sheetName val="Variables selection"/>
      <sheetName val="BoN codes"/>
      <sheetName val="Data"/>
      <sheetName val="Assessor's analysis&gt;&gt;"/>
      <sheetName val="Gates &amp; Shallow dive"/>
      <sheetName val="Deep dive_SRN"/>
      <sheetName val="Deep dive_TMS"/>
      <sheetName val="Deep dive_WSX"/>
      <sheetName val="Test...."/>
      <sheetName val="Feeder models&gt;&gt;"/>
      <sheetName val="Summary"/>
      <sheetName val="Allowance"/>
      <sheetName val="Allowed capex 5YRS"/>
      <sheetName val="Profilling"/>
      <sheetName val="Trends&gt;&gt;&gt;"/>
      <sheetName val="Exp'ture &amp; materiality"/>
      <sheetName val="Drivers"/>
      <sheetName val="Unit costs&gt;&gt;"/>
      <sheetName val="Avg unit costs"/>
      <sheetName val="Simple regr'on unit costs"/>
      <sheetName val="Econometrics&gt;&gt;"/>
      <sheetName val="Correlations &amp; basic stats"/>
      <sheetName val="Ec'metric analysis"/>
      <sheetName val="Selected mode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6">
          <cell r="A66" t="str">
            <v>ANH</v>
          </cell>
          <cell r="AG66">
            <v>0</v>
          </cell>
        </row>
        <row r="67">
          <cell r="A67" t="str">
            <v>NES</v>
          </cell>
          <cell r="AG67">
            <v>0</v>
          </cell>
        </row>
        <row r="68">
          <cell r="A68" t="str">
            <v>NWT</v>
          </cell>
          <cell r="AG68">
            <v>0.7618580323894687</v>
          </cell>
        </row>
        <row r="69">
          <cell r="A69" t="str">
            <v>SRN</v>
          </cell>
          <cell r="AG69">
            <v>18.954000000000001</v>
          </cell>
        </row>
        <row r="70">
          <cell r="A70" t="str">
            <v>SVT</v>
          </cell>
          <cell r="AG70">
            <v>0</v>
          </cell>
        </row>
        <row r="71">
          <cell r="A71" t="str">
            <v>SWB</v>
          </cell>
          <cell r="AG71">
            <v>4.2300000000000004</v>
          </cell>
        </row>
        <row r="72">
          <cell r="A72" t="str">
            <v>TMS</v>
          </cell>
          <cell r="AG72">
            <v>4.9437447595999986</v>
          </cell>
        </row>
        <row r="73">
          <cell r="A73" t="str">
            <v>WSH</v>
          </cell>
          <cell r="AG73">
            <v>1.593</v>
          </cell>
        </row>
        <row r="74">
          <cell r="A74" t="str">
            <v>WSX</v>
          </cell>
          <cell r="AG74">
            <v>14.072221384615391</v>
          </cell>
        </row>
        <row r="75">
          <cell r="A75" t="str">
            <v>YKY</v>
          </cell>
          <cell r="AG75">
            <v>0</v>
          </cell>
        </row>
        <row r="76">
          <cell r="A76" t="str">
            <v>AFW</v>
          </cell>
          <cell r="AG76">
            <v>0</v>
          </cell>
        </row>
        <row r="77">
          <cell r="A77" t="str">
            <v>BRL</v>
          </cell>
          <cell r="AG77">
            <v>0</v>
          </cell>
        </row>
        <row r="78">
          <cell r="A78" t="str">
            <v>DVW</v>
          </cell>
          <cell r="AG78">
            <v>0</v>
          </cell>
        </row>
        <row r="79">
          <cell r="A79" t="str">
            <v>PRT</v>
          </cell>
          <cell r="AG79">
            <v>0</v>
          </cell>
        </row>
        <row r="80">
          <cell r="A80" t="str">
            <v>SES</v>
          </cell>
          <cell r="AG80">
            <v>0</v>
          </cell>
        </row>
        <row r="81">
          <cell r="A81" t="str">
            <v>SEW</v>
          </cell>
          <cell r="AG81">
            <v>0</v>
          </cell>
        </row>
        <row r="82">
          <cell r="A82" t="str">
            <v>SSC</v>
          </cell>
          <cell r="AG82">
            <v>0</v>
          </cell>
        </row>
        <row r="83">
          <cell r="A83" t="str">
            <v>SVE</v>
          </cell>
          <cell r="AG83">
            <v>0</v>
          </cell>
        </row>
        <row r="84">
          <cell r="A84" t="str">
            <v>HDD</v>
          </cell>
          <cell r="AG84">
            <v>0</v>
          </cell>
        </row>
        <row r="182">
          <cell r="A182" t="str">
            <v>ANH</v>
          </cell>
          <cell r="AE182">
            <v>3328.7444331702227</v>
          </cell>
        </row>
        <row r="183">
          <cell r="A183" t="str">
            <v>NES</v>
          </cell>
          <cell r="AE183">
            <v>1243.377</v>
          </cell>
        </row>
        <row r="184">
          <cell r="A184" t="str">
            <v>NWT</v>
          </cell>
          <cell r="AE184">
            <v>3013.0588535929037</v>
          </cell>
        </row>
        <row r="185">
          <cell r="A185" t="str">
            <v>SRN</v>
          </cell>
          <cell r="AE185">
            <v>2609.462</v>
          </cell>
        </row>
        <row r="186">
          <cell r="A186" t="str">
            <v>SVT</v>
          </cell>
          <cell r="AE186">
            <v>0</v>
          </cell>
        </row>
        <row r="187">
          <cell r="A187" t="str">
            <v>SWB</v>
          </cell>
          <cell r="AE187">
            <v>951.08800000000008</v>
          </cell>
        </row>
        <row r="188">
          <cell r="A188" t="str">
            <v>TMS</v>
          </cell>
          <cell r="AE188">
            <v>4997.1676900586726</v>
          </cell>
        </row>
        <row r="189">
          <cell r="A189" t="str">
            <v>WSH</v>
          </cell>
          <cell r="AE189">
            <v>1529.0949999999998</v>
          </cell>
        </row>
        <row r="190">
          <cell r="A190" t="str">
            <v>WSX</v>
          </cell>
          <cell r="AE190">
            <v>1573.2079316710249</v>
          </cell>
        </row>
        <row r="191">
          <cell r="A191" t="str">
            <v>YKY</v>
          </cell>
          <cell r="AE191">
            <v>2894.0260000000003</v>
          </cell>
        </row>
        <row r="192">
          <cell r="A192" t="str">
            <v>AFW</v>
          </cell>
          <cell r="AE192">
            <v>0</v>
          </cell>
        </row>
        <row r="193">
          <cell r="A193" t="str">
            <v>BRL</v>
          </cell>
          <cell r="AE193">
            <v>0</v>
          </cell>
        </row>
        <row r="194">
          <cell r="A194" t="str">
            <v>DVW</v>
          </cell>
          <cell r="AE194">
            <v>0</v>
          </cell>
        </row>
        <row r="195">
          <cell r="A195" t="str">
            <v>PRT</v>
          </cell>
          <cell r="AE195">
            <v>0</v>
          </cell>
        </row>
        <row r="196">
          <cell r="A196" t="str">
            <v>SES</v>
          </cell>
          <cell r="AE196">
            <v>0</v>
          </cell>
        </row>
        <row r="197">
          <cell r="A197" t="str">
            <v>SEW</v>
          </cell>
          <cell r="AE197">
            <v>0</v>
          </cell>
        </row>
        <row r="198">
          <cell r="A198" t="str">
            <v>SSC</v>
          </cell>
          <cell r="AE198">
            <v>0</v>
          </cell>
        </row>
        <row r="199">
          <cell r="A199" t="str">
            <v>SVE</v>
          </cell>
          <cell r="AE199">
            <v>2952.671035202944</v>
          </cell>
        </row>
        <row r="200">
          <cell r="A200" t="str">
            <v>HDD</v>
          </cell>
          <cell r="AE200">
            <v>24.896364460930961</v>
          </cell>
        </row>
      </sheetData>
      <sheetData sheetId="20"/>
      <sheetData sheetId="21"/>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refreshError="1"/>
      <sheetData sheetId="2" refreshError="1"/>
      <sheetData sheetId="3">
        <row r="1">
          <cell r="A1" t="str">
            <v>User guide</v>
          </cell>
        </row>
      </sheetData>
      <sheetData sheetId="4">
        <row r="1">
          <cell r="A1" t="str">
            <v>Rulebook Contents</v>
          </cell>
        </row>
      </sheetData>
      <sheetData sheetId="5">
        <row r="1">
          <cell r="A1" t="str">
            <v>Rulebook</v>
          </cell>
        </row>
      </sheetData>
      <sheetData sheetId="6" refreshError="1"/>
      <sheetData sheetId="7">
        <row r="177">
          <cell r="H177" t="str">
            <v>Water resources RCV ~ 1 April 2020 + Water resources IFRS16 RCV adjustment</v>
          </cell>
        </row>
      </sheetData>
      <sheetData sheetId="8" refreshError="1"/>
      <sheetData sheetId="9" refreshError="1"/>
      <sheetData sheetId="10">
        <row r="1891">
          <cell r="F1891">
            <v>9.9999999999999995E-7</v>
          </cell>
        </row>
        <row r="1893">
          <cell r="F1893">
            <v>1E-4</v>
          </cell>
        </row>
        <row r="1895">
          <cell r="F1895">
            <v>9.9999999999999995E-7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ow r="12">
          <cell r="E12" t="str">
            <v>Operating income - Wholesale - nominal</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06">
          <cell r="E406" t="str">
            <v>Water resources grants and contributions - real</v>
          </cell>
        </row>
      </sheetData>
      <sheetData sheetId="31" refreshError="1"/>
      <sheetData sheetId="32">
        <row r="28">
          <cell r="E28" t="str">
            <v>Bulk supplies ~ wastewater network plus</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107">
          <cell r="F107">
            <v>0</v>
          </cell>
        </row>
      </sheetData>
      <sheetData sheetId="52" refreshError="1"/>
      <sheetData sheetId="53" refreshError="1"/>
      <sheetData sheetId="54">
        <row r="178">
          <cell r="E178" t="str">
            <v>Operating expenditure - Wholesale - nominal</v>
          </cell>
        </row>
      </sheetData>
      <sheetData sheetId="55">
        <row r="1383">
          <cell r="E1383" t="str">
            <v>Earnings after tax (EAT) - Retail - nominal</v>
          </cell>
        </row>
      </sheetData>
      <sheetData sheetId="56" refreshError="1"/>
      <sheetData sheetId="57" refreshError="1"/>
      <sheetData sheetId="58" refreshError="1"/>
      <sheetData sheetId="59" refreshError="1"/>
      <sheetData sheetId="60">
        <row r="10">
          <cell r="F10">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11"/>
  <sheetViews>
    <sheetView showGridLines="0" tabSelected="1" workbookViewId="0"/>
  </sheetViews>
  <sheetFormatPr defaultRowHeight="13.5" x14ac:dyDescent="0.35"/>
  <cols>
    <col min="1" max="1" width="3.375" customWidth="1"/>
    <col min="2" max="2" width="88.375" customWidth="1"/>
    <col min="3" max="4" width="3.375" customWidth="1"/>
  </cols>
  <sheetData>
    <row r="1" spans="2:6" ht="13.9" x14ac:dyDescent="0.4">
      <c r="B1" s="185" t="s">
        <v>307</v>
      </c>
      <c r="C1" s="184"/>
      <c r="D1" s="184"/>
      <c r="E1" s="184"/>
      <c r="F1" s="184"/>
    </row>
    <row r="2" spans="2:6" x14ac:dyDescent="0.35">
      <c r="B2" s="192"/>
      <c r="C2" s="192"/>
      <c r="D2" s="192"/>
      <c r="E2" s="192"/>
      <c r="F2" s="192"/>
    </row>
    <row r="3" spans="2:6" ht="14.25" x14ac:dyDescent="0.45">
      <c r="B3" s="193" t="s">
        <v>312</v>
      </c>
      <c r="C3" s="194"/>
      <c r="D3" s="194"/>
      <c r="E3" s="194"/>
      <c r="F3" s="195"/>
    </row>
    <row r="4" spans="2:6" ht="14.25" x14ac:dyDescent="0.45">
      <c r="B4" s="196"/>
      <c r="C4" s="197"/>
      <c r="D4" s="197"/>
      <c r="E4" s="197"/>
      <c r="F4" s="198"/>
    </row>
    <row r="5" spans="2:6" ht="14.25" x14ac:dyDescent="0.45">
      <c r="B5" s="199" t="s">
        <v>309</v>
      </c>
      <c r="C5" s="197"/>
      <c r="D5" s="197"/>
      <c r="E5" s="197"/>
      <c r="F5" s="198"/>
    </row>
    <row r="6" spans="2:6" ht="14.25" x14ac:dyDescent="0.45">
      <c r="B6" s="196" t="s">
        <v>310</v>
      </c>
      <c r="C6" s="197"/>
      <c r="D6" s="197"/>
      <c r="E6" s="197"/>
      <c r="F6" s="198"/>
    </row>
    <row r="7" spans="2:6" ht="14.25" x14ac:dyDescent="0.45">
      <c r="B7" s="196"/>
      <c r="C7" s="197"/>
      <c r="D7" s="197"/>
      <c r="E7" s="197"/>
      <c r="F7" s="198"/>
    </row>
    <row r="8" spans="2:6" ht="14.25" x14ac:dyDescent="0.45">
      <c r="B8" s="199" t="s">
        <v>311</v>
      </c>
      <c r="C8" s="197"/>
      <c r="D8" s="197"/>
      <c r="E8" s="197"/>
      <c r="F8" s="198"/>
    </row>
    <row r="9" spans="2:6" ht="72" customHeight="1" x14ac:dyDescent="0.45">
      <c r="B9" s="225" t="s">
        <v>313</v>
      </c>
      <c r="C9" s="226"/>
      <c r="D9" s="226"/>
      <c r="E9" s="226"/>
      <c r="F9" s="227"/>
    </row>
    <row r="10" spans="2:6" x14ac:dyDescent="0.35">
      <c r="B10" s="200"/>
      <c r="C10" s="201"/>
      <c r="D10" s="201"/>
      <c r="E10" s="201"/>
      <c r="F10" s="202"/>
    </row>
    <row r="11" spans="2:6" x14ac:dyDescent="0.35">
      <c r="B11" s="192"/>
      <c r="C11" s="192"/>
      <c r="D11" s="192"/>
      <c r="E11" s="192"/>
      <c r="F11" s="192"/>
    </row>
  </sheetData>
  <mergeCells count="1">
    <mergeCell ref="B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4"/>
  <sheetViews>
    <sheetView showGridLines="0" workbookViewId="0"/>
  </sheetViews>
  <sheetFormatPr defaultColWidth="9" defaultRowHeight="13.15" x14ac:dyDescent="0.4"/>
  <cols>
    <col min="1" max="1" width="2.75" style="1" customWidth="1"/>
    <col min="2" max="2" width="13.125" style="1" customWidth="1"/>
    <col min="3" max="3" width="12.25" style="1" customWidth="1"/>
    <col min="4" max="16384" width="9" style="1"/>
  </cols>
  <sheetData>
    <row r="1" spans="1:7" x14ac:dyDescent="0.4">
      <c r="A1" s="1" t="s">
        <v>48</v>
      </c>
    </row>
    <row r="2" spans="1:7" x14ac:dyDescent="0.4">
      <c r="A2" s="30" t="s">
        <v>49</v>
      </c>
    </row>
    <row r="6" spans="1:7" x14ac:dyDescent="0.4">
      <c r="B6" s="18" t="s">
        <v>28</v>
      </c>
    </row>
    <row r="8" spans="1:7" x14ac:dyDescent="0.4">
      <c r="B8" s="15" t="s">
        <v>23</v>
      </c>
      <c r="C8" s="166" t="s">
        <v>24</v>
      </c>
      <c r="D8" s="164"/>
      <c r="E8" s="164"/>
      <c r="F8" s="164"/>
      <c r="G8" s="164"/>
    </row>
    <row r="9" spans="1:7" x14ac:dyDescent="0.4">
      <c r="B9" s="3">
        <v>0.5</v>
      </c>
      <c r="C9" s="3">
        <v>0.5</v>
      </c>
      <c r="D9" s="165"/>
      <c r="E9" s="165"/>
      <c r="F9" s="165"/>
      <c r="G9" s="165"/>
    </row>
    <row r="12" spans="1:7" x14ac:dyDescent="0.4">
      <c r="B12" s="4" t="s">
        <v>22</v>
      </c>
    </row>
    <row r="14" spans="1:7" x14ac:dyDescent="0.4">
      <c r="B14" s="28">
        <v>1</v>
      </c>
    </row>
    <row r="17" spans="2:3" x14ac:dyDescent="0.4">
      <c r="B17" s="18" t="s">
        <v>51</v>
      </c>
    </row>
    <row r="19" spans="2:3" x14ac:dyDescent="0.4">
      <c r="B19" s="15" t="s">
        <v>23</v>
      </c>
      <c r="C19" s="15" t="s">
        <v>24</v>
      </c>
    </row>
    <row r="20" spans="2:3" x14ac:dyDescent="0.4">
      <c r="B20" s="3">
        <v>0.5</v>
      </c>
      <c r="C20" s="3">
        <v>0.5</v>
      </c>
    </row>
    <row r="22" spans="2:3" x14ac:dyDescent="0.4">
      <c r="B22" s="4" t="s">
        <v>52</v>
      </c>
    </row>
    <row r="24" spans="2:3" x14ac:dyDescent="0.4">
      <c r="B24" s="2" t="s">
        <v>53</v>
      </c>
      <c r="C24" s="2" t="s">
        <v>34</v>
      </c>
    </row>
  </sheetData>
  <dataValidations count="1">
    <dataValidation type="list" allowBlank="1" showInputMessage="1" showErrorMessage="1" sqref="C24">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75"/>
  <sheetViews>
    <sheetView showGridLines="0" zoomScale="80" zoomScaleNormal="80" workbookViewId="0"/>
  </sheetViews>
  <sheetFormatPr defaultColWidth="9" defaultRowHeight="13.15" x14ac:dyDescent="0.4"/>
  <cols>
    <col min="1" max="3" width="9" style="1"/>
    <col min="4" max="4" width="16" style="5" customWidth="1"/>
    <col min="5" max="5" width="13" style="5" customWidth="1"/>
    <col min="6" max="6" width="14.875" style="5" customWidth="1"/>
    <col min="7" max="7" width="13.125" style="5" customWidth="1"/>
    <col min="8" max="8" width="14" style="5" customWidth="1"/>
    <col min="9" max="10" width="12.875" style="1" customWidth="1"/>
    <col min="11" max="11" width="18.375" style="1" customWidth="1"/>
    <col min="12" max="12" width="12.875" style="150" customWidth="1"/>
    <col min="13" max="13" width="13.125" style="147" customWidth="1"/>
    <col min="14" max="16384" width="9" style="1"/>
  </cols>
  <sheetData>
    <row r="1" spans="1:13" ht="18" x14ac:dyDescent="0.4">
      <c r="A1" s="186" t="s">
        <v>21</v>
      </c>
      <c r="B1" s="34"/>
      <c r="C1" s="34"/>
      <c r="D1" s="55"/>
    </row>
    <row r="2" spans="1:13" ht="15.75" x14ac:dyDescent="0.4">
      <c r="A2" s="187" t="s">
        <v>308</v>
      </c>
    </row>
    <row r="3" spans="1:13" x14ac:dyDescent="0.4">
      <c r="A3" s="34"/>
    </row>
    <row r="4" spans="1:13" x14ac:dyDescent="0.4">
      <c r="A4" s="5"/>
      <c r="B4" s="5"/>
      <c r="C4" s="5"/>
      <c r="D4" s="11" t="s">
        <v>1</v>
      </c>
      <c r="E4" s="12"/>
      <c r="F4" s="13"/>
      <c r="G4" s="29"/>
      <c r="H4" s="126"/>
      <c r="I4" s="12"/>
      <c r="J4" s="12"/>
      <c r="K4" s="12"/>
      <c r="L4" s="151"/>
      <c r="M4" s="148"/>
    </row>
    <row r="5" spans="1:13" x14ac:dyDescent="0.4">
      <c r="A5" s="5"/>
      <c r="B5" s="5"/>
      <c r="C5" s="5"/>
      <c r="D5" s="5" t="s">
        <v>254</v>
      </c>
      <c r="E5" s="6"/>
      <c r="F5" s="6"/>
      <c r="G5" s="6"/>
      <c r="H5" s="5" t="s">
        <v>255</v>
      </c>
      <c r="I5" s="1" t="s">
        <v>256</v>
      </c>
      <c r="J5" s="1" t="s">
        <v>259</v>
      </c>
    </row>
    <row r="6" spans="1:13" s="34" customFormat="1" ht="72" customHeight="1" x14ac:dyDescent="0.35">
      <c r="A6" s="188"/>
      <c r="B6" s="188"/>
      <c r="C6" s="188"/>
      <c r="D6" s="32" t="s">
        <v>279</v>
      </c>
      <c r="E6" s="32" t="s">
        <v>280</v>
      </c>
      <c r="F6" s="32" t="s">
        <v>284</v>
      </c>
      <c r="G6" s="32" t="s">
        <v>285</v>
      </c>
      <c r="H6" s="33" t="s">
        <v>267</v>
      </c>
      <c r="I6" s="33" t="s">
        <v>268</v>
      </c>
      <c r="J6" s="33" t="s">
        <v>269</v>
      </c>
      <c r="K6" s="33" t="s">
        <v>281</v>
      </c>
      <c r="L6" s="33" t="s">
        <v>282</v>
      </c>
      <c r="M6" s="33" t="s">
        <v>283</v>
      </c>
    </row>
    <row r="7" spans="1:13" s="34" customFormat="1" ht="72" customHeight="1" x14ac:dyDescent="0.35">
      <c r="A7" s="189" t="s">
        <v>20</v>
      </c>
      <c r="B7" s="189" t="s">
        <v>5</v>
      </c>
      <c r="C7" s="189" t="s">
        <v>6</v>
      </c>
      <c r="D7" s="32" t="s">
        <v>260</v>
      </c>
      <c r="E7" s="32" t="s">
        <v>0</v>
      </c>
      <c r="F7" s="32" t="s">
        <v>261</v>
      </c>
      <c r="G7" s="32" t="s">
        <v>262</v>
      </c>
      <c r="H7" s="33" t="s">
        <v>257</v>
      </c>
      <c r="I7" s="33" t="s">
        <v>258</v>
      </c>
      <c r="J7" s="33" t="s">
        <v>266</v>
      </c>
      <c r="K7" s="33" t="s">
        <v>263</v>
      </c>
      <c r="L7" s="152" t="s">
        <v>264</v>
      </c>
      <c r="M7" s="33" t="s">
        <v>265</v>
      </c>
    </row>
    <row r="8" spans="1:13" x14ac:dyDescent="0.4">
      <c r="A8" s="190" t="s">
        <v>86</v>
      </c>
      <c r="B8" s="191" t="s">
        <v>7</v>
      </c>
      <c r="C8" s="191">
        <v>2012</v>
      </c>
      <c r="D8" s="42">
        <v>18.185193876802611</v>
      </c>
      <c r="E8" s="43"/>
      <c r="F8" s="43">
        <f t="shared" ref="F8:F39" si="0">D8+E8</f>
        <v>18.185193876802611</v>
      </c>
      <c r="G8" s="44"/>
      <c r="H8" s="35">
        <v>773</v>
      </c>
      <c r="I8" s="35">
        <v>12</v>
      </c>
      <c r="J8" s="146">
        <f>IFERROR(H8/I8,"")</f>
        <v>64.416666666666671</v>
      </c>
      <c r="K8" s="35"/>
      <c r="L8" s="153"/>
      <c r="M8" s="149" t="str">
        <f>IFERROR(K8/L8,"")</f>
        <v/>
      </c>
    </row>
    <row r="9" spans="1:13" x14ac:dyDescent="0.4">
      <c r="A9" s="190" t="s">
        <v>87</v>
      </c>
      <c r="B9" s="191" t="s">
        <v>7</v>
      </c>
      <c r="C9" s="191">
        <v>2013</v>
      </c>
      <c r="D9" s="42">
        <v>16.313014734533212</v>
      </c>
      <c r="E9" s="43"/>
      <c r="F9" s="43">
        <f t="shared" si="0"/>
        <v>16.313014734533212</v>
      </c>
      <c r="G9" s="44"/>
      <c r="H9" s="35">
        <v>993</v>
      </c>
      <c r="I9" s="35">
        <v>8</v>
      </c>
      <c r="J9" s="146">
        <f t="shared" ref="J9:J72" si="1">IFERROR(H9/I9,"")</f>
        <v>124.125</v>
      </c>
      <c r="K9" s="35"/>
      <c r="L9" s="153"/>
      <c r="M9" s="149" t="str">
        <f t="shared" ref="M9:M72" si="2">IFERROR(K9/L9,"")</f>
        <v/>
      </c>
    </row>
    <row r="10" spans="1:13" x14ac:dyDescent="0.4">
      <c r="A10" s="190" t="s">
        <v>88</v>
      </c>
      <c r="B10" s="191" t="s">
        <v>7</v>
      </c>
      <c r="C10" s="191">
        <v>2014</v>
      </c>
      <c r="D10" s="42">
        <v>9.0310671863607137</v>
      </c>
      <c r="E10" s="43"/>
      <c r="F10" s="43">
        <f t="shared" si="0"/>
        <v>9.0310671863607137</v>
      </c>
      <c r="G10" s="44">
        <f t="shared" ref="G10:G21" si="3">IF(OR(F8="",F9="",F10=""),"",AVERAGE(F8:F10))</f>
        <v>14.50975859923218</v>
      </c>
      <c r="H10" s="35">
        <v>246</v>
      </c>
      <c r="I10" s="35">
        <v>2</v>
      </c>
      <c r="J10" s="146">
        <f t="shared" si="1"/>
        <v>123</v>
      </c>
      <c r="K10" s="35">
        <f>IFERROR(IF(OR(H8="",H9="",H10=""),"",AVERAGE(H8:H10)),"")</f>
        <v>670.66666666666663</v>
      </c>
      <c r="L10" s="153">
        <f>IFERROR(IF(OR(I8="",I9="",I10=""),"",AVERAGE(I8:I10)),"")</f>
        <v>7.333333333333333</v>
      </c>
      <c r="M10" s="149">
        <f t="shared" si="2"/>
        <v>91.454545454545453</v>
      </c>
    </row>
    <row r="11" spans="1:13" x14ac:dyDescent="0.4">
      <c r="A11" s="190" t="s">
        <v>89</v>
      </c>
      <c r="B11" s="191" t="s">
        <v>7</v>
      </c>
      <c r="C11" s="191">
        <v>2015</v>
      </c>
      <c r="D11" s="42">
        <v>13.606643995840976</v>
      </c>
      <c r="E11" s="43"/>
      <c r="F11" s="43">
        <f t="shared" si="0"/>
        <v>13.606643995840976</v>
      </c>
      <c r="G11" s="44">
        <f t="shared" si="3"/>
        <v>12.983575305578301</v>
      </c>
      <c r="H11" s="35">
        <v>876</v>
      </c>
      <c r="I11" s="35">
        <v>7</v>
      </c>
      <c r="J11" s="146">
        <f t="shared" si="1"/>
        <v>125.14285714285714</v>
      </c>
      <c r="K11" s="35">
        <f t="shared" ref="K11:L21" si="4">IFERROR(IF(OR(H9="",H10="",H11=""),"",AVERAGE(H9:H11)),"")</f>
        <v>705</v>
      </c>
      <c r="L11" s="153">
        <f t="shared" si="4"/>
        <v>5.666666666666667</v>
      </c>
      <c r="M11" s="149">
        <f t="shared" si="2"/>
        <v>124.41176470588235</v>
      </c>
    </row>
    <row r="12" spans="1:13" x14ac:dyDescent="0.4">
      <c r="A12" s="190" t="s">
        <v>90</v>
      </c>
      <c r="B12" s="191" t="s">
        <v>7</v>
      </c>
      <c r="C12" s="191">
        <v>2016</v>
      </c>
      <c r="D12" s="42">
        <v>8.3763714601760366</v>
      </c>
      <c r="E12" s="43"/>
      <c r="F12" s="43">
        <f t="shared" si="0"/>
        <v>8.3763714601760366</v>
      </c>
      <c r="G12" s="44">
        <f t="shared" si="3"/>
        <v>10.338027547459243</v>
      </c>
      <c r="H12" s="35">
        <v>104</v>
      </c>
      <c r="I12" s="35">
        <v>4</v>
      </c>
      <c r="J12" s="146">
        <f t="shared" si="1"/>
        <v>26</v>
      </c>
      <c r="K12" s="35">
        <f t="shared" si="4"/>
        <v>408.66666666666669</v>
      </c>
      <c r="L12" s="153">
        <f t="shared" si="4"/>
        <v>4.333333333333333</v>
      </c>
      <c r="M12" s="149">
        <f t="shared" si="2"/>
        <v>94.307692307692321</v>
      </c>
    </row>
    <row r="13" spans="1:13" x14ac:dyDescent="0.4">
      <c r="A13" s="190" t="s">
        <v>91</v>
      </c>
      <c r="B13" s="191" t="s">
        <v>7</v>
      </c>
      <c r="C13" s="191">
        <v>2017</v>
      </c>
      <c r="D13" s="42">
        <v>8.7307494163340493</v>
      </c>
      <c r="E13" s="43"/>
      <c r="F13" s="43">
        <f t="shared" si="0"/>
        <v>8.7307494163340493</v>
      </c>
      <c r="G13" s="44">
        <f t="shared" si="3"/>
        <v>10.237921624117021</v>
      </c>
      <c r="H13" s="35">
        <v>163</v>
      </c>
      <c r="I13" s="35">
        <v>3</v>
      </c>
      <c r="J13" s="146">
        <f t="shared" si="1"/>
        <v>54.333333333333336</v>
      </c>
      <c r="K13" s="35">
        <f t="shared" si="4"/>
        <v>381</v>
      </c>
      <c r="L13" s="153">
        <f t="shared" si="4"/>
        <v>4.666666666666667</v>
      </c>
      <c r="M13" s="149">
        <f t="shared" si="2"/>
        <v>81.642857142857139</v>
      </c>
    </row>
    <row r="14" spans="1:13" x14ac:dyDescent="0.4">
      <c r="A14" s="190" t="s">
        <v>92</v>
      </c>
      <c r="B14" s="191" t="s">
        <v>7</v>
      </c>
      <c r="C14" s="191">
        <v>2018</v>
      </c>
      <c r="D14" s="42">
        <v>16.4492443356433</v>
      </c>
      <c r="E14" s="43"/>
      <c r="F14" s="43">
        <f t="shared" si="0"/>
        <v>16.4492443356433</v>
      </c>
      <c r="G14" s="44">
        <f t="shared" si="3"/>
        <v>11.185455070717795</v>
      </c>
      <c r="H14" s="35">
        <v>130</v>
      </c>
      <c r="I14" s="35">
        <v>2</v>
      </c>
      <c r="J14" s="146">
        <f t="shared" si="1"/>
        <v>65</v>
      </c>
      <c r="K14" s="35">
        <f t="shared" si="4"/>
        <v>132.33333333333334</v>
      </c>
      <c r="L14" s="153">
        <f t="shared" si="4"/>
        <v>3</v>
      </c>
      <c r="M14" s="149">
        <f t="shared" si="2"/>
        <v>44.111111111111114</v>
      </c>
    </row>
    <row r="15" spans="1:13" x14ac:dyDescent="0.4">
      <c r="A15" s="190" t="s">
        <v>93</v>
      </c>
      <c r="B15" s="191" t="s">
        <v>7</v>
      </c>
      <c r="C15" s="191">
        <v>2019</v>
      </c>
      <c r="D15" s="42">
        <v>15.102930490867481</v>
      </c>
      <c r="E15" s="43"/>
      <c r="F15" s="43">
        <f t="shared" si="0"/>
        <v>15.102930490867481</v>
      </c>
      <c r="G15" s="44">
        <f t="shared" si="3"/>
        <v>13.427641414281609</v>
      </c>
      <c r="H15" s="35">
        <v>522</v>
      </c>
      <c r="I15" s="35">
        <v>7</v>
      </c>
      <c r="J15" s="146">
        <f t="shared" si="1"/>
        <v>74.571428571428569</v>
      </c>
      <c r="K15" s="35">
        <f t="shared" si="4"/>
        <v>271.66666666666669</v>
      </c>
      <c r="L15" s="153">
        <f t="shared" si="4"/>
        <v>4</v>
      </c>
      <c r="M15" s="149">
        <f t="shared" si="2"/>
        <v>67.916666666666671</v>
      </c>
    </row>
    <row r="16" spans="1:13" x14ac:dyDescent="0.4">
      <c r="A16" s="190" t="s">
        <v>94</v>
      </c>
      <c r="B16" s="191" t="s">
        <v>7</v>
      </c>
      <c r="C16" s="191">
        <v>2020</v>
      </c>
      <c r="D16" s="42">
        <v>14.738668972465147</v>
      </c>
      <c r="E16" s="43"/>
      <c r="F16" s="43">
        <f t="shared" si="0"/>
        <v>14.738668972465147</v>
      </c>
      <c r="G16" s="44">
        <f t="shared" si="3"/>
        <v>15.430281266325309</v>
      </c>
      <c r="H16" s="35">
        <v>643</v>
      </c>
      <c r="I16" s="35">
        <v>4</v>
      </c>
      <c r="J16" s="146">
        <f t="shared" si="1"/>
        <v>160.75</v>
      </c>
      <c r="K16" s="35">
        <f t="shared" si="4"/>
        <v>431.66666666666669</v>
      </c>
      <c r="L16" s="153">
        <f t="shared" si="4"/>
        <v>4.333333333333333</v>
      </c>
      <c r="M16" s="149">
        <f t="shared" si="2"/>
        <v>99.615384615384627</v>
      </c>
    </row>
    <row r="17" spans="1:13" x14ac:dyDescent="0.4">
      <c r="A17" s="190" t="s">
        <v>95</v>
      </c>
      <c r="B17" s="191" t="s">
        <v>7</v>
      </c>
      <c r="C17" s="191">
        <v>2021</v>
      </c>
      <c r="D17" s="42">
        <v>1.0179882647417999</v>
      </c>
      <c r="E17" s="43">
        <v>0</v>
      </c>
      <c r="F17" s="43">
        <f t="shared" si="0"/>
        <v>1.0179882647417999</v>
      </c>
      <c r="G17" s="44">
        <f>IF(OR(F15="",F16="",F17=""),"",AVERAGE(F15:F17))</f>
        <v>10.286529242691476</v>
      </c>
      <c r="H17" s="35">
        <v>0</v>
      </c>
      <c r="I17" s="35">
        <v>0</v>
      </c>
      <c r="J17" s="146" t="str">
        <f t="shared" si="1"/>
        <v/>
      </c>
      <c r="K17" s="35">
        <f>IFERROR(IF(OR(H15="",H16="",H17=""),"",AVERAGE(H15:H17)),"")</f>
        <v>388.33333333333331</v>
      </c>
      <c r="L17" s="153">
        <f>IFERROR(IF(OR(I15="",I16="",I17=""),"",AVERAGE(I15:I17)),"")</f>
        <v>3.6666666666666665</v>
      </c>
      <c r="M17" s="149">
        <f t="shared" si="2"/>
        <v>105.90909090909091</v>
      </c>
    </row>
    <row r="18" spans="1:13" x14ac:dyDescent="0.4">
      <c r="A18" s="190" t="s">
        <v>96</v>
      </c>
      <c r="B18" s="191" t="s">
        <v>7</v>
      </c>
      <c r="C18" s="191">
        <v>2022</v>
      </c>
      <c r="D18" s="42">
        <v>6.6184627740363497</v>
      </c>
      <c r="E18" s="43">
        <v>0</v>
      </c>
      <c r="F18" s="43">
        <f t="shared" si="0"/>
        <v>6.6184627740363497</v>
      </c>
      <c r="G18" s="44">
        <f>IF(OR(F16="",F17="",F18=""),"",AVERAGE(F16:F18))</f>
        <v>7.458373337081099</v>
      </c>
      <c r="H18" s="35">
        <v>0</v>
      </c>
      <c r="I18" s="35">
        <v>0</v>
      </c>
      <c r="J18" s="146" t="str">
        <f t="shared" si="1"/>
        <v/>
      </c>
      <c r="K18" s="35">
        <f>IFERROR(IF(OR(H16="",H17="",H18=""),"",AVERAGE(H16:H18)),"")</f>
        <v>214.33333333333334</v>
      </c>
      <c r="L18" s="153">
        <f>IFERROR(IF(OR(I16="",I17="",I18=""),"",AVERAGE(I16:I18)),"")</f>
        <v>1.3333333333333333</v>
      </c>
      <c r="M18" s="149">
        <f t="shared" si="2"/>
        <v>160.75000000000003</v>
      </c>
    </row>
    <row r="19" spans="1:13" x14ac:dyDescent="0.4">
      <c r="A19" s="190" t="s">
        <v>97</v>
      </c>
      <c r="B19" s="191" t="s">
        <v>7</v>
      </c>
      <c r="C19" s="191">
        <v>2023</v>
      </c>
      <c r="D19" s="42">
        <v>6.5417615223120604</v>
      </c>
      <c r="E19" s="43">
        <v>0</v>
      </c>
      <c r="F19" s="43">
        <f t="shared" si="0"/>
        <v>6.5417615223120604</v>
      </c>
      <c r="G19" s="44">
        <f t="shared" si="3"/>
        <v>4.7260708536967364</v>
      </c>
      <c r="H19" s="35">
        <v>284</v>
      </c>
      <c r="I19" s="35">
        <v>5</v>
      </c>
      <c r="J19" s="146">
        <f t="shared" si="1"/>
        <v>56.8</v>
      </c>
      <c r="K19" s="35">
        <f t="shared" si="4"/>
        <v>94.666666666666671</v>
      </c>
      <c r="L19" s="153">
        <f t="shared" si="4"/>
        <v>1.6666666666666667</v>
      </c>
      <c r="M19" s="149">
        <f t="shared" si="2"/>
        <v>56.8</v>
      </c>
    </row>
    <row r="20" spans="1:13" x14ac:dyDescent="0.4">
      <c r="A20" s="190" t="s">
        <v>98</v>
      </c>
      <c r="B20" s="191" t="s">
        <v>7</v>
      </c>
      <c r="C20" s="191">
        <v>2024</v>
      </c>
      <c r="D20" s="42">
        <v>6.5015835827939403</v>
      </c>
      <c r="E20" s="43">
        <v>0</v>
      </c>
      <c r="F20" s="43">
        <f t="shared" si="0"/>
        <v>6.5015835827939403</v>
      </c>
      <c r="G20" s="44">
        <f t="shared" si="3"/>
        <v>6.5539359597141171</v>
      </c>
      <c r="H20" s="35">
        <v>68</v>
      </c>
      <c r="I20" s="35">
        <v>1</v>
      </c>
      <c r="J20" s="146">
        <f t="shared" si="1"/>
        <v>68</v>
      </c>
      <c r="K20" s="35">
        <f t="shared" si="4"/>
        <v>117.33333333333333</v>
      </c>
      <c r="L20" s="153">
        <f t="shared" si="4"/>
        <v>2</v>
      </c>
      <c r="M20" s="149">
        <f t="shared" si="2"/>
        <v>58.666666666666664</v>
      </c>
    </row>
    <row r="21" spans="1:13" x14ac:dyDescent="0.4">
      <c r="A21" s="190" t="s">
        <v>99</v>
      </c>
      <c r="B21" s="191" t="s">
        <v>7</v>
      </c>
      <c r="C21" s="191">
        <v>2025</v>
      </c>
      <c r="D21" s="42">
        <v>2.6876558010401701</v>
      </c>
      <c r="E21" s="43">
        <v>0</v>
      </c>
      <c r="F21" s="43">
        <f t="shared" si="0"/>
        <v>2.6876558010401701</v>
      </c>
      <c r="G21" s="44">
        <f t="shared" si="3"/>
        <v>5.2436669687153907</v>
      </c>
      <c r="H21" s="35">
        <v>200</v>
      </c>
      <c r="I21" s="35">
        <v>4</v>
      </c>
      <c r="J21" s="146">
        <f t="shared" si="1"/>
        <v>50</v>
      </c>
      <c r="K21" s="35">
        <f t="shared" si="4"/>
        <v>184</v>
      </c>
      <c r="L21" s="153">
        <f t="shared" si="4"/>
        <v>3.3333333333333335</v>
      </c>
      <c r="M21" s="149">
        <f t="shared" si="2"/>
        <v>55.199999999999996</v>
      </c>
    </row>
    <row r="22" spans="1:13" x14ac:dyDescent="0.4">
      <c r="A22" s="190" t="s">
        <v>100</v>
      </c>
      <c r="B22" s="191" t="s">
        <v>8</v>
      </c>
      <c r="C22" s="191">
        <v>2012</v>
      </c>
      <c r="D22" s="42">
        <v>1.1050631792877967E-3</v>
      </c>
      <c r="E22" s="43"/>
      <c r="F22" s="43">
        <f t="shared" si="0"/>
        <v>1.1050631792877967E-3</v>
      </c>
      <c r="G22" s="44"/>
      <c r="H22" s="35">
        <v>0</v>
      </c>
      <c r="I22" s="35">
        <v>0</v>
      </c>
      <c r="J22" s="146" t="str">
        <f t="shared" si="1"/>
        <v/>
      </c>
      <c r="K22" s="35"/>
      <c r="L22" s="153"/>
      <c r="M22" s="149" t="str">
        <f t="shared" si="2"/>
        <v/>
      </c>
    </row>
    <row r="23" spans="1:13" x14ac:dyDescent="0.4">
      <c r="A23" s="190" t="s">
        <v>101</v>
      </c>
      <c r="B23" s="191" t="s">
        <v>8</v>
      </c>
      <c r="C23" s="191">
        <v>2013</v>
      </c>
      <c r="D23" s="42">
        <v>0</v>
      </c>
      <c r="E23" s="43"/>
      <c r="F23" s="43">
        <f t="shared" si="0"/>
        <v>0</v>
      </c>
      <c r="G23" s="44"/>
      <c r="H23" s="35">
        <v>0</v>
      </c>
      <c r="I23" s="35">
        <v>0</v>
      </c>
      <c r="J23" s="146" t="str">
        <f t="shared" si="1"/>
        <v/>
      </c>
      <c r="K23" s="35"/>
      <c r="L23" s="153"/>
      <c r="M23" s="149" t="str">
        <f t="shared" si="2"/>
        <v/>
      </c>
    </row>
    <row r="24" spans="1:13" x14ac:dyDescent="0.4">
      <c r="A24" s="190" t="s">
        <v>102</v>
      </c>
      <c r="B24" s="191" t="s">
        <v>8</v>
      </c>
      <c r="C24" s="191">
        <v>2014</v>
      </c>
      <c r="D24" s="42">
        <v>0</v>
      </c>
      <c r="E24" s="43"/>
      <c r="F24" s="43">
        <f t="shared" si="0"/>
        <v>0</v>
      </c>
      <c r="G24" s="44">
        <f t="shared" ref="G24:G35" si="5">IF(OR(F22="",F23="",F24=""),"",AVERAGE(F22:F24))</f>
        <v>3.6835439309593226E-4</v>
      </c>
      <c r="H24" s="35">
        <v>0</v>
      </c>
      <c r="I24" s="35">
        <v>0</v>
      </c>
      <c r="J24" s="146" t="e">
        <f>H24/I24</f>
        <v>#DIV/0!</v>
      </c>
      <c r="K24" s="35">
        <f t="shared" ref="K24:L35" si="6">IFERROR(IF(OR(H22="",H23="",H24=""),"",AVERAGE(H22:H24)),"")</f>
        <v>0</v>
      </c>
      <c r="L24" s="153">
        <f t="shared" si="6"/>
        <v>0</v>
      </c>
      <c r="M24" s="149" t="str">
        <f t="shared" si="2"/>
        <v/>
      </c>
    </row>
    <row r="25" spans="1:13" x14ac:dyDescent="0.4">
      <c r="A25" s="190" t="s">
        <v>103</v>
      </c>
      <c r="B25" s="191" t="s">
        <v>8</v>
      </c>
      <c r="C25" s="191">
        <v>2015</v>
      </c>
      <c r="D25" s="42">
        <v>0</v>
      </c>
      <c r="E25" s="43"/>
      <c r="F25" s="43">
        <f t="shared" si="0"/>
        <v>0</v>
      </c>
      <c r="G25" s="44">
        <f t="shared" si="5"/>
        <v>0</v>
      </c>
      <c r="H25" s="35">
        <v>0</v>
      </c>
      <c r="I25" s="35">
        <v>0</v>
      </c>
      <c r="J25" s="146" t="str">
        <f t="shared" si="1"/>
        <v/>
      </c>
      <c r="K25" s="35">
        <f t="shared" si="6"/>
        <v>0</v>
      </c>
      <c r="L25" s="153">
        <f t="shared" si="6"/>
        <v>0</v>
      </c>
      <c r="M25" s="149" t="str">
        <f t="shared" si="2"/>
        <v/>
      </c>
    </row>
    <row r="26" spans="1:13" x14ac:dyDescent="0.4">
      <c r="A26" s="190" t="s">
        <v>104</v>
      </c>
      <c r="B26" s="191" t="s">
        <v>8</v>
      </c>
      <c r="C26" s="191">
        <v>2016</v>
      </c>
      <c r="D26" s="42">
        <v>3.6415141430948414E-2</v>
      </c>
      <c r="E26" s="43"/>
      <c r="F26" s="43">
        <f t="shared" si="0"/>
        <v>3.6415141430948414E-2</v>
      </c>
      <c r="G26" s="44">
        <f t="shared" si="5"/>
        <v>1.2138380476982805E-2</v>
      </c>
      <c r="H26" s="35">
        <v>0</v>
      </c>
      <c r="I26" s="35">
        <v>0</v>
      </c>
      <c r="J26" s="146" t="str">
        <f t="shared" si="1"/>
        <v/>
      </c>
      <c r="K26" s="35">
        <f t="shared" si="6"/>
        <v>0</v>
      </c>
      <c r="L26" s="153">
        <f t="shared" si="6"/>
        <v>0</v>
      </c>
      <c r="M26" s="149" t="str">
        <f t="shared" si="2"/>
        <v/>
      </c>
    </row>
    <row r="27" spans="1:13" x14ac:dyDescent="0.4">
      <c r="A27" s="190" t="s">
        <v>105</v>
      </c>
      <c r="B27" s="191" t="s">
        <v>8</v>
      </c>
      <c r="C27" s="191">
        <v>2017</v>
      </c>
      <c r="D27" s="42">
        <v>5.2343537135822724E-2</v>
      </c>
      <c r="E27" s="43"/>
      <c r="F27" s="43">
        <f t="shared" si="0"/>
        <v>5.2343537135822724E-2</v>
      </c>
      <c r="G27" s="44">
        <f t="shared" si="5"/>
        <v>2.9586226188923714E-2</v>
      </c>
      <c r="H27" s="35">
        <v>0</v>
      </c>
      <c r="I27" s="35">
        <v>0</v>
      </c>
      <c r="J27" s="146" t="str">
        <f t="shared" si="1"/>
        <v/>
      </c>
      <c r="K27" s="35">
        <f t="shared" si="6"/>
        <v>0</v>
      </c>
      <c r="L27" s="153">
        <f t="shared" si="6"/>
        <v>0</v>
      </c>
      <c r="M27" s="149" t="str">
        <f t="shared" si="2"/>
        <v/>
      </c>
    </row>
    <row r="28" spans="1:13" x14ac:dyDescent="0.4">
      <c r="A28" s="190" t="s">
        <v>106</v>
      </c>
      <c r="B28" s="191" t="s">
        <v>8</v>
      </c>
      <c r="C28" s="191">
        <v>2018</v>
      </c>
      <c r="D28" s="42">
        <v>0.223</v>
      </c>
      <c r="E28" s="43"/>
      <c r="F28" s="43">
        <f t="shared" si="0"/>
        <v>0.223</v>
      </c>
      <c r="G28" s="44">
        <f t="shared" si="5"/>
        <v>0.10391955952225705</v>
      </c>
      <c r="H28" s="35">
        <v>3</v>
      </c>
      <c r="I28" s="35">
        <v>1</v>
      </c>
      <c r="J28" s="146">
        <f t="shared" si="1"/>
        <v>3</v>
      </c>
      <c r="K28" s="35">
        <f t="shared" si="6"/>
        <v>1</v>
      </c>
      <c r="L28" s="153">
        <f t="shared" si="6"/>
        <v>0.33333333333333331</v>
      </c>
      <c r="M28" s="149">
        <f t="shared" si="2"/>
        <v>3</v>
      </c>
    </row>
    <row r="29" spans="1:13" x14ac:dyDescent="0.4">
      <c r="A29" s="190" t="s">
        <v>107</v>
      </c>
      <c r="B29" s="191" t="s">
        <v>8</v>
      </c>
      <c r="C29" s="191">
        <v>2019</v>
      </c>
      <c r="D29" s="42">
        <v>0.28605295315682455</v>
      </c>
      <c r="E29" s="43"/>
      <c r="F29" s="43">
        <f t="shared" si="0"/>
        <v>0.28605295315682455</v>
      </c>
      <c r="G29" s="44">
        <f t="shared" si="5"/>
        <v>0.18713216343088243</v>
      </c>
      <c r="H29" s="35">
        <v>4</v>
      </c>
      <c r="I29" s="35">
        <v>1</v>
      </c>
      <c r="J29" s="146">
        <f t="shared" si="1"/>
        <v>4</v>
      </c>
      <c r="K29" s="35">
        <f t="shared" si="6"/>
        <v>2.3333333333333335</v>
      </c>
      <c r="L29" s="153">
        <f t="shared" si="6"/>
        <v>0.66666666666666663</v>
      </c>
      <c r="M29" s="149">
        <f t="shared" si="2"/>
        <v>3.5000000000000004</v>
      </c>
    </row>
    <row r="30" spans="1:13" x14ac:dyDescent="0.4">
      <c r="A30" s="190" t="s">
        <v>108</v>
      </c>
      <c r="B30" s="191" t="s">
        <v>8</v>
      </c>
      <c r="C30" s="191">
        <v>2020</v>
      </c>
      <c r="D30" s="42">
        <v>3.8426793670302897E-3</v>
      </c>
      <c r="E30" s="43"/>
      <c r="F30" s="43">
        <f t="shared" si="0"/>
        <v>3.8426793670302897E-3</v>
      </c>
      <c r="G30" s="44">
        <f t="shared" si="5"/>
        <v>0.17096521084128494</v>
      </c>
      <c r="H30" s="35">
        <v>5</v>
      </c>
      <c r="I30" s="35">
        <v>1</v>
      </c>
      <c r="J30" s="146">
        <f t="shared" si="1"/>
        <v>5</v>
      </c>
      <c r="K30" s="35">
        <f t="shared" si="6"/>
        <v>4</v>
      </c>
      <c r="L30" s="153">
        <f t="shared" si="6"/>
        <v>1</v>
      </c>
      <c r="M30" s="149">
        <f t="shared" si="2"/>
        <v>4</v>
      </c>
    </row>
    <row r="31" spans="1:13" x14ac:dyDescent="0.4">
      <c r="A31" s="190" t="s">
        <v>109</v>
      </c>
      <c r="B31" s="191" t="s">
        <v>8</v>
      </c>
      <c r="C31" s="191">
        <v>2021</v>
      </c>
      <c r="D31" s="42">
        <v>0</v>
      </c>
      <c r="E31" s="43">
        <v>0</v>
      </c>
      <c r="F31" s="43">
        <f t="shared" si="0"/>
        <v>0</v>
      </c>
      <c r="G31" s="44">
        <f t="shared" si="5"/>
        <v>9.6631877507951616E-2</v>
      </c>
      <c r="H31" s="35">
        <v>3</v>
      </c>
      <c r="I31" s="35">
        <v>1</v>
      </c>
      <c r="J31" s="146">
        <f t="shared" si="1"/>
        <v>3</v>
      </c>
      <c r="K31" s="35">
        <f t="shared" si="6"/>
        <v>4</v>
      </c>
      <c r="L31" s="153">
        <f t="shared" si="6"/>
        <v>1</v>
      </c>
      <c r="M31" s="149">
        <f t="shared" si="2"/>
        <v>4</v>
      </c>
    </row>
    <row r="32" spans="1:13" x14ac:dyDescent="0.4">
      <c r="A32" s="190" t="s">
        <v>110</v>
      </c>
      <c r="B32" s="191" t="s">
        <v>8</v>
      </c>
      <c r="C32" s="191">
        <v>2022</v>
      </c>
      <c r="D32" s="42">
        <v>0.25</v>
      </c>
      <c r="E32" s="43">
        <v>0</v>
      </c>
      <c r="F32" s="43">
        <f t="shared" si="0"/>
        <v>0.25</v>
      </c>
      <c r="G32" s="44">
        <f t="shared" si="5"/>
        <v>8.4614226455676775E-2</v>
      </c>
      <c r="H32" s="35">
        <v>3</v>
      </c>
      <c r="I32" s="35">
        <v>1</v>
      </c>
      <c r="J32" s="146">
        <f t="shared" si="1"/>
        <v>3</v>
      </c>
      <c r="K32" s="35">
        <f t="shared" si="6"/>
        <v>3.6666666666666665</v>
      </c>
      <c r="L32" s="153">
        <f t="shared" si="6"/>
        <v>1</v>
      </c>
      <c r="M32" s="149">
        <f t="shared" si="2"/>
        <v>3.6666666666666665</v>
      </c>
    </row>
    <row r="33" spans="1:13" x14ac:dyDescent="0.4">
      <c r="A33" s="190" t="s">
        <v>111</v>
      </c>
      <c r="B33" s="191" t="s">
        <v>8</v>
      </c>
      <c r="C33" s="191">
        <v>2023</v>
      </c>
      <c r="D33" s="42">
        <v>0.25</v>
      </c>
      <c r="E33" s="43">
        <v>0</v>
      </c>
      <c r="F33" s="43">
        <f t="shared" si="0"/>
        <v>0.25</v>
      </c>
      <c r="G33" s="44">
        <f t="shared" si="5"/>
        <v>0.16666666666666666</v>
      </c>
      <c r="H33" s="35">
        <v>3</v>
      </c>
      <c r="I33" s="35">
        <v>1</v>
      </c>
      <c r="J33" s="146">
        <f t="shared" si="1"/>
        <v>3</v>
      </c>
      <c r="K33" s="35">
        <f t="shared" si="6"/>
        <v>3</v>
      </c>
      <c r="L33" s="153">
        <f t="shared" si="6"/>
        <v>1</v>
      </c>
      <c r="M33" s="149">
        <f t="shared" si="2"/>
        <v>3</v>
      </c>
    </row>
    <row r="34" spans="1:13" x14ac:dyDescent="0.4">
      <c r="A34" s="190" t="s">
        <v>112</v>
      </c>
      <c r="B34" s="191" t="s">
        <v>8</v>
      </c>
      <c r="C34" s="191">
        <v>2024</v>
      </c>
      <c r="D34" s="42">
        <v>0.25</v>
      </c>
      <c r="E34" s="43">
        <v>0</v>
      </c>
      <c r="F34" s="43">
        <f t="shared" si="0"/>
        <v>0.25</v>
      </c>
      <c r="G34" s="44">
        <f t="shared" si="5"/>
        <v>0.25</v>
      </c>
      <c r="H34" s="35">
        <v>3</v>
      </c>
      <c r="I34" s="35">
        <v>1</v>
      </c>
      <c r="J34" s="146">
        <f t="shared" si="1"/>
        <v>3</v>
      </c>
      <c r="K34" s="35">
        <f t="shared" si="6"/>
        <v>3</v>
      </c>
      <c r="L34" s="153">
        <f t="shared" si="6"/>
        <v>1</v>
      </c>
      <c r="M34" s="149">
        <f t="shared" si="2"/>
        <v>3</v>
      </c>
    </row>
    <row r="35" spans="1:13" x14ac:dyDescent="0.4">
      <c r="A35" s="190" t="s">
        <v>113</v>
      </c>
      <c r="B35" s="191" t="s">
        <v>8</v>
      </c>
      <c r="C35" s="191">
        <v>2025</v>
      </c>
      <c r="D35" s="42">
        <v>0.25</v>
      </c>
      <c r="E35" s="43">
        <v>0</v>
      </c>
      <c r="F35" s="43">
        <f t="shared" si="0"/>
        <v>0.25</v>
      </c>
      <c r="G35" s="44">
        <f t="shared" si="5"/>
        <v>0.25</v>
      </c>
      <c r="H35" s="35">
        <v>3</v>
      </c>
      <c r="I35" s="35">
        <v>1</v>
      </c>
      <c r="J35" s="146">
        <f t="shared" si="1"/>
        <v>3</v>
      </c>
      <c r="K35" s="35">
        <f t="shared" si="6"/>
        <v>3</v>
      </c>
      <c r="L35" s="153">
        <f t="shared" si="6"/>
        <v>1</v>
      </c>
      <c r="M35" s="149">
        <f t="shared" si="2"/>
        <v>3</v>
      </c>
    </row>
    <row r="36" spans="1:13" x14ac:dyDescent="0.4">
      <c r="A36" s="190" t="s">
        <v>114</v>
      </c>
      <c r="B36" s="191" t="s">
        <v>9</v>
      </c>
      <c r="C36" s="191">
        <v>2012</v>
      </c>
      <c r="D36" s="42">
        <v>10.235140242603936</v>
      </c>
      <c r="E36" s="43"/>
      <c r="F36" s="43">
        <f t="shared" si="0"/>
        <v>10.235140242603936</v>
      </c>
      <c r="G36" s="44"/>
      <c r="H36" s="35">
        <v>44</v>
      </c>
      <c r="I36" s="35">
        <v>2</v>
      </c>
      <c r="J36" s="146">
        <f t="shared" si="1"/>
        <v>22</v>
      </c>
      <c r="K36" s="35"/>
      <c r="L36" s="153"/>
      <c r="M36" s="149" t="str">
        <f t="shared" si="2"/>
        <v/>
      </c>
    </row>
    <row r="37" spans="1:13" x14ac:dyDescent="0.4">
      <c r="A37" s="190" t="s">
        <v>115</v>
      </c>
      <c r="B37" s="191" t="s">
        <v>9</v>
      </c>
      <c r="C37" s="191">
        <v>2013</v>
      </c>
      <c r="D37" s="42">
        <v>2.6850752071604753</v>
      </c>
      <c r="E37" s="43"/>
      <c r="F37" s="43">
        <f t="shared" si="0"/>
        <v>2.6850752071604753</v>
      </c>
      <c r="G37" s="44"/>
      <c r="H37" s="35">
        <v>0</v>
      </c>
      <c r="I37" s="35">
        <v>0</v>
      </c>
      <c r="J37" s="146" t="str">
        <f t="shared" si="1"/>
        <v/>
      </c>
      <c r="K37" s="35"/>
      <c r="L37" s="153"/>
      <c r="M37" s="149" t="str">
        <f t="shared" si="2"/>
        <v/>
      </c>
    </row>
    <row r="38" spans="1:13" x14ac:dyDescent="0.4">
      <c r="A38" s="190" t="s">
        <v>116</v>
      </c>
      <c r="B38" s="191" t="s">
        <v>9</v>
      </c>
      <c r="C38" s="191">
        <v>2014</v>
      </c>
      <c r="D38" s="42">
        <v>2.156878558461067</v>
      </c>
      <c r="E38" s="43"/>
      <c r="F38" s="43">
        <f t="shared" si="0"/>
        <v>2.156878558461067</v>
      </c>
      <c r="G38" s="44">
        <f t="shared" ref="G38:G49" si="7">IF(OR(F36="",F37="",F38=""),"",AVERAGE(F36:F38))</f>
        <v>5.0256980027418257</v>
      </c>
      <c r="H38" s="35">
        <v>0</v>
      </c>
      <c r="I38" s="35">
        <v>0</v>
      </c>
      <c r="J38" s="146" t="str">
        <f t="shared" si="1"/>
        <v/>
      </c>
      <c r="K38" s="35">
        <f t="shared" ref="K38:L49" si="8">IFERROR(IF(OR(H36="",H37="",H38=""),"",AVERAGE(H36:H38)),"")</f>
        <v>14.666666666666666</v>
      </c>
      <c r="L38" s="153">
        <f t="shared" si="8"/>
        <v>0.66666666666666663</v>
      </c>
      <c r="M38" s="149">
        <f t="shared" si="2"/>
        <v>22</v>
      </c>
    </row>
    <row r="39" spans="1:13" x14ac:dyDescent="0.4">
      <c r="A39" s="190" t="s">
        <v>117</v>
      </c>
      <c r="B39" s="191" t="s">
        <v>9</v>
      </c>
      <c r="C39" s="191">
        <v>2015</v>
      </c>
      <c r="D39" s="42">
        <v>6.3124288594340285</v>
      </c>
      <c r="E39" s="43"/>
      <c r="F39" s="43">
        <f t="shared" si="0"/>
        <v>6.3124288594340285</v>
      </c>
      <c r="G39" s="44">
        <f t="shared" si="7"/>
        <v>3.7181275416851904</v>
      </c>
      <c r="H39" s="35">
        <v>175</v>
      </c>
      <c r="I39" s="35">
        <v>3</v>
      </c>
      <c r="J39" s="146">
        <f t="shared" si="1"/>
        <v>58.333333333333336</v>
      </c>
      <c r="K39" s="35">
        <f t="shared" si="8"/>
        <v>58.333333333333336</v>
      </c>
      <c r="L39" s="153">
        <f t="shared" si="8"/>
        <v>1</v>
      </c>
      <c r="M39" s="149">
        <f t="shared" si="2"/>
        <v>58.333333333333336</v>
      </c>
    </row>
    <row r="40" spans="1:13" x14ac:dyDescent="0.4">
      <c r="A40" s="190" t="s">
        <v>118</v>
      </c>
      <c r="B40" s="191" t="s">
        <v>9</v>
      </c>
      <c r="C40" s="191">
        <v>2016</v>
      </c>
      <c r="D40" s="42">
        <v>0.94385739949916714</v>
      </c>
      <c r="E40" s="43"/>
      <c r="F40" s="43">
        <f t="shared" ref="F40:F77" si="9">D40+E40</f>
        <v>0.94385739949916714</v>
      </c>
      <c r="G40" s="44">
        <f t="shared" si="7"/>
        <v>3.1377216057980877</v>
      </c>
      <c r="H40" s="35">
        <v>0</v>
      </c>
      <c r="I40" s="35">
        <v>0</v>
      </c>
      <c r="J40" s="146" t="str">
        <f t="shared" si="1"/>
        <v/>
      </c>
      <c r="K40" s="35">
        <f t="shared" si="8"/>
        <v>58.333333333333336</v>
      </c>
      <c r="L40" s="153">
        <f t="shared" si="8"/>
        <v>1</v>
      </c>
      <c r="M40" s="149">
        <f t="shared" si="2"/>
        <v>58.333333333333336</v>
      </c>
    </row>
    <row r="41" spans="1:13" x14ac:dyDescent="0.4">
      <c r="A41" s="190" t="s">
        <v>119</v>
      </c>
      <c r="B41" s="191" t="s">
        <v>9</v>
      </c>
      <c r="C41" s="191">
        <v>2017</v>
      </c>
      <c r="D41" s="42">
        <v>0.12907165815586372</v>
      </c>
      <c r="E41" s="43"/>
      <c r="F41" s="43">
        <f t="shared" si="9"/>
        <v>0.12907165815586372</v>
      </c>
      <c r="G41" s="44">
        <f t="shared" si="7"/>
        <v>2.4617859723630198</v>
      </c>
      <c r="H41" s="35">
        <v>0</v>
      </c>
      <c r="I41" s="35">
        <v>0</v>
      </c>
      <c r="J41" s="146" t="str">
        <f t="shared" si="1"/>
        <v/>
      </c>
      <c r="K41" s="35">
        <f t="shared" si="8"/>
        <v>58.333333333333336</v>
      </c>
      <c r="L41" s="153">
        <f t="shared" si="8"/>
        <v>1</v>
      </c>
      <c r="M41" s="149">
        <f t="shared" si="2"/>
        <v>58.333333333333336</v>
      </c>
    </row>
    <row r="42" spans="1:13" x14ac:dyDescent="0.4">
      <c r="A42" s="190" t="s">
        <v>120</v>
      </c>
      <c r="B42" s="191" t="s">
        <v>9</v>
      </c>
      <c r="C42" s="191">
        <v>2018</v>
      </c>
      <c r="D42" s="42">
        <v>-1.3003043924</v>
      </c>
      <c r="E42" s="43"/>
      <c r="F42" s="43">
        <f t="shared" si="9"/>
        <v>-1.3003043924</v>
      </c>
      <c r="G42" s="44">
        <f t="shared" si="7"/>
        <v>-7.5791778248323061E-2</v>
      </c>
      <c r="H42" s="35">
        <v>0</v>
      </c>
      <c r="I42" s="35">
        <v>0</v>
      </c>
      <c r="J42" s="146" t="str">
        <f t="shared" si="1"/>
        <v/>
      </c>
      <c r="K42" s="35">
        <f t="shared" si="8"/>
        <v>0</v>
      </c>
      <c r="L42" s="153">
        <f t="shared" si="8"/>
        <v>0</v>
      </c>
      <c r="M42" s="149" t="str">
        <f t="shared" si="2"/>
        <v/>
      </c>
    </row>
    <row r="43" spans="1:13" x14ac:dyDescent="0.4">
      <c r="A43" s="190" t="s">
        <v>121</v>
      </c>
      <c r="B43" s="191" t="s">
        <v>9</v>
      </c>
      <c r="C43" s="191">
        <v>2019</v>
      </c>
      <c r="D43" s="42">
        <v>0.11731967655913603</v>
      </c>
      <c r="E43" s="43"/>
      <c r="F43" s="43">
        <f t="shared" si="9"/>
        <v>0.11731967655913603</v>
      </c>
      <c r="G43" s="44">
        <f t="shared" si="7"/>
        <v>-0.35130435256166676</v>
      </c>
      <c r="H43" s="35">
        <v>0</v>
      </c>
      <c r="I43" s="35">
        <v>0</v>
      </c>
      <c r="J43" s="146" t="str">
        <f t="shared" si="1"/>
        <v/>
      </c>
      <c r="K43" s="35">
        <f t="shared" si="8"/>
        <v>0</v>
      </c>
      <c r="L43" s="153">
        <f t="shared" si="8"/>
        <v>0</v>
      </c>
      <c r="M43" s="149" t="str">
        <f t="shared" si="2"/>
        <v/>
      </c>
    </row>
    <row r="44" spans="1:13" x14ac:dyDescent="0.4">
      <c r="A44" s="190" t="s">
        <v>122</v>
      </c>
      <c r="B44" s="191" t="s">
        <v>9</v>
      </c>
      <c r="C44" s="191">
        <v>2020</v>
      </c>
      <c r="D44" s="42">
        <v>0</v>
      </c>
      <c r="E44" s="43"/>
      <c r="F44" s="43">
        <f t="shared" si="9"/>
        <v>0</v>
      </c>
      <c r="G44" s="44">
        <f t="shared" si="7"/>
        <v>-0.39432823861362132</v>
      </c>
      <c r="H44" s="35">
        <v>0</v>
      </c>
      <c r="I44" s="35">
        <v>0</v>
      </c>
      <c r="J44" s="146" t="str">
        <f t="shared" si="1"/>
        <v/>
      </c>
      <c r="K44" s="35">
        <f t="shared" si="8"/>
        <v>0</v>
      </c>
      <c r="L44" s="153">
        <f t="shared" si="8"/>
        <v>0</v>
      </c>
      <c r="M44" s="149" t="str">
        <f t="shared" si="2"/>
        <v/>
      </c>
    </row>
    <row r="45" spans="1:13" x14ac:dyDescent="0.4">
      <c r="A45" s="190" t="s">
        <v>123</v>
      </c>
      <c r="B45" s="191" t="s">
        <v>9</v>
      </c>
      <c r="C45" s="191">
        <v>2021</v>
      </c>
      <c r="D45" s="42">
        <v>0.99999999960079999</v>
      </c>
      <c r="E45" s="43">
        <v>0</v>
      </c>
      <c r="F45" s="43">
        <f t="shared" si="9"/>
        <v>0.99999999960079999</v>
      </c>
      <c r="G45" s="44">
        <f t="shared" si="7"/>
        <v>0.37243989205331202</v>
      </c>
      <c r="H45" s="35">
        <v>0</v>
      </c>
      <c r="I45" s="35">
        <v>0</v>
      </c>
      <c r="J45" s="146" t="str">
        <f t="shared" si="1"/>
        <v/>
      </c>
      <c r="K45" s="35">
        <f t="shared" si="8"/>
        <v>0</v>
      </c>
      <c r="L45" s="153">
        <f t="shared" si="8"/>
        <v>0</v>
      </c>
      <c r="M45" s="149" t="str">
        <f t="shared" si="2"/>
        <v/>
      </c>
    </row>
    <row r="46" spans="1:13" x14ac:dyDescent="0.4">
      <c r="A46" s="190" t="s">
        <v>124</v>
      </c>
      <c r="B46" s="191" t="s">
        <v>9</v>
      </c>
      <c r="C46" s="191">
        <v>2022</v>
      </c>
      <c r="D46" s="42">
        <v>0.99999999960079999</v>
      </c>
      <c r="E46" s="43">
        <v>0</v>
      </c>
      <c r="F46" s="43">
        <f t="shared" si="9"/>
        <v>0.99999999960079999</v>
      </c>
      <c r="G46" s="44">
        <f t="shared" si="7"/>
        <v>0.66666666640053329</v>
      </c>
      <c r="H46" s="35">
        <v>8</v>
      </c>
      <c r="I46" s="35">
        <v>1</v>
      </c>
      <c r="J46" s="146">
        <f t="shared" si="1"/>
        <v>8</v>
      </c>
      <c r="K46" s="35">
        <f t="shared" si="8"/>
        <v>2.6666666666666665</v>
      </c>
      <c r="L46" s="153">
        <f t="shared" si="8"/>
        <v>0.33333333333333331</v>
      </c>
      <c r="M46" s="149">
        <f t="shared" si="2"/>
        <v>8</v>
      </c>
    </row>
    <row r="47" spans="1:13" x14ac:dyDescent="0.4">
      <c r="A47" s="190" t="s">
        <v>125</v>
      </c>
      <c r="B47" s="191" t="s">
        <v>9</v>
      </c>
      <c r="C47" s="191">
        <v>2023</v>
      </c>
      <c r="D47" s="42">
        <v>0.99999999960079999</v>
      </c>
      <c r="E47" s="43">
        <v>0</v>
      </c>
      <c r="F47" s="43">
        <f t="shared" si="9"/>
        <v>0.99999999960079999</v>
      </c>
      <c r="G47" s="44">
        <f t="shared" si="7"/>
        <v>0.99999999960079988</v>
      </c>
      <c r="H47" s="35">
        <v>8</v>
      </c>
      <c r="I47" s="35">
        <v>1</v>
      </c>
      <c r="J47" s="146">
        <f t="shared" si="1"/>
        <v>8</v>
      </c>
      <c r="K47" s="35">
        <f t="shared" si="8"/>
        <v>5.333333333333333</v>
      </c>
      <c r="L47" s="153">
        <f t="shared" si="8"/>
        <v>0.66666666666666663</v>
      </c>
      <c r="M47" s="149">
        <f t="shared" si="2"/>
        <v>8</v>
      </c>
    </row>
    <row r="48" spans="1:13" x14ac:dyDescent="0.4">
      <c r="A48" s="190" t="s">
        <v>126</v>
      </c>
      <c r="B48" s="191" t="s">
        <v>9</v>
      </c>
      <c r="C48" s="191">
        <v>2024</v>
      </c>
      <c r="D48" s="42">
        <v>0.99999999960079999</v>
      </c>
      <c r="E48" s="43">
        <v>0</v>
      </c>
      <c r="F48" s="43">
        <f t="shared" si="9"/>
        <v>0.99999999960079999</v>
      </c>
      <c r="G48" s="44">
        <f t="shared" si="7"/>
        <v>0.99999999960079988</v>
      </c>
      <c r="H48" s="35">
        <v>8</v>
      </c>
      <c r="I48" s="35">
        <v>1</v>
      </c>
      <c r="J48" s="146">
        <f t="shared" si="1"/>
        <v>8</v>
      </c>
      <c r="K48" s="35">
        <f t="shared" si="8"/>
        <v>8</v>
      </c>
      <c r="L48" s="153">
        <f t="shared" si="8"/>
        <v>1</v>
      </c>
      <c r="M48" s="149">
        <f t="shared" si="2"/>
        <v>8</v>
      </c>
    </row>
    <row r="49" spans="1:13" x14ac:dyDescent="0.4">
      <c r="A49" s="190" t="s">
        <v>127</v>
      </c>
      <c r="B49" s="191" t="s">
        <v>9</v>
      </c>
      <c r="C49" s="191">
        <v>2025</v>
      </c>
      <c r="D49" s="42">
        <v>0.99999999960079999</v>
      </c>
      <c r="E49" s="43">
        <v>0</v>
      </c>
      <c r="F49" s="43">
        <f t="shared" si="9"/>
        <v>0.99999999960079999</v>
      </c>
      <c r="G49" s="44">
        <f t="shared" si="7"/>
        <v>0.99999999960079988</v>
      </c>
      <c r="H49" s="35">
        <v>8</v>
      </c>
      <c r="I49" s="35">
        <v>1</v>
      </c>
      <c r="J49" s="146">
        <f t="shared" si="1"/>
        <v>8</v>
      </c>
      <c r="K49" s="35">
        <f t="shared" si="8"/>
        <v>8</v>
      </c>
      <c r="L49" s="153">
        <f t="shared" si="8"/>
        <v>1</v>
      </c>
      <c r="M49" s="149">
        <f t="shared" si="2"/>
        <v>8</v>
      </c>
    </row>
    <row r="50" spans="1:13" x14ac:dyDescent="0.4">
      <c r="A50" s="190" t="s">
        <v>128</v>
      </c>
      <c r="B50" s="191" t="s">
        <v>10</v>
      </c>
      <c r="C50" s="191">
        <v>2012</v>
      </c>
      <c r="D50" s="42">
        <v>1.9371757532915075</v>
      </c>
      <c r="E50" s="43"/>
      <c r="F50" s="43">
        <f t="shared" si="9"/>
        <v>1.9371757532915075</v>
      </c>
      <c r="G50" s="44"/>
      <c r="H50" s="35">
        <v>0</v>
      </c>
      <c r="I50" s="35">
        <v>0</v>
      </c>
      <c r="J50" s="146" t="str">
        <f t="shared" si="1"/>
        <v/>
      </c>
      <c r="K50" s="35"/>
      <c r="L50" s="153"/>
      <c r="M50" s="149" t="str">
        <f t="shared" si="2"/>
        <v/>
      </c>
    </row>
    <row r="51" spans="1:13" x14ac:dyDescent="0.4">
      <c r="A51" s="190" t="s">
        <v>129</v>
      </c>
      <c r="B51" s="191" t="s">
        <v>10</v>
      </c>
      <c r="C51" s="191">
        <v>2013</v>
      </c>
      <c r="D51" s="42">
        <v>1.38116307161346</v>
      </c>
      <c r="E51" s="43"/>
      <c r="F51" s="43">
        <f t="shared" si="9"/>
        <v>1.38116307161346</v>
      </c>
      <c r="G51" s="44"/>
      <c r="H51" s="35">
        <v>0</v>
      </c>
      <c r="I51" s="35">
        <v>0</v>
      </c>
      <c r="J51" s="146" t="str">
        <f t="shared" si="1"/>
        <v/>
      </c>
      <c r="K51" s="35"/>
      <c r="L51" s="153"/>
      <c r="M51" s="149" t="str">
        <f t="shared" si="2"/>
        <v/>
      </c>
    </row>
    <row r="52" spans="1:13" x14ac:dyDescent="0.4">
      <c r="A52" s="190" t="s">
        <v>130</v>
      </c>
      <c r="B52" s="191" t="s">
        <v>10</v>
      </c>
      <c r="C52" s="191">
        <v>2014</v>
      </c>
      <c r="D52" s="42">
        <v>0.98191970926301531</v>
      </c>
      <c r="E52" s="43"/>
      <c r="F52" s="43">
        <f t="shared" si="9"/>
        <v>0.98191970926301531</v>
      </c>
      <c r="G52" s="44">
        <f t="shared" ref="G52:G63" si="10">IF(OR(F50="",F51="",F52=""),"",AVERAGE(F50:F52))</f>
        <v>1.4334195113893273</v>
      </c>
      <c r="H52" s="35">
        <v>0</v>
      </c>
      <c r="I52" s="35">
        <v>0</v>
      </c>
      <c r="J52" s="146" t="str">
        <f t="shared" si="1"/>
        <v/>
      </c>
      <c r="K52" s="35">
        <f t="shared" ref="K52:L63" si="11">IFERROR(IF(OR(H50="",H51="",H52=""),"",AVERAGE(H50:H52)),"")</f>
        <v>0</v>
      </c>
      <c r="L52" s="153">
        <f t="shared" si="11"/>
        <v>0</v>
      </c>
      <c r="M52" s="149" t="str">
        <f t="shared" si="2"/>
        <v/>
      </c>
    </row>
    <row r="53" spans="1:13" x14ac:dyDescent="0.4">
      <c r="A53" s="190" t="s">
        <v>131</v>
      </c>
      <c r="B53" s="191" t="s">
        <v>10</v>
      </c>
      <c r="C53" s="191">
        <v>2015</v>
      </c>
      <c r="D53" s="42">
        <v>0.66360073535556119</v>
      </c>
      <c r="E53" s="43"/>
      <c r="F53" s="43">
        <f t="shared" si="9"/>
        <v>0.66360073535556119</v>
      </c>
      <c r="G53" s="44">
        <f t="shared" si="10"/>
        <v>1.0088945054106788</v>
      </c>
      <c r="H53" s="35">
        <v>123</v>
      </c>
      <c r="I53" s="35">
        <v>1</v>
      </c>
      <c r="J53" s="146">
        <f t="shared" si="1"/>
        <v>123</v>
      </c>
      <c r="K53" s="35">
        <f t="shared" si="11"/>
        <v>41</v>
      </c>
      <c r="L53" s="153">
        <f t="shared" si="11"/>
        <v>0.33333333333333331</v>
      </c>
      <c r="M53" s="149">
        <f t="shared" si="2"/>
        <v>123</v>
      </c>
    </row>
    <row r="54" spans="1:13" x14ac:dyDescent="0.4">
      <c r="A54" s="190" t="s">
        <v>132</v>
      </c>
      <c r="B54" s="191" t="s">
        <v>10</v>
      </c>
      <c r="C54" s="191">
        <v>2016</v>
      </c>
      <c r="D54" s="42">
        <v>0.98320881863560716</v>
      </c>
      <c r="E54" s="43"/>
      <c r="F54" s="43">
        <f t="shared" si="9"/>
        <v>0.98320881863560716</v>
      </c>
      <c r="G54" s="44">
        <f t="shared" si="10"/>
        <v>0.87624308775139459</v>
      </c>
      <c r="H54" s="35">
        <v>0</v>
      </c>
      <c r="I54" s="35">
        <v>0</v>
      </c>
      <c r="J54" s="146" t="str">
        <f t="shared" si="1"/>
        <v/>
      </c>
      <c r="K54" s="35">
        <f t="shared" si="11"/>
        <v>41</v>
      </c>
      <c r="L54" s="153">
        <f t="shared" si="11"/>
        <v>0.33333333333333331</v>
      </c>
      <c r="M54" s="149">
        <f t="shared" si="2"/>
        <v>123</v>
      </c>
    </row>
    <row r="55" spans="1:13" x14ac:dyDescent="0.4">
      <c r="A55" s="190" t="s">
        <v>133</v>
      </c>
      <c r="B55" s="191" t="s">
        <v>10</v>
      </c>
      <c r="C55" s="191">
        <v>2017</v>
      </c>
      <c r="D55" s="42">
        <v>3.3756449733278622</v>
      </c>
      <c r="E55" s="43"/>
      <c r="F55" s="43">
        <f t="shared" si="9"/>
        <v>3.3756449733278622</v>
      </c>
      <c r="G55" s="44">
        <f t="shared" si="10"/>
        <v>1.6741515091063437</v>
      </c>
      <c r="H55" s="35">
        <v>0</v>
      </c>
      <c r="I55" s="35">
        <v>0</v>
      </c>
      <c r="J55" s="146" t="str">
        <f t="shared" si="1"/>
        <v/>
      </c>
      <c r="K55" s="35">
        <f t="shared" si="11"/>
        <v>41</v>
      </c>
      <c r="L55" s="153">
        <f t="shared" si="11"/>
        <v>0.33333333333333331</v>
      </c>
      <c r="M55" s="149">
        <f t="shared" si="2"/>
        <v>123</v>
      </c>
    </row>
    <row r="56" spans="1:13" x14ac:dyDescent="0.4">
      <c r="A56" s="190" t="s">
        <v>134</v>
      </c>
      <c r="B56" s="191" t="s">
        <v>10</v>
      </c>
      <c r="C56" s="191">
        <v>2018</v>
      </c>
      <c r="D56" s="42">
        <v>5.1989999999999998</v>
      </c>
      <c r="E56" s="43"/>
      <c r="F56" s="43">
        <f t="shared" si="9"/>
        <v>5.1989999999999998</v>
      </c>
      <c r="G56" s="44">
        <f t="shared" si="10"/>
        <v>3.1859512639878229</v>
      </c>
      <c r="H56" s="35">
        <v>0</v>
      </c>
      <c r="I56" s="35">
        <v>0</v>
      </c>
      <c r="J56" s="146" t="str">
        <f t="shared" si="1"/>
        <v/>
      </c>
      <c r="K56" s="35">
        <f t="shared" si="11"/>
        <v>0</v>
      </c>
      <c r="L56" s="153">
        <f t="shared" si="11"/>
        <v>0</v>
      </c>
      <c r="M56" s="149" t="str">
        <f t="shared" si="2"/>
        <v/>
      </c>
    </row>
    <row r="57" spans="1:13" x14ac:dyDescent="0.4">
      <c r="A57" s="190" t="s">
        <v>135</v>
      </c>
      <c r="B57" s="191" t="s">
        <v>10</v>
      </c>
      <c r="C57" s="191">
        <v>2019</v>
      </c>
      <c r="D57" s="42">
        <v>2.0370880100046898</v>
      </c>
      <c r="E57" s="43"/>
      <c r="F57" s="43">
        <f t="shared" si="9"/>
        <v>2.0370880100046898</v>
      </c>
      <c r="G57" s="44">
        <f t="shared" si="10"/>
        <v>3.537244327777517</v>
      </c>
      <c r="H57" s="35">
        <v>208</v>
      </c>
      <c r="I57" s="35">
        <v>2</v>
      </c>
      <c r="J57" s="146">
        <f t="shared" si="1"/>
        <v>104</v>
      </c>
      <c r="K57" s="35">
        <f t="shared" si="11"/>
        <v>69.333333333333329</v>
      </c>
      <c r="L57" s="153">
        <f t="shared" si="11"/>
        <v>0.66666666666666663</v>
      </c>
      <c r="M57" s="149">
        <f t="shared" si="2"/>
        <v>104</v>
      </c>
    </row>
    <row r="58" spans="1:13" x14ac:dyDescent="0.4">
      <c r="A58" s="190" t="s">
        <v>136</v>
      </c>
      <c r="B58" s="191" t="s">
        <v>10</v>
      </c>
      <c r="C58" s="191">
        <v>2020</v>
      </c>
      <c r="D58" s="42">
        <v>3.9909303429271277</v>
      </c>
      <c r="E58" s="43"/>
      <c r="F58" s="43">
        <f t="shared" si="9"/>
        <v>3.9909303429271277</v>
      </c>
      <c r="G58" s="44">
        <f t="shared" si="10"/>
        <v>3.7423394509772723</v>
      </c>
      <c r="H58" s="35">
        <v>46</v>
      </c>
      <c r="I58" s="35">
        <v>1</v>
      </c>
      <c r="J58" s="146">
        <f t="shared" si="1"/>
        <v>46</v>
      </c>
      <c r="K58" s="35">
        <f t="shared" si="11"/>
        <v>84.666666666666671</v>
      </c>
      <c r="L58" s="153">
        <f t="shared" si="11"/>
        <v>1</v>
      </c>
      <c r="M58" s="149">
        <f t="shared" si="2"/>
        <v>84.666666666666671</v>
      </c>
    </row>
    <row r="59" spans="1:13" x14ac:dyDescent="0.4">
      <c r="A59" s="190" t="s">
        <v>137</v>
      </c>
      <c r="B59" s="191" t="s">
        <v>10</v>
      </c>
      <c r="C59" s="191">
        <v>2021</v>
      </c>
      <c r="D59" s="42">
        <v>0.183</v>
      </c>
      <c r="E59" s="43">
        <v>0</v>
      </c>
      <c r="F59" s="43">
        <f t="shared" si="9"/>
        <v>0.183</v>
      </c>
      <c r="G59" s="44">
        <f t="shared" si="10"/>
        <v>2.0703394509772726</v>
      </c>
      <c r="H59" s="35">
        <v>17</v>
      </c>
      <c r="I59" s="35">
        <v>1</v>
      </c>
      <c r="J59" s="146">
        <f t="shared" si="1"/>
        <v>17</v>
      </c>
      <c r="K59" s="35">
        <f t="shared" si="11"/>
        <v>90.333333333333329</v>
      </c>
      <c r="L59" s="153">
        <f t="shared" si="11"/>
        <v>1.3333333333333333</v>
      </c>
      <c r="M59" s="149">
        <f t="shared" si="2"/>
        <v>67.75</v>
      </c>
    </row>
    <row r="60" spans="1:13" x14ac:dyDescent="0.4">
      <c r="A60" s="190" t="s">
        <v>138</v>
      </c>
      <c r="B60" s="191" t="s">
        <v>10</v>
      </c>
      <c r="C60" s="191">
        <v>2022</v>
      </c>
      <c r="D60" s="42">
        <v>1.0529999999999999</v>
      </c>
      <c r="E60" s="43">
        <v>0</v>
      </c>
      <c r="F60" s="43">
        <f t="shared" si="9"/>
        <v>1.0529999999999999</v>
      </c>
      <c r="G60" s="44">
        <f t="shared" si="10"/>
        <v>1.7423101143090427</v>
      </c>
      <c r="H60" s="35">
        <v>57</v>
      </c>
      <c r="I60" s="35">
        <v>2</v>
      </c>
      <c r="J60" s="146">
        <f t="shared" si="1"/>
        <v>28.5</v>
      </c>
      <c r="K60" s="35">
        <f t="shared" si="11"/>
        <v>40</v>
      </c>
      <c r="L60" s="153">
        <f t="shared" si="11"/>
        <v>1.3333333333333333</v>
      </c>
      <c r="M60" s="149">
        <f t="shared" si="2"/>
        <v>30</v>
      </c>
    </row>
    <row r="61" spans="1:13" x14ac:dyDescent="0.4">
      <c r="A61" s="190" t="s">
        <v>139</v>
      </c>
      <c r="B61" s="191" t="s">
        <v>10</v>
      </c>
      <c r="C61" s="191">
        <v>2023</v>
      </c>
      <c r="D61" s="42">
        <v>2.105</v>
      </c>
      <c r="E61" s="43">
        <v>0</v>
      </c>
      <c r="F61" s="43">
        <f t="shared" si="9"/>
        <v>2.105</v>
      </c>
      <c r="G61" s="44">
        <f t="shared" si="10"/>
        <v>1.1136666666666668</v>
      </c>
      <c r="H61" s="35">
        <v>0</v>
      </c>
      <c r="I61" s="35">
        <v>0</v>
      </c>
      <c r="J61" s="146" t="str">
        <f t="shared" si="1"/>
        <v/>
      </c>
      <c r="K61" s="35">
        <f t="shared" si="11"/>
        <v>24.666666666666668</v>
      </c>
      <c r="L61" s="153">
        <f t="shared" si="11"/>
        <v>1</v>
      </c>
      <c r="M61" s="149">
        <f t="shared" si="2"/>
        <v>24.666666666666668</v>
      </c>
    </row>
    <row r="62" spans="1:13" x14ac:dyDescent="0.4">
      <c r="A62" s="190" t="s">
        <v>140</v>
      </c>
      <c r="B62" s="191" t="s">
        <v>10</v>
      </c>
      <c r="C62" s="191">
        <v>2024</v>
      </c>
      <c r="D62" s="42">
        <v>1.0529999999999999</v>
      </c>
      <c r="E62" s="43">
        <v>0</v>
      </c>
      <c r="F62" s="43">
        <f t="shared" si="9"/>
        <v>1.0529999999999999</v>
      </c>
      <c r="G62" s="44">
        <f t="shared" si="10"/>
        <v>1.4036666666666668</v>
      </c>
      <c r="H62" s="35">
        <v>0</v>
      </c>
      <c r="I62" s="35">
        <v>0</v>
      </c>
      <c r="J62" s="146" t="str">
        <f t="shared" si="1"/>
        <v/>
      </c>
      <c r="K62" s="35">
        <f t="shared" si="11"/>
        <v>19</v>
      </c>
      <c r="L62" s="153">
        <f t="shared" si="11"/>
        <v>0.66666666666666663</v>
      </c>
      <c r="M62" s="149">
        <f t="shared" si="2"/>
        <v>28.5</v>
      </c>
    </row>
    <row r="63" spans="1:13" x14ac:dyDescent="0.4">
      <c r="A63" s="190" t="s">
        <v>141</v>
      </c>
      <c r="B63" s="191" t="s">
        <v>10</v>
      </c>
      <c r="C63" s="191">
        <v>2025</v>
      </c>
      <c r="D63" s="42">
        <v>0.183</v>
      </c>
      <c r="E63" s="43">
        <v>0</v>
      </c>
      <c r="F63" s="43">
        <f t="shared" si="9"/>
        <v>0.183</v>
      </c>
      <c r="G63" s="44">
        <f t="shared" si="10"/>
        <v>1.1136666666666666</v>
      </c>
      <c r="H63" s="35">
        <v>0</v>
      </c>
      <c r="I63" s="35">
        <v>0</v>
      </c>
      <c r="J63" s="146" t="str">
        <f t="shared" si="1"/>
        <v/>
      </c>
      <c r="K63" s="35">
        <f t="shared" si="11"/>
        <v>0</v>
      </c>
      <c r="L63" s="153">
        <f t="shared" si="11"/>
        <v>0</v>
      </c>
      <c r="M63" s="149" t="str">
        <f t="shared" si="2"/>
        <v/>
      </c>
    </row>
    <row r="64" spans="1:13" x14ac:dyDescent="0.4">
      <c r="A64" s="190" t="s">
        <v>142</v>
      </c>
      <c r="B64" s="191" t="s">
        <v>11</v>
      </c>
      <c r="C64" s="191">
        <v>2012</v>
      </c>
      <c r="D64" s="42">
        <v>2.3072420243623379</v>
      </c>
      <c r="E64" s="43"/>
      <c r="F64" s="43">
        <f t="shared" si="9"/>
        <v>2.3072420243623379</v>
      </c>
      <c r="G64" s="44"/>
      <c r="H64" s="35">
        <v>129</v>
      </c>
      <c r="I64" s="35">
        <v>4</v>
      </c>
      <c r="J64" s="146">
        <f t="shared" si="1"/>
        <v>32.25</v>
      </c>
      <c r="K64" s="35"/>
      <c r="L64" s="153"/>
      <c r="M64" s="149" t="str">
        <f t="shared" si="2"/>
        <v/>
      </c>
    </row>
    <row r="65" spans="1:13" x14ac:dyDescent="0.4">
      <c r="A65" s="190" t="s">
        <v>143</v>
      </c>
      <c r="B65" s="191" t="s">
        <v>11</v>
      </c>
      <c r="C65" s="191">
        <v>2013</v>
      </c>
      <c r="D65" s="42">
        <v>2.6961890835166411</v>
      </c>
      <c r="E65" s="43"/>
      <c r="F65" s="43">
        <f t="shared" si="9"/>
        <v>2.6961890835166411</v>
      </c>
      <c r="G65" s="44"/>
      <c r="H65" s="35">
        <v>87</v>
      </c>
      <c r="I65" s="35">
        <v>5</v>
      </c>
      <c r="J65" s="146">
        <f t="shared" si="1"/>
        <v>17.399999999999999</v>
      </c>
      <c r="K65" s="35"/>
      <c r="L65" s="153"/>
      <c r="M65" s="149" t="str">
        <f t="shared" si="2"/>
        <v/>
      </c>
    </row>
    <row r="66" spans="1:13" x14ac:dyDescent="0.4">
      <c r="A66" s="190" t="s">
        <v>144</v>
      </c>
      <c r="B66" s="191" t="s">
        <v>11</v>
      </c>
      <c r="C66" s="191">
        <v>2014</v>
      </c>
      <c r="D66" s="42">
        <v>4.067957022996131</v>
      </c>
      <c r="E66" s="43"/>
      <c r="F66" s="43">
        <f t="shared" si="9"/>
        <v>4.067957022996131</v>
      </c>
      <c r="G66" s="44">
        <f t="shared" ref="G66:G77" si="12">IF(OR(F64="",F65="",F66=""),"",AVERAGE(F64:F66))</f>
        <v>3.0237960436250368</v>
      </c>
      <c r="H66" s="35">
        <v>144</v>
      </c>
      <c r="I66" s="35">
        <v>5</v>
      </c>
      <c r="J66" s="146">
        <f t="shared" si="1"/>
        <v>28.8</v>
      </c>
      <c r="K66" s="35">
        <f t="shared" ref="K66:L77" si="13">IFERROR(IF(OR(H64="",H65="",H66=""),"",AVERAGE(H64:H66)),"")</f>
        <v>120</v>
      </c>
      <c r="L66" s="153">
        <f t="shared" si="13"/>
        <v>4.666666666666667</v>
      </c>
      <c r="M66" s="149">
        <f t="shared" si="2"/>
        <v>25.714285714285712</v>
      </c>
    </row>
    <row r="67" spans="1:13" x14ac:dyDescent="0.4">
      <c r="A67" s="190" t="s">
        <v>145</v>
      </c>
      <c r="B67" s="191" t="s">
        <v>11</v>
      </c>
      <c r="C67" s="191">
        <v>2015</v>
      </c>
      <c r="D67" s="42">
        <v>4.5946761710987714</v>
      </c>
      <c r="E67" s="43"/>
      <c r="F67" s="43">
        <f t="shared" si="9"/>
        <v>4.5946761710987714</v>
      </c>
      <c r="G67" s="44">
        <f t="shared" si="12"/>
        <v>3.7862740925371816</v>
      </c>
      <c r="H67" s="35">
        <v>101</v>
      </c>
      <c r="I67" s="35">
        <v>5</v>
      </c>
      <c r="J67" s="146">
        <f t="shared" si="1"/>
        <v>20.2</v>
      </c>
      <c r="K67" s="35">
        <f t="shared" si="13"/>
        <v>110.66666666666667</v>
      </c>
      <c r="L67" s="153">
        <f t="shared" si="13"/>
        <v>5</v>
      </c>
      <c r="M67" s="149">
        <f t="shared" si="2"/>
        <v>22.133333333333333</v>
      </c>
    </row>
    <row r="68" spans="1:13" x14ac:dyDescent="0.4">
      <c r="A68" s="190" t="s">
        <v>146</v>
      </c>
      <c r="B68" s="191" t="s">
        <v>11</v>
      </c>
      <c r="C68" s="191">
        <v>2016</v>
      </c>
      <c r="D68" s="42">
        <v>2.4579180033277868</v>
      </c>
      <c r="E68" s="43"/>
      <c r="F68" s="43">
        <f t="shared" si="9"/>
        <v>2.4579180033277868</v>
      </c>
      <c r="G68" s="44">
        <f t="shared" si="12"/>
        <v>3.7068503991408961</v>
      </c>
      <c r="H68" s="35">
        <v>35</v>
      </c>
      <c r="I68" s="35">
        <v>3</v>
      </c>
      <c r="J68" s="146">
        <f t="shared" si="1"/>
        <v>11.666666666666666</v>
      </c>
      <c r="K68" s="35">
        <f t="shared" si="13"/>
        <v>93.333333333333329</v>
      </c>
      <c r="L68" s="153">
        <f t="shared" si="13"/>
        <v>4.333333333333333</v>
      </c>
      <c r="M68" s="149">
        <f t="shared" si="2"/>
        <v>21.53846153846154</v>
      </c>
    </row>
    <row r="69" spans="1:13" x14ac:dyDescent="0.4">
      <c r="A69" s="190" t="s">
        <v>147</v>
      </c>
      <c r="B69" s="191" t="s">
        <v>11</v>
      </c>
      <c r="C69" s="191">
        <v>2017</v>
      </c>
      <c r="D69" s="42">
        <v>3.907085826836274</v>
      </c>
      <c r="E69" s="43"/>
      <c r="F69" s="43">
        <f t="shared" si="9"/>
        <v>3.907085826836274</v>
      </c>
      <c r="G69" s="44">
        <f t="shared" si="12"/>
        <v>3.6532266670876106</v>
      </c>
      <c r="H69" s="35">
        <v>14</v>
      </c>
      <c r="I69" s="35">
        <v>2</v>
      </c>
      <c r="J69" s="146">
        <f t="shared" si="1"/>
        <v>7</v>
      </c>
      <c r="K69" s="35">
        <f t="shared" si="13"/>
        <v>50</v>
      </c>
      <c r="L69" s="153">
        <f t="shared" si="13"/>
        <v>3.3333333333333335</v>
      </c>
      <c r="M69" s="149">
        <f t="shared" si="2"/>
        <v>15</v>
      </c>
    </row>
    <row r="70" spans="1:13" x14ac:dyDescent="0.4">
      <c r="A70" s="190" t="s">
        <v>148</v>
      </c>
      <c r="B70" s="191" t="s">
        <v>11</v>
      </c>
      <c r="C70" s="191">
        <v>2018</v>
      </c>
      <c r="D70" s="42">
        <v>1.38</v>
      </c>
      <c r="E70" s="43"/>
      <c r="F70" s="43">
        <f t="shared" si="9"/>
        <v>1.38</v>
      </c>
      <c r="G70" s="44">
        <f t="shared" si="12"/>
        <v>2.5816679433880201</v>
      </c>
      <c r="H70" s="35">
        <v>32</v>
      </c>
      <c r="I70" s="35">
        <v>4</v>
      </c>
      <c r="J70" s="146">
        <f t="shared" si="1"/>
        <v>8</v>
      </c>
      <c r="K70" s="35">
        <f t="shared" si="13"/>
        <v>27</v>
      </c>
      <c r="L70" s="153">
        <f t="shared" si="13"/>
        <v>3</v>
      </c>
      <c r="M70" s="149">
        <f t="shared" si="2"/>
        <v>9</v>
      </c>
    </row>
    <row r="71" spans="1:13" x14ac:dyDescent="0.4">
      <c r="A71" s="190" t="s">
        <v>149</v>
      </c>
      <c r="B71" s="191" t="s">
        <v>11</v>
      </c>
      <c r="C71" s="191">
        <v>2019</v>
      </c>
      <c r="D71" s="42">
        <v>0</v>
      </c>
      <c r="E71" s="43"/>
      <c r="F71" s="43">
        <f t="shared" si="9"/>
        <v>0</v>
      </c>
      <c r="G71" s="44">
        <f t="shared" si="12"/>
        <v>1.7623619422787578</v>
      </c>
      <c r="H71" s="35">
        <v>0</v>
      </c>
      <c r="I71" s="35">
        <v>0</v>
      </c>
      <c r="J71" s="146" t="str">
        <f t="shared" si="1"/>
        <v/>
      </c>
      <c r="K71" s="35">
        <f t="shared" si="13"/>
        <v>15.333333333333334</v>
      </c>
      <c r="L71" s="153">
        <f t="shared" si="13"/>
        <v>2</v>
      </c>
      <c r="M71" s="149">
        <f t="shared" si="2"/>
        <v>7.666666666666667</v>
      </c>
    </row>
    <row r="72" spans="1:13" x14ac:dyDescent="0.4">
      <c r="A72" s="190" t="s">
        <v>150</v>
      </c>
      <c r="B72" s="191" t="s">
        <v>11</v>
      </c>
      <c r="C72" s="191">
        <v>2020</v>
      </c>
      <c r="D72" s="42">
        <v>0</v>
      </c>
      <c r="E72" s="43"/>
      <c r="F72" s="43">
        <f t="shared" si="9"/>
        <v>0</v>
      </c>
      <c r="G72" s="44">
        <f t="shared" si="12"/>
        <v>0.45999999999999996</v>
      </c>
      <c r="H72" s="35">
        <v>0</v>
      </c>
      <c r="I72" s="35">
        <v>0</v>
      </c>
      <c r="J72" s="146" t="str">
        <f t="shared" si="1"/>
        <v/>
      </c>
      <c r="K72" s="35">
        <f t="shared" si="13"/>
        <v>10.666666666666666</v>
      </c>
      <c r="L72" s="153">
        <f t="shared" si="13"/>
        <v>1.3333333333333333</v>
      </c>
      <c r="M72" s="149">
        <f t="shared" si="2"/>
        <v>8</v>
      </c>
    </row>
    <row r="73" spans="1:13" x14ac:dyDescent="0.4">
      <c r="A73" s="190" t="s">
        <v>151</v>
      </c>
      <c r="B73" s="191" t="s">
        <v>11</v>
      </c>
      <c r="C73" s="191">
        <v>2021</v>
      </c>
      <c r="D73" s="42">
        <v>0</v>
      </c>
      <c r="E73" s="43">
        <v>0</v>
      </c>
      <c r="F73" s="43">
        <f t="shared" si="9"/>
        <v>0</v>
      </c>
      <c r="G73" s="44">
        <f t="shared" si="12"/>
        <v>0</v>
      </c>
      <c r="H73" s="35">
        <v>0</v>
      </c>
      <c r="I73" s="35">
        <v>0</v>
      </c>
      <c r="J73" s="146" t="str">
        <f t="shared" ref="J73:J136" si="14">IFERROR(H73/I73,"")</f>
        <v/>
      </c>
      <c r="K73" s="35">
        <f t="shared" si="13"/>
        <v>0</v>
      </c>
      <c r="L73" s="153">
        <f t="shared" si="13"/>
        <v>0</v>
      </c>
      <c r="M73" s="149" t="str">
        <f t="shared" ref="M73:M136" si="15">IFERROR(K73/L73,"")</f>
        <v/>
      </c>
    </row>
    <row r="74" spans="1:13" x14ac:dyDescent="0.4">
      <c r="A74" s="190" t="s">
        <v>152</v>
      </c>
      <c r="B74" s="191" t="s">
        <v>11</v>
      </c>
      <c r="C74" s="191">
        <v>2022</v>
      </c>
      <c r="D74" s="42">
        <v>0</v>
      </c>
      <c r="E74" s="43">
        <v>0</v>
      </c>
      <c r="F74" s="43">
        <f t="shared" si="9"/>
        <v>0</v>
      </c>
      <c r="G74" s="44">
        <f t="shared" si="12"/>
        <v>0</v>
      </c>
      <c r="H74" s="35">
        <v>0</v>
      </c>
      <c r="I74" s="35">
        <v>0</v>
      </c>
      <c r="J74" s="146" t="str">
        <f t="shared" si="14"/>
        <v/>
      </c>
      <c r="K74" s="35">
        <f t="shared" si="13"/>
        <v>0</v>
      </c>
      <c r="L74" s="153">
        <f t="shared" si="13"/>
        <v>0</v>
      </c>
      <c r="M74" s="149" t="str">
        <f t="shared" si="15"/>
        <v/>
      </c>
    </row>
    <row r="75" spans="1:13" x14ac:dyDescent="0.4">
      <c r="A75" s="190" t="s">
        <v>153</v>
      </c>
      <c r="B75" s="191" t="s">
        <v>11</v>
      </c>
      <c r="C75" s="191">
        <v>2023</v>
      </c>
      <c r="D75" s="42">
        <v>0</v>
      </c>
      <c r="E75" s="43">
        <v>0</v>
      </c>
      <c r="F75" s="43">
        <f t="shared" si="9"/>
        <v>0</v>
      </c>
      <c r="G75" s="44">
        <f t="shared" si="12"/>
        <v>0</v>
      </c>
      <c r="H75" s="35">
        <v>0</v>
      </c>
      <c r="I75" s="35">
        <v>0</v>
      </c>
      <c r="J75" s="146" t="str">
        <f t="shared" si="14"/>
        <v/>
      </c>
      <c r="K75" s="35">
        <f t="shared" si="13"/>
        <v>0</v>
      </c>
      <c r="L75" s="153">
        <f t="shared" si="13"/>
        <v>0</v>
      </c>
      <c r="M75" s="149" t="str">
        <f t="shared" si="15"/>
        <v/>
      </c>
    </row>
    <row r="76" spans="1:13" x14ac:dyDescent="0.4">
      <c r="A76" s="190" t="s">
        <v>154</v>
      </c>
      <c r="B76" s="191" t="s">
        <v>11</v>
      </c>
      <c r="C76" s="191">
        <v>2024</v>
      </c>
      <c r="D76" s="42">
        <v>0</v>
      </c>
      <c r="E76" s="43">
        <v>0</v>
      </c>
      <c r="F76" s="43">
        <f t="shared" si="9"/>
        <v>0</v>
      </c>
      <c r="G76" s="44">
        <f t="shared" si="12"/>
        <v>0</v>
      </c>
      <c r="H76" s="35">
        <v>0</v>
      </c>
      <c r="I76" s="35">
        <v>0</v>
      </c>
      <c r="J76" s="146" t="str">
        <f t="shared" si="14"/>
        <v/>
      </c>
      <c r="K76" s="35">
        <f t="shared" si="13"/>
        <v>0</v>
      </c>
      <c r="L76" s="153">
        <f t="shared" si="13"/>
        <v>0</v>
      </c>
      <c r="M76" s="149" t="str">
        <f t="shared" si="15"/>
        <v/>
      </c>
    </row>
    <row r="77" spans="1:13" x14ac:dyDescent="0.4">
      <c r="A77" s="190" t="s">
        <v>155</v>
      </c>
      <c r="B77" s="191" t="s">
        <v>11</v>
      </c>
      <c r="C77" s="191">
        <v>2025</v>
      </c>
      <c r="D77" s="42">
        <v>0</v>
      </c>
      <c r="E77" s="43">
        <v>0</v>
      </c>
      <c r="F77" s="43">
        <f t="shared" si="9"/>
        <v>0</v>
      </c>
      <c r="G77" s="44">
        <f t="shared" si="12"/>
        <v>0</v>
      </c>
      <c r="H77" s="35">
        <v>0</v>
      </c>
      <c r="I77" s="35">
        <v>0</v>
      </c>
      <c r="J77" s="146" t="str">
        <f t="shared" si="14"/>
        <v/>
      </c>
      <c r="K77" s="35">
        <f t="shared" si="13"/>
        <v>0</v>
      </c>
      <c r="L77" s="153">
        <f t="shared" si="13"/>
        <v>0</v>
      </c>
      <c r="M77" s="149" t="str">
        <f t="shared" si="15"/>
        <v/>
      </c>
    </row>
    <row r="78" spans="1:13" x14ac:dyDescent="0.4">
      <c r="A78" s="190" t="s">
        <v>156</v>
      </c>
      <c r="B78" s="191" t="s">
        <v>12</v>
      </c>
      <c r="C78" s="191">
        <v>2012</v>
      </c>
      <c r="D78" s="42">
        <v>0.32709870106918781</v>
      </c>
      <c r="E78" s="43"/>
      <c r="F78" s="43">
        <f t="shared" ref="F78:F112" si="16">D78+E78</f>
        <v>0.32709870106918781</v>
      </c>
      <c r="G78" s="44"/>
      <c r="H78" s="35">
        <v>23</v>
      </c>
      <c r="I78" s="35">
        <v>1</v>
      </c>
      <c r="J78" s="146">
        <f t="shared" si="14"/>
        <v>23</v>
      </c>
      <c r="K78" s="35"/>
      <c r="L78" s="153"/>
      <c r="M78" s="149" t="str">
        <f t="shared" si="15"/>
        <v/>
      </c>
    </row>
    <row r="79" spans="1:13" x14ac:dyDescent="0.4">
      <c r="A79" s="190" t="s">
        <v>157</v>
      </c>
      <c r="B79" s="191" t="s">
        <v>12</v>
      </c>
      <c r="C79" s="191">
        <v>2013</v>
      </c>
      <c r="D79" s="42">
        <v>0.34852786885245901</v>
      </c>
      <c r="E79" s="43"/>
      <c r="F79" s="43">
        <f t="shared" si="16"/>
        <v>0.34852786885245901</v>
      </c>
      <c r="G79" s="44"/>
      <c r="H79" s="35">
        <v>4</v>
      </c>
      <c r="I79" s="35">
        <v>0</v>
      </c>
      <c r="J79" s="146" t="str">
        <f t="shared" si="14"/>
        <v/>
      </c>
      <c r="K79" s="35"/>
      <c r="L79" s="153"/>
      <c r="M79" s="149" t="str">
        <f t="shared" si="15"/>
        <v/>
      </c>
    </row>
    <row r="80" spans="1:13" x14ac:dyDescent="0.4">
      <c r="A80" s="190" t="s">
        <v>158</v>
      </c>
      <c r="B80" s="191" t="s">
        <v>12</v>
      </c>
      <c r="C80" s="191">
        <v>2014</v>
      </c>
      <c r="D80" s="42">
        <v>3.1708924949290051E-3</v>
      </c>
      <c r="E80" s="43"/>
      <c r="F80" s="43">
        <f t="shared" si="16"/>
        <v>3.1708924949290051E-3</v>
      </c>
      <c r="G80" s="44">
        <f t="shared" ref="G80:G91" si="17">IF(OR(F78="",F79="",F80=""),"",AVERAGE(F78:F80))</f>
        <v>0.22626582080552526</v>
      </c>
      <c r="H80" s="35">
        <v>0</v>
      </c>
      <c r="I80" s="35">
        <v>0</v>
      </c>
      <c r="J80" s="146" t="str">
        <f t="shared" si="14"/>
        <v/>
      </c>
      <c r="K80" s="35">
        <f t="shared" ref="K80:L91" si="18">IFERROR(IF(OR(H78="",H79="",H80=""),"",AVERAGE(H78:H80)),"")</f>
        <v>9</v>
      </c>
      <c r="L80" s="153">
        <f t="shared" si="18"/>
        <v>0.33333333333333331</v>
      </c>
      <c r="M80" s="149">
        <f t="shared" si="15"/>
        <v>27</v>
      </c>
    </row>
    <row r="81" spans="1:13" x14ac:dyDescent="0.4">
      <c r="A81" s="190" t="s">
        <v>159</v>
      </c>
      <c r="B81" s="191" t="s">
        <v>12</v>
      </c>
      <c r="C81" s="191">
        <v>2015</v>
      </c>
      <c r="D81" s="42">
        <v>0.22886387565805971</v>
      </c>
      <c r="E81" s="43"/>
      <c r="F81" s="43">
        <f t="shared" si="16"/>
        <v>0.22886387565805971</v>
      </c>
      <c r="G81" s="44">
        <f t="shared" si="17"/>
        <v>0.19352087900181592</v>
      </c>
      <c r="H81" s="35">
        <v>33</v>
      </c>
      <c r="I81" s="35">
        <v>3</v>
      </c>
      <c r="J81" s="146">
        <f t="shared" si="14"/>
        <v>11</v>
      </c>
      <c r="K81" s="35">
        <f t="shared" si="18"/>
        <v>12.333333333333334</v>
      </c>
      <c r="L81" s="153">
        <f t="shared" si="18"/>
        <v>1</v>
      </c>
      <c r="M81" s="149">
        <f t="shared" si="15"/>
        <v>12.333333333333334</v>
      </c>
    </row>
    <row r="82" spans="1:13" x14ac:dyDescent="0.4">
      <c r="A82" s="190" t="s">
        <v>160</v>
      </c>
      <c r="B82" s="191" t="s">
        <v>12</v>
      </c>
      <c r="C82" s="191">
        <v>2016</v>
      </c>
      <c r="D82" s="42">
        <v>3.1212978369384352E-2</v>
      </c>
      <c r="E82" s="43"/>
      <c r="F82" s="43">
        <f t="shared" si="16"/>
        <v>3.1212978369384352E-2</v>
      </c>
      <c r="G82" s="44">
        <f t="shared" si="17"/>
        <v>8.7749248840791008E-2</v>
      </c>
      <c r="H82" s="35">
        <v>0</v>
      </c>
      <c r="I82" s="35">
        <v>0</v>
      </c>
      <c r="J82" s="146" t="str">
        <f t="shared" si="14"/>
        <v/>
      </c>
      <c r="K82" s="35">
        <f t="shared" si="18"/>
        <v>11</v>
      </c>
      <c r="L82" s="153">
        <f t="shared" si="18"/>
        <v>1</v>
      </c>
      <c r="M82" s="149">
        <f t="shared" si="15"/>
        <v>11</v>
      </c>
    </row>
    <row r="83" spans="1:13" x14ac:dyDescent="0.4">
      <c r="A83" s="190" t="s">
        <v>161</v>
      </c>
      <c r="B83" s="191" t="s">
        <v>12</v>
      </c>
      <c r="C83" s="191">
        <v>2017</v>
      </c>
      <c r="D83" s="42">
        <v>0.12931932704144439</v>
      </c>
      <c r="E83" s="43"/>
      <c r="F83" s="43">
        <f t="shared" si="16"/>
        <v>0.12931932704144439</v>
      </c>
      <c r="G83" s="44">
        <f t="shared" si="17"/>
        <v>0.12979872702296283</v>
      </c>
      <c r="H83" s="35">
        <v>8</v>
      </c>
      <c r="I83" s="35">
        <v>1</v>
      </c>
      <c r="J83" s="146">
        <f t="shared" si="14"/>
        <v>8</v>
      </c>
      <c r="K83" s="35">
        <f t="shared" si="18"/>
        <v>13.666666666666666</v>
      </c>
      <c r="L83" s="153">
        <f t="shared" si="18"/>
        <v>1.3333333333333333</v>
      </c>
      <c r="M83" s="149">
        <f t="shared" si="15"/>
        <v>10.25</v>
      </c>
    </row>
    <row r="84" spans="1:13" x14ac:dyDescent="0.4">
      <c r="A84" s="191" t="s">
        <v>162</v>
      </c>
      <c r="B84" s="191" t="s">
        <v>13</v>
      </c>
      <c r="C84" s="191">
        <v>2018</v>
      </c>
      <c r="D84" s="42">
        <v>3.2000000000000001E-2</v>
      </c>
      <c r="E84" s="43"/>
      <c r="F84" s="43">
        <f t="shared" si="16"/>
        <v>3.2000000000000001E-2</v>
      </c>
      <c r="G84" s="44">
        <f t="shared" si="17"/>
        <v>6.417743513694292E-2</v>
      </c>
      <c r="H84" s="35">
        <v>7</v>
      </c>
      <c r="I84" s="35">
        <v>1</v>
      </c>
      <c r="J84" s="146">
        <f t="shared" si="14"/>
        <v>7</v>
      </c>
      <c r="K84" s="35">
        <f t="shared" si="18"/>
        <v>5</v>
      </c>
      <c r="L84" s="153">
        <f t="shared" si="18"/>
        <v>0.66666666666666663</v>
      </c>
      <c r="M84" s="149">
        <f t="shared" si="15"/>
        <v>7.5</v>
      </c>
    </row>
    <row r="85" spans="1:13" x14ac:dyDescent="0.4">
      <c r="A85" s="191" t="s">
        <v>163</v>
      </c>
      <c r="B85" s="191" t="s">
        <v>13</v>
      </c>
      <c r="C85" s="191">
        <v>2019</v>
      </c>
      <c r="D85" s="42">
        <v>0.45931233882941314</v>
      </c>
      <c r="E85" s="43"/>
      <c r="F85" s="43">
        <f t="shared" si="16"/>
        <v>0.45931233882941314</v>
      </c>
      <c r="G85" s="44">
        <f t="shared" si="17"/>
        <v>0.20687722195695249</v>
      </c>
      <c r="H85" s="35">
        <v>27</v>
      </c>
      <c r="I85" s="35">
        <v>3</v>
      </c>
      <c r="J85" s="146">
        <f t="shared" si="14"/>
        <v>9</v>
      </c>
      <c r="K85" s="35">
        <f t="shared" si="18"/>
        <v>14</v>
      </c>
      <c r="L85" s="153">
        <f t="shared" si="18"/>
        <v>1.6666666666666667</v>
      </c>
      <c r="M85" s="149">
        <f t="shared" si="15"/>
        <v>8.4</v>
      </c>
    </row>
    <row r="86" spans="1:13" x14ac:dyDescent="0.4">
      <c r="A86" s="191" t="s">
        <v>164</v>
      </c>
      <c r="B86" s="191" t="s">
        <v>13</v>
      </c>
      <c r="C86" s="191">
        <v>2020</v>
      </c>
      <c r="D86" s="42">
        <v>0.46382406130268344</v>
      </c>
      <c r="E86" s="43"/>
      <c r="F86" s="43">
        <f t="shared" si="16"/>
        <v>0.46382406130268344</v>
      </c>
      <c r="G86" s="44">
        <f t="shared" si="17"/>
        <v>0.31837880004403218</v>
      </c>
      <c r="H86" s="35">
        <v>19</v>
      </c>
      <c r="I86" s="35">
        <v>4</v>
      </c>
      <c r="J86" s="146">
        <f t="shared" si="14"/>
        <v>4.75</v>
      </c>
      <c r="K86" s="35">
        <f t="shared" si="18"/>
        <v>17.666666666666668</v>
      </c>
      <c r="L86" s="153">
        <f t="shared" si="18"/>
        <v>2.6666666666666665</v>
      </c>
      <c r="M86" s="149">
        <f t="shared" si="15"/>
        <v>6.6250000000000009</v>
      </c>
    </row>
    <row r="87" spans="1:13" x14ac:dyDescent="0.4">
      <c r="A87" s="191" t="s">
        <v>165</v>
      </c>
      <c r="B87" s="191" t="s">
        <v>13</v>
      </c>
      <c r="C87" s="191">
        <v>2021</v>
      </c>
      <c r="D87" s="42">
        <v>0.19800000000000001</v>
      </c>
      <c r="E87" s="43"/>
      <c r="F87" s="43">
        <f t="shared" si="16"/>
        <v>0.19800000000000001</v>
      </c>
      <c r="G87" s="44">
        <f t="shared" si="17"/>
        <v>0.37371213337736547</v>
      </c>
      <c r="H87" s="35">
        <v>8</v>
      </c>
      <c r="I87" s="35">
        <v>1</v>
      </c>
      <c r="J87" s="146">
        <f t="shared" si="14"/>
        <v>8</v>
      </c>
      <c r="K87" s="35">
        <f t="shared" si="18"/>
        <v>18</v>
      </c>
      <c r="L87" s="153">
        <f t="shared" si="18"/>
        <v>2.6666666666666665</v>
      </c>
      <c r="M87" s="149">
        <f t="shared" si="15"/>
        <v>6.75</v>
      </c>
    </row>
    <row r="88" spans="1:13" x14ac:dyDescent="0.4">
      <c r="A88" s="191" t="s">
        <v>166</v>
      </c>
      <c r="B88" s="191" t="s">
        <v>13</v>
      </c>
      <c r="C88" s="191">
        <v>2022</v>
      </c>
      <c r="D88" s="42">
        <v>0.19900000000000001</v>
      </c>
      <c r="E88" s="43"/>
      <c r="F88" s="43">
        <f t="shared" si="16"/>
        <v>0.19900000000000001</v>
      </c>
      <c r="G88" s="44">
        <f t="shared" si="17"/>
        <v>0.28694135376756114</v>
      </c>
      <c r="H88" s="35">
        <v>9</v>
      </c>
      <c r="I88" s="35">
        <v>1</v>
      </c>
      <c r="J88" s="146">
        <f t="shared" si="14"/>
        <v>9</v>
      </c>
      <c r="K88" s="35">
        <f t="shared" si="18"/>
        <v>12</v>
      </c>
      <c r="L88" s="153">
        <f t="shared" si="18"/>
        <v>2</v>
      </c>
      <c r="M88" s="149">
        <f t="shared" si="15"/>
        <v>6</v>
      </c>
    </row>
    <row r="89" spans="1:13" x14ac:dyDescent="0.4">
      <c r="A89" s="191" t="s">
        <v>167</v>
      </c>
      <c r="B89" s="191" t="s">
        <v>13</v>
      </c>
      <c r="C89" s="191">
        <v>2023</v>
      </c>
      <c r="D89" s="42">
        <v>0.19800000000000001</v>
      </c>
      <c r="E89" s="43"/>
      <c r="F89" s="43">
        <f t="shared" si="16"/>
        <v>0.19800000000000001</v>
      </c>
      <c r="G89" s="44">
        <f t="shared" si="17"/>
        <v>0.19833333333333333</v>
      </c>
      <c r="H89" s="35">
        <v>11</v>
      </c>
      <c r="I89" s="35">
        <v>2</v>
      </c>
      <c r="J89" s="146">
        <f t="shared" si="14"/>
        <v>5.5</v>
      </c>
      <c r="K89" s="35">
        <f t="shared" si="18"/>
        <v>9.3333333333333339</v>
      </c>
      <c r="L89" s="153">
        <f t="shared" si="18"/>
        <v>1.3333333333333333</v>
      </c>
      <c r="M89" s="149">
        <f t="shared" si="15"/>
        <v>7.0000000000000009</v>
      </c>
    </row>
    <row r="90" spans="1:13" x14ac:dyDescent="0.4">
      <c r="A90" s="191" t="s">
        <v>168</v>
      </c>
      <c r="B90" s="191" t="s">
        <v>13</v>
      </c>
      <c r="C90" s="191">
        <v>2024</v>
      </c>
      <c r="D90" s="42">
        <v>0.19800000000000001</v>
      </c>
      <c r="E90" s="43"/>
      <c r="F90" s="43">
        <f t="shared" si="16"/>
        <v>0.19800000000000001</v>
      </c>
      <c r="G90" s="44">
        <f t="shared" si="17"/>
        <v>0.19833333333333333</v>
      </c>
      <c r="H90" s="35">
        <v>8</v>
      </c>
      <c r="I90" s="35">
        <v>2</v>
      </c>
      <c r="J90" s="146">
        <f t="shared" si="14"/>
        <v>4</v>
      </c>
      <c r="K90" s="35">
        <f t="shared" si="18"/>
        <v>9.3333333333333339</v>
      </c>
      <c r="L90" s="153">
        <f t="shared" si="18"/>
        <v>1.6666666666666667</v>
      </c>
      <c r="M90" s="149">
        <f t="shared" si="15"/>
        <v>5.6000000000000005</v>
      </c>
    </row>
    <row r="91" spans="1:13" x14ac:dyDescent="0.4">
      <c r="A91" s="191" t="s">
        <v>169</v>
      </c>
      <c r="B91" s="191" t="s">
        <v>13</v>
      </c>
      <c r="C91" s="191">
        <v>2025</v>
      </c>
      <c r="D91" s="42">
        <v>0.19900000000000001</v>
      </c>
      <c r="E91" s="43"/>
      <c r="F91" s="43">
        <f t="shared" si="16"/>
        <v>0.19900000000000001</v>
      </c>
      <c r="G91" s="44">
        <f t="shared" si="17"/>
        <v>0.19833333333333333</v>
      </c>
      <c r="H91" s="35">
        <v>13</v>
      </c>
      <c r="I91" s="35">
        <v>1</v>
      </c>
      <c r="J91" s="146">
        <f t="shared" si="14"/>
        <v>13</v>
      </c>
      <c r="K91" s="35">
        <f t="shared" si="18"/>
        <v>10.666666666666666</v>
      </c>
      <c r="L91" s="153">
        <f t="shared" si="18"/>
        <v>1.6666666666666667</v>
      </c>
      <c r="M91" s="149">
        <f t="shared" si="15"/>
        <v>6.3999999999999995</v>
      </c>
    </row>
    <row r="92" spans="1:13" x14ac:dyDescent="0.4">
      <c r="A92" s="191" t="s">
        <v>170</v>
      </c>
      <c r="B92" s="191" t="s">
        <v>14</v>
      </c>
      <c r="C92" s="191">
        <v>2012</v>
      </c>
      <c r="D92" s="42">
        <v>6.3802774908013867E-3</v>
      </c>
      <c r="E92" s="43"/>
      <c r="F92" s="43">
        <f t="shared" si="16"/>
        <v>6.3802774908013867E-3</v>
      </c>
      <c r="G92" s="44"/>
      <c r="H92" s="35">
        <v>0</v>
      </c>
      <c r="I92" s="35">
        <v>0</v>
      </c>
      <c r="J92" s="146" t="str">
        <f t="shared" si="14"/>
        <v/>
      </c>
      <c r="K92" s="35"/>
      <c r="L92" s="153"/>
      <c r="M92" s="149" t="str">
        <f t="shared" si="15"/>
        <v/>
      </c>
    </row>
    <row r="93" spans="1:13" x14ac:dyDescent="0.4">
      <c r="A93" s="191" t="s">
        <v>171</v>
      </c>
      <c r="B93" s="191" t="s">
        <v>14</v>
      </c>
      <c r="C93" s="191">
        <v>2013</v>
      </c>
      <c r="D93" s="42">
        <v>-5.9816405423815618E-2</v>
      </c>
      <c r="E93" s="43"/>
      <c r="F93" s="43">
        <f t="shared" si="16"/>
        <v>-5.9816405423815618E-2</v>
      </c>
      <c r="G93" s="44"/>
      <c r="H93" s="35">
        <v>2</v>
      </c>
      <c r="I93" s="35">
        <v>1</v>
      </c>
      <c r="J93" s="146">
        <f t="shared" si="14"/>
        <v>2</v>
      </c>
      <c r="K93" s="35"/>
      <c r="L93" s="153"/>
      <c r="M93" s="149" t="str">
        <f t="shared" si="15"/>
        <v/>
      </c>
    </row>
    <row r="94" spans="1:13" x14ac:dyDescent="0.4">
      <c r="A94" s="191" t="s">
        <v>172</v>
      </c>
      <c r="B94" s="191" t="s">
        <v>14</v>
      </c>
      <c r="C94" s="191">
        <v>2014</v>
      </c>
      <c r="D94" s="42">
        <v>-1.1218596380644626E-2</v>
      </c>
      <c r="E94" s="43"/>
      <c r="F94" s="43">
        <f t="shared" si="16"/>
        <v>-1.1218596380644626E-2</v>
      </c>
      <c r="G94" s="44">
        <f t="shared" ref="G94:G105" si="19">IF(OR(F92="",F93="",F94=""),"",AVERAGE(F92:F94))</f>
        <v>-2.155157477121962E-2</v>
      </c>
      <c r="H94" s="35">
        <v>0</v>
      </c>
      <c r="I94" s="35">
        <v>0</v>
      </c>
      <c r="J94" s="146" t="str">
        <f t="shared" si="14"/>
        <v/>
      </c>
      <c r="K94" s="35">
        <f t="shared" ref="K94:L105" si="20">IFERROR(IF(OR(H92="",H93="",H94=""),"",AVERAGE(H92:H94)),"")</f>
        <v>0.66666666666666663</v>
      </c>
      <c r="L94" s="153">
        <f t="shared" si="20"/>
        <v>0.33333333333333331</v>
      </c>
      <c r="M94" s="149">
        <f t="shared" si="15"/>
        <v>2</v>
      </c>
    </row>
    <row r="95" spans="1:13" x14ac:dyDescent="0.4">
      <c r="A95" s="191" t="s">
        <v>173</v>
      </c>
      <c r="B95" s="191" t="s">
        <v>14</v>
      </c>
      <c r="C95" s="191">
        <v>2015</v>
      </c>
      <c r="D95" s="42">
        <v>0.16002820996796197</v>
      </c>
      <c r="E95" s="43"/>
      <c r="F95" s="43">
        <f t="shared" si="16"/>
        <v>0.16002820996796197</v>
      </c>
      <c r="G95" s="44">
        <f t="shared" si="19"/>
        <v>2.966440272116724E-2</v>
      </c>
      <c r="H95" s="35">
        <v>0</v>
      </c>
      <c r="I95" s="35">
        <v>0</v>
      </c>
      <c r="J95" s="146" t="str">
        <f t="shared" si="14"/>
        <v/>
      </c>
      <c r="K95" s="35">
        <f t="shared" si="20"/>
        <v>0.66666666666666663</v>
      </c>
      <c r="L95" s="153">
        <f t="shared" si="20"/>
        <v>0.33333333333333331</v>
      </c>
      <c r="M95" s="149">
        <f t="shared" si="15"/>
        <v>2</v>
      </c>
    </row>
    <row r="96" spans="1:13" x14ac:dyDescent="0.4">
      <c r="A96" s="191" t="s">
        <v>174</v>
      </c>
      <c r="B96" s="191" t="s">
        <v>14</v>
      </c>
      <c r="C96" s="191">
        <v>2016</v>
      </c>
      <c r="D96" s="42">
        <v>4.5444717460517571E-2</v>
      </c>
      <c r="E96" s="43"/>
      <c r="F96" s="43">
        <f t="shared" si="16"/>
        <v>4.5444717460517571E-2</v>
      </c>
      <c r="G96" s="44">
        <f t="shared" si="19"/>
        <v>6.475144368261164E-2</v>
      </c>
      <c r="H96" s="35">
        <v>0</v>
      </c>
      <c r="I96" s="35">
        <v>0</v>
      </c>
      <c r="J96" s="146" t="str">
        <f t="shared" si="14"/>
        <v/>
      </c>
      <c r="K96" s="35">
        <f t="shared" si="20"/>
        <v>0</v>
      </c>
      <c r="L96" s="153">
        <f t="shared" si="20"/>
        <v>0</v>
      </c>
      <c r="M96" s="149" t="str">
        <f t="shared" si="15"/>
        <v/>
      </c>
    </row>
    <row r="97" spans="1:13" x14ac:dyDescent="0.4">
      <c r="A97" s="191" t="s">
        <v>175</v>
      </c>
      <c r="B97" s="191" t="s">
        <v>14</v>
      </c>
      <c r="C97" s="191">
        <v>2017</v>
      </c>
      <c r="D97" s="42">
        <v>2.1345786656376542E-2</v>
      </c>
      <c r="E97" s="43"/>
      <c r="F97" s="43">
        <f t="shared" si="16"/>
        <v>2.1345786656376542E-2</v>
      </c>
      <c r="G97" s="44">
        <f t="shared" si="19"/>
        <v>7.5606238028285352E-2</v>
      </c>
      <c r="H97" s="35">
        <v>0</v>
      </c>
      <c r="I97" s="35">
        <v>0</v>
      </c>
      <c r="J97" s="146" t="str">
        <f t="shared" si="14"/>
        <v/>
      </c>
      <c r="K97" s="35">
        <f t="shared" si="20"/>
        <v>0</v>
      </c>
      <c r="L97" s="153">
        <f t="shared" si="20"/>
        <v>0</v>
      </c>
      <c r="M97" s="149" t="str">
        <f t="shared" si="15"/>
        <v/>
      </c>
    </row>
    <row r="98" spans="1:13" x14ac:dyDescent="0.4">
      <c r="A98" s="191" t="s">
        <v>176</v>
      </c>
      <c r="B98" s="191" t="s">
        <v>14</v>
      </c>
      <c r="C98" s="191">
        <v>2018</v>
      </c>
      <c r="D98" s="42">
        <v>0.48085416748550103</v>
      </c>
      <c r="E98" s="43"/>
      <c r="F98" s="43">
        <f t="shared" si="16"/>
        <v>0.48085416748550103</v>
      </c>
      <c r="G98" s="44">
        <f t="shared" si="19"/>
        <v>0.18254822386746505</v>
      </c>
      <c r="H98" s="35">
        <v>0</v>
      </c>
      <c r="I98" s="35">
        <v>0</v>
      </c>
      <c r="J98" s="146" t="str">
        <f t="shared" si="14"/>
        <v/>
      </c>
      <c r="K98" s="35">
        <f t="shared" si="20"/>
        <v>0</v>
      </c>
      <c r="L98" s="153">
        <f t="shared" si="20"/>
        <v>0</v>
      </c>
      <c r="M98" s="149" t="str">
        <f t="shared" si="15"/>
        <v/>
      </c>
    </row>
    <row r="99" spans="1:13" x14ac:dyDescent="0.4">
      <c r="A99" s="191" t="s">
        <v>177</v>
      </c>
      <c r="B99" s="191" t="s">
        <v>14</v>
      </c>
      <c r="C99" s="191">
        <v>2019</v>
      </c>
      <c r="D99" s="42">
        <v>0.73858081436805245</v>
      </c>
      <c r="E99" s="43"/>
      <c r="F99" s="43">
        <f t="shared" si="16"/>
        <v>0.73858081436805245</v>
      </c>
      <c r="G99" s="44">
        <f t="shared" si="19"/>
        <v>0.41359358950330999</v>
      </c>
      <c r="H99" s="35">
        <v>6</v>
      </c>
      <c r="I99" s="35">
        <v>1</v>
      </c>
      <c r="J99" s="146">
        <f t="shared" si="14"/>
        <v>6</v>
      </c>
      <c r="K99" s="35">
        <f t="shared" si="20"/>
        <v>2</v>
      </c>
      <c r="L99" s="153">
        <f t="shared" si="20"/>
        <v>0.33333333333333331</v>
      </c>
      <c r="M99" s="149">
        <f t="shared" si="15"/>
        <v>6</v>
      </c>
    </row>
    <row r="100" spans="1:13" x14ac:dyDescent="0.4">
      <c r="A100" s="191" t="s">
        <v>178</v>
      </c>
      <c r="B100" s="191" t="s">
        <v>14</v>
      </c>
      <c r="C100" s="191">
        <v>2020</v>
      </c>
      <c r="D100" s="42">
        <v>1.8564020803729975</v>
      </c>
      <c r="E100" s="43"/>
      <c r="F100" s="43">
        <f t="shared" si="16"/>
        <v>1.8564020803729975</v>
      </c>
      <c r="G100" s="44">
        <f t="shared" si="19"/>
        <v>1.0252790207421836</v>
      </c>
      <c r="H100" s="35">
        <v>14</v>
      </c>
      <c r="I100" s="35">
        <v>1</v>
      </c>
      <c r="J100" s="146">
        <f t="shared" si="14"/>
        <v>14</v>
      </c>
      <c r="K100" s="35">
        <f t="shared" si="20"/>
        <v>6.666666666666667</v>
      </c>
      <c r="L100" s="153">
        <f t="shared" si="20"/>
        <v>0.66666666666666663</v>
      </c>
      <c r="M100" s="149">
        <f t="shared" si="15"/>
        <v>10.000000000000002</v>
      </c>
    </row>
    <row r="101" spans="1:13" x14ac:dyDescent="0.4">
      <c r="A101" s="191" t="s">
        <v>179</v>
      </c>
      <c r="B101" s="191" t="s">
        <v>14</v>
      </c>
      <c r="C101" s="191">
        <v>2021</v>
      </c>
      <c r="D101" s="42">
        <v>1.6994889611999999</v>
      </c>
      <c r="E101" s="43">
        <v>0</v>
      </c>
      <c r="F101" s="43">
        <f t="shared" si="16"/>
        <v>1.6994889611999999</v>
      </c>
      <c r="G101" s="44">
        <f t="shared" si="19"/>
        <v>1.4314906186470167</v>
      </c>
      <c r="H101" s="35">
        <v>0</v>
      </c>
      <c r="I101" s="35">
        <v>0</v>
      </c>
      <c r="J101" s="146" t="str">
        <f t="shared" si="14"/>
        <v/>
      </c>
      <c r="K101" s="35">
        <f t="shared" si="20"/>
        <v>6.666666666666667</v>
      </c>
      <c r="L101" s="153">
        <f t="shared" si="20"/>
        <v>0.66666666666666663</v>
      </c>
      <c r="M101" s="149">
        <f t="shared" si="15"/>
        <v>10.000000000000002</v>
      </c>
    </row>
    <row r="102" spans="1:13" x14ac:dyDescent="0.4">
      <c r="A102" s="191" t="s">
        <v>180</v>
      </c>
      <c r="B102" s="191" t="s">
        <v>14</v>
      </c>
      <c r="C102" s="191">
        <v>2022</v>
      </c>
      <c r="D102" s="42">
        <v>1.7173970816999999</v>
      </c>
      <c r="E102" s="43">
        <v>0</v>
      </c>
      <c r="F102" s="43">
        <f t="shared" si="16"/>
        <v>1.7173970816999999</v>
      </c>
      <c r="G102" s="44">
        <f t="shared" si="19"/>
        <v>1.7577627077576656</v>
      </c>
      <c r="H102" s="35">
        <v>0</v>
      </c>
      <c r="I102" s="35">
        <v>0</v>
      </c>
      <c r="J102" s="146" t="str">
        <f t="shared" si="14"/>
        <v/>
      </c>
      <c r="K102" s="35">
        <f t="shared" si="20"/>
        <v>4.666666666666667</v>
      </c>
      <c r="L102" s="153">
        <f t="shared" si="20"/>
        <v>0.33333333333333331</v>
      </c>
      <c r="M102" s="149">
        <f t="shared" si="15"/>
        <v>14.000000000000002</v>
      </c>
    </row>
    <row r="103" spans="1:13" x14ac:dyDescent="0.4">
      <c r="A103" s="191" t="s">
        <v>181</v>
      </c>
      <c r="B103" s="191" t="s">
        <v>14</v>
      </c>
      <c r="C103" s="191">
        <v>2023</v>
      </c>
      <c r="D103" s="42">
        <v>1.7342342432</v>
      </c>
      <c r="E103" s="43">
        <v>0</v>
      </c>
      <c r="F103" s="43">
        <f t="shared" si="16"/>
        <v>1.7342342432</v>
      </c>
      <c r="G103" s="44">
        <f t="shared" si="19"/>
        <v>1.7170400953666665</v>
      </c>
      <c r="H103" s="35">
        <v>0</v>
      </c>
      <c r="I103" s="35">
        <v>0</v>
      </c>
      <c r="J103" s="146" t="str">
        <f t="shared" si="14"/>
        <v/>
      </c>
      <c r="K103" s="35">
        <f t="shared" si="20"/>
        <v>0</v>
      </c>
      <c r="L103" s="153">
        <f t="shared" si="20"/>
        <v>0</v>
      </c>
      <c r="M103" s="149" t="str">
        <f t="shared" si="15"/>
        <v/>
      </c>
    </row>
    <row r="104" spans="1:13" x14ac:dyDescent="0.4">
      <c r="A104" s="191" t="s">
        <v>182</v>
      </c>
      <c r="B104" s="191" t="s">
        <v>14</v>
      </c>
      <c r="C104" s="191">
        <v>2024</v>
      </c>
      <c r="D104" s="42">
        <v>1.7512365887000001</v>
      </c>
      <c r="E104" s="43">
        <v>0</v>
      </c>
      <c r="F104" s="43">
        <f t="shared" si="16"/>
        <v>1.7512365887000001</v>
      </c>
      <c r="G104" s="44">
        <f t="shared" si="19"/>
        <v>1.7342893045333334</v>
      </c>
      <c r="H104" s="35">
        <v>16</v>
      </c>
      <c r="I104" s="35">
        <v>1</v>
      </c>
      <c r="J104" s="146">
        <f t="shared" si="14"/>
        <v>16</v>
      </c>
      <c r="K104" s="35">
        <f t="shared" si="20"/>
        <v>5.333333333333333</v>
      </c>
      <c r="L104" s="153">
        <f t="shared" si="20"/>
        <v>0.33333333333333331</v>
      </c>
      <c r="M104" s="149">
        <f t="shared" si="15"/>
        <v>16</v>
      </c>
    </row>
    <row r="105" spans="1:13" x14ac:dyDescent="0.4">
      <c r="A105" s="191" t="s">
        <v>183</v>
      </c>
      <c r="B105" s="191" t="s">
        <v>14</v>
      </c>
      <c r="C105" s="191">
        <v>2025</v>
      </c>
      <c r="D105" s="42">
        <v>1.7684055254</v>
      </c>
      <c r="E105" s="43">
        <v>0</v>
      </c>
      <c r="F105" s="43">
        <f t="shared" si="16"/>
        <v>1.7684055254</v>
      </c>
      <c r="G105" s="44">
        <f t="shared" si="19"/>
        <v>1.7512921190999997</v>
      </c>
      <c r="H105" s="35">
        <v>12</v>
      </c>
      <c r="I105" s="35">
        <v>1</v>
      </c>
      <c r="J105" s="146">
        <f t="shared" si="14"/>
        <v>12</v>
      </c>
      <c r="K105" s="35">
        <f t="shared" si="20"/>
        <v>9.3333333333333339</v>
      </c>
      <c r="L105" s="153">
        <f t="shared" si="20"/>
        <v>0.66666666666666663</v>
      </c>
      <c r="M105" s="149">
        <f t="shared" si="15"/>
        <v>14.000000000000002</v>
      </c>
    </row>
    <row r="106" spans="1:13" x14ac:dyDescent="0.4">
      <c r="A106" s="191" t="s">
        <v>184</v>
      </c>
      <c r="B106" s="191" t="s">
        <v>15</v>
      </c>
      <c r="C106" s="191">
        <v>2012</v>
      </c>
      <c r="D106" s="42">
        <v>0.17902023504462308</v>
      </c>
      <c r="E106" s="43"/>
      <c r="F106" s="43">
        <f t="shared" si="16"/>
        <v>0.17902023504462308</v>
      </c>
      <c r="G106" s="44"/>
      <c r="H106" s="35">
        <v>0</v>
      </c>
      <c r="I106" s="35">
        <v>0</v>
      </c>
      <c r="J106" s="146" t="str">
        <f t="shared" si="14"/>
        <v/>
      </c>
      <c r="K106" s="35"/>
      <c r="L106" s="153"/>
      <c r="M106" s="149" t="str">
        <f t="shared" si="15"/>
        <v/>
      </c>
    </row>
    <row r="107" spans="1:13" x14ac:dyDescent="0.4">
      <c r="A107" s="191" t="s">
        <v>185</v>
      </c>
      <c r="B107" s="191" t="s">
        <v>15</v>
      </c>
      <c r="C107" s="191">
        <v>2013</v>
      </c>
      <c r="D107" s="42">
        <v>1.9357863675582399</v>
      </c>
      <c r="E107" s="43"/>
      <c r="F107" s="43">
        <f t="shared" si="16"/>
        <v>1.9357863675582399</v>
      </c>
      <c r="G107" s="44"/>
      <c r="H107" s="35">
        <v>107</v>
      </c>
      <c r="I107" s="35">
        <v>1</v>
      </c>
      <c r="J107" s="146">
        <f t="shared" si="14"/>
        <v>107</v>
      </c>
      <c r="K107" s="35"/>
      <c r="L107" s="153"/>
      <c r="M107" s="149" t="str">
        <f t="shared" si="15"/>
        <v/>
      </c>
    </row>
    <row r="108" spans="1:13" x14ac:dyDescent="0.4">
      <c r="A108" s="191" t="s">
        <v>186</v>
      </c>
      <c r="B108" s="191" t="s">
        <v>15</v>
      </c>
      <c r="C108" s="191">
        <v>2014</v>
      </c>
      <c r="D108" s="42">
        <v>0.75572937795807948</v>
      </c>
      <c r="E108" s="43"/>
      <c r="F108" s="43">
        <f t="shared" si="16"/>
        <v>0.75572937795807948</v>
      </c>
      <c r="G108" s="44">
        <f t="shared" ref="G108:G119" si="21">IF(OR(F106="",F107="",F108=""),"",AVERAGE(F106:F108))</f>
        <v>0.95684532685364754</v>
      </c>
      <c r="H108" s="35">
        <v>9</v>
      </c>
      <c r="I108" s="35">
        <v>2</v>
      </c>
      <c r="J108" s="146">
        <f t="shared" si="14"/>
        <v>4.5</v>
      </c>
      <c r="K108" s="35">
        <f t="shared" ref="K108:L119" si="22">IFERROR(IF(OR(H106="",H107="",H108=""),"",AVERAGE(H106:H108)),"")</f>
        <v>38.666666666666664</v>
      </c>
      <c r="L108" s="153">
        <f t="shared" si="22"/>
        <v>1</v>
      </c>
      <c r="M108" s="149">
        <f t="shared" si="15"/>
        <v>38.666666666666664</v>
      </c>
    </row>
    <row r="109" spans="1:13" x14ac:dyDescent="0.4">
      <c r="A109" s="191" t="s">
        <v>187</v>
      </c>
      <c r="B109" s="191" t="s">
        <v>15</v>
      </c>
      <c r="C109" s="191">
        <v>2015</v>
      </c>
      <c r="D109" s="42">
        <v>0.61134870894961146</v>
      </c>
      <c r="E109" s="43"/>
      <c r="F109" s="43">
        <f t="shared" si="16"/>
        <v>0.61134870894961146</v>
      </c>
      <c r="G109" s="44">
        <f t="shared" si="21"/>
        <v>1.1009548181553102</v>
      </c>
      <c r="H109" s="35">
        <v>12</v>
      </c>
      <c r="I109" s="35">
        <v>1</v>
      </c>
      <c r="J109" s="146">
        <f t="shared" si="14"/>
        <v>12</v>
      </c>
      <c r="K109" s="35">
        <f t="shared" si="22"/>
        <v>42.666666666666664</v>
      </c>
      <c r="L109" s="153">
        <f t="shared" si="22"/>
        <v>1.3333333333333333</v>
      </c>
      <c r="M109" s="149">
        <f t="shared" si="15"/>
        <v>32</v>
      </c>
    </row>
    <row r="110" spans="1:13" x14ac:dyDescent="0.4">
      <c r="A110" s="191" t="s">
        <v>188</v>
      </c>
      <c r="B110" s="191" t="s">
        <v>15</v>
      </c>
      <c r="C110" s="191">
        <v>2016</v>
      </c>
      <c r="D110" s="42">
        <v>0.25386555740432609</v>
      </c>
      <c r="E110" s="43"/>
      <c r="F110" s="43">
        <f t="shared" si="16"/>
        <v>0.25386555740432609</v>
      </c>
      <c r="G110" s="44">
        <f t="shared" si="21"/>
        <v>0.5403145481040057</v>
      </c>
      <c r="H110" s="35">
        <v>0</v>
      </c>
      <c r="I110" s="35">
        <v>0</v>
      </c>
      <c r="J110" s="146" t="str">
        <f t="shared" si="14"/>
        <v/>
      </c>
      <c r="K110" s="35">
        <f t="shared" si="22"/>
        <v>7</v>
      </c>
      <c r="L110" s="153">
        <f t="shared" si="22"/>
        <v>1</v>
      </c>
      <c r="M110" s="149">
        <f t="shared" si="15"/>
        <v>7</v>
      </c>
    </row>
    <row r="111" spans="1:13" x14ac:dyDescent="0.4">
      <c r="A111" s="191" t="s">
        <v>189</v>
      </c>
      <c r="B111" s="191" t="s">
        <v>15</v>
      </c>
      <c r="C111" s="191">
        <v>2017</v>
      </c>
      <c r="D111" s="42">
        <v>1.4676717275338529</v>
      </c>
      <c r="E111" s="43"/>
      <c r="F111" s="43">
        <f t="shared" si="16"/>
        <v>1.4676717275338529</v>
      </c>
      <c r="G111" s="44">
        <f t="shared" si="21"/>
        <v>0.7776286646292635</v>
      </c>
      <c r="H111" s="35">
        <v>31</v>
      </c>
      <c r="I111" s="35">
        <v>2</v>
      </c>
      <c r="J111" s="146">
        <f t="shared" si="14"/>
        <v>15.5</v>
      </c>
      <c r="K111" s="35">
        <f t="shared" si="22"/>
        <v>14.333333333333334</v>
      </c>
      <c r="L111" s="153">
        <f t="shared" si="22"/>
        <v>1</v>
      </c>
      <c r="M111" s="149">
        <f t="shared" si="15"/>
        <v>14.333333333333334</v>
      </c>
    </row>
    <row r="112" spans="1:13" x14ac:dyDescent="0.4">
      <c r="A112" s="191" t="s">
        <v>190</v>
      </c>
      <c r="B112" s="191" t="s">
        <v>15</v>
      </c>
      <c r="C112" s="191">
        <v>2018</v>
      </c>
      <c r="D112" s="42">
        <v>1.9119999999999999</v>
      </c>
      <c r="E112" s="43"/>
      <c r="F112" s="43">
        <f t="shared" si="16"/>
        <v>1.9119999999999999</v>
      </c>
      <c r="G112" s="44">
        <f t="shared" si="21"/>
        <v>1.211179094979393</v>
      </c>
      <c r="H112" s="35">
        <v>10</v>
      </c>
      <c r="I112" s="35">
        <v>1</v>
      </c>
      <c r="J112" s="146">
        <f t="shared" si="14"/>
        <v>10</v>
      </c>
      <c r="K112" s="35">
        <f t="shared" si="22"/>
        <v>13.666666666666666</v>
      </c>
      <c r="L112" s="153">
        <f t="shared" si="22"/>
        <v>1</v>
      </c>
      <c r="M112" s="149">
        <f t="shared" si="15"/>
        <v>13.666666666666666</v>
      </c>
    </row>
    <row r="113" spans="1:13" x14ac:dyDescent="0.4">
      <c r="A113" s="191" t="s">
        <v>191</v>
      </c>
      <c r="B113" s="191" t="s">
        <v>15</v>
      </c>
      <c r="C113" s="191">
        <v>2019</v>
      </c>
      <c r="D113" s="42">
        <v>0.77485416350054603</v>
      </c>
      <c r="E113" s="43"/>
      <c r="F113" s="43">
        <f t="shared" ref="F113:F147" si="23">D113+E113</f>
        <v>0.77485416350054603</v>
      </c>
      <c r="G113" s="44">
        <f t="shared" si="21"/>
        <v>1.3848419636781328</v>
      </c>
      <c r="H113" s="35">
        <v>31</v>
      </c>
      <c r="I113" s="35">
        <v>1</v>
      </c>
      <c r="J113" s="146">
        <f t="shared" si="14"/>
        <v>31</v>
      </c>
      <c r="K113" s="35">
        <f t="shared" si="22"/>
        <v>24</v>
      </c>
      <c r="L113" s="153">
        <f t="shared" si="22"/>
        <v>1.3333333333333333</v>
      </c>
      <c r="M113" s="149">
        <f t="shared" si="15"/>
        <v>18</v>
      </c>
    </row>
    <row r="114" spans="1:13" x14ac:dyDescent="0.4">
      <c r="A114" s="191" t="s">
        <v>192</v>
      </c>
      <c r="B114" s="191" t="s">
        <v>15</v>
      </c>
      <c r="C114" s="191">
        <v>2020</v>
      </c>
      <c r="D114" s="42">
        <v>1.2709630382431647</v>
      </c>
      <c r="E114" s="43"/>
      <c r="F114" s="43">
        <f t="shared" si="23"/>
        <v>1.2709630382431647</v>
      </c>
      <c r="G114" s="44">
        <f t="shared" si="21"/>
        <v>1.3192724005812368</v>
      </c>
      <c r="H114" s="35">
        <v>2</v>
      </c>
      <c r="I114" s="35">
        <v>1</v>
      </c>
      <c r="J114" s="146">
        <f t="shared" si="14"/>
        <v>2</v>
      </c>
      <c r="K114" s="35">
        <f t="shared" si="22"/>
        <v>14.333333333333334</v>
      </c>
      <c r="L114" s="153">
        <f t="shared" si="22"/>
        <v>1</v>
      </c>
      <c r="M114" s="149">
        <f t="shared" si="15"/>
        <v>14.333333333333334</v>
      </c>
    </row>
    <row r="115" spans="1:13" x14ac:dyDescent="0.4">
      <c r="A115" s="191" t="s">
        <v>193</v>
      </c>
      <c r="B115" s="191" t="s">
        <v>15</v>
      </c>
      <c r="C115" s="191">
        <v>2021</v>
      </c>
      <c r="D115" s="42">
        <v>1.881</v>
      </c>
      <c r="E115" s="43">
        <v>0</v>
      </c>
      <c r="F115" s="43">
        <f t="shared" si="23"/>
        <v>1.881</v>
      </c>
      <c r="G115" s="44">
        <f t="shared" si="21"/>
        <v>1.3089390672479035</v>
      </c>
      <c r="H115" s="35">
        <v>0</v>
      </c>
      <c r="I115" s="35">
        <v>0</v>
      </c>
      <c r="J115" s="146" t="str">
        <f t="shared" si="14"/>
        <v/>
      </c>
      <c r="K115" s="35">
        <f t="shared" si="22"/>
        <v>11</v>
      </c>
      <c r="L115" s="153">
        <f t="shared" si="22"/>
        <v>0.66666666666666663</v>
      </c>
      <c r="M115" s="149">
        <f t="shared" si="15"/>
        <v>16.5</v>
      </c>
    </row>
    <row r="116" spans="1:13" x14ac:dyDescent="0.4">
      <c r="A116" s="191" t="s">
        <v>194</v>
      </c>
      <c r="B116" s="191" t="s">
        <v>15</v>
      </c>
      <c r="C116" s="191">
        <v>2022</v>
      </c>
      <c r="D116" s="42">
        <v>1.859</v>
      </c>
      <c r="E116" s="43">
        <v>0</v>
      </c>
      <c r="F116" s="43">
        <f t="shared" si="23"/>
        <v>1.859</v>
      </c>
      <c r="G116" s="44">
        <f t="shared" si="21"/>
        <v>1.6703210127477215</v>
      </c>
      <c r="H116" s="35">
        <v>9</v>
      </c>
      <c r="I116" s="35">
        <v>2</v>
      </c>
      <c r="J116" s="146">
        <f t="shared" si="14"/>
        <v>4.5</v>
      </c>
      <c r="K116" s="35">
        <f t="shared" si="22"/>
        <v>3.6666666666666665</v>
      </c>
      <c r="L116" s="153">
        <f t="shared" si="22"/>
        <v>1</v>
      </c>
      <c r="M116" s="149">
        <f t="shared" si="15"/>
        <v>3.6666666666666665</v>
      </c>
    </row>
    <row r="117" spans="1:13" x14ac:dyDescent="0.4">
      <c r="A117" s="191" t="s">
        <v>195</v>
      </c>
      <c r="B117" s="191" t="s">
        <v>15</v>
      </c>
      <c r="C117" s="191">
        <v>2023</v>
      </c>
      <c r="D117" s="42">
        <v>0.71899999999999997</v>
      </c>
      <c r="E117" s="43">
        <v>0</v>
      </c>
      <c r="F117" s="43">
        <f t="shared" si="23"/>
        <v>0.71899999999999997</v>
      </c>
      <c r="G117" s="44">
        <f t="shared" si="21"/>
        <v>1.4863333333333335</v>
      </c>
      <c r="H117" s="35">
        <v>27</v>
      </c>
      <c r="I117" s="35">
        <v>2</v>
      </c>
      <c r="J117" s="146">
        <f t="shared" si="14"/>
        <v>13.5</v>
      </c>
      <c r="K117" s="35">
        <f t="shared" si="22"/>
        <v>12</v>
      </c>
      <c r="L117" s="153">
        <f t="shared" si="22"/>
        <v>1.3333333333333333</v>
      </c>
      <c r="M117" s="149">
        <f t="shared" si="15"/>
        <v>9</v>
      </c>
    </row>
    <row r="118" spans="1:13" x14ac:dyDescent="0.4">
      <c r="A118" s="191" t="s">
        <v>196</v>
      </c>
      <c r="B118" s="191" t="s">
        <v>15</v>
      </c>
      <c r="C118" s="191">
        <v>2024</v>
      </c>
      <c r="D118" s="42">
        <v>0.71</v>
      </c>
      <c r="E118" s="43">
        <v>0</v>
      </c>
      <c r="F118" s="43">
        <f t="shared" si="23"/>
        <v>0.71</v>
      </c>
      <c r="G118" s="44">
        <f t="shared" si="21"/>
        <v>1.0959999999999999</v>
      </c>
      <c r="H118" s="35">
        <v>11</v>
      </c>
      <c r="I118" s="35">
        <v>1</v>
      </c>
      <c r="J118" s="146">
        <f t="shared" si="14"/>
        <v>11</v>
      </c>
      <c r="K118" s="35">
        <f t="shared" si="22"/>
        <v>15.666666666666666</v>
      </c>
      <c r="L118" s="153">
        <f t="shared" si="22"/>
        <v>1.6666666666666667</v>
      </c>
      <c r="M118" s="149">
        <f t="shared" si="15"/>
        <v>9.3999999999999986</v>
      </c>
    </row>
    <row r="119" spans="1:13" x14ac:dyDescent="0.4">
      <c r="A119" s="191" t="s">
        <v>197</v>
      </c>
      <c r="B119" s="191" t="s">
        <v>15</v>
      </c>
      <c r="C119" s="191">
        <v>2025</v>
      </c>
      <c r="D119" s="42">
        <v>0.70299999999999996</v>
      </c>
      <c r="E119" s="43">
        <v>0</v>
      </c>
      <c r="F119" s="43">
        <f t="shared" si="23"/>
        <v>0.70299999999999996</v>
      </c>
      <c r="G119" s="44">
        <f t="shared" si="21"/>
        <v>0.71066666666666656</v>
      </c>
      <c r="H119" s="35">
        <v>11</v>
      </c>
      <c r="I119" s="35">
        <v>1</v>
      </c>
      <c r="J119" s="146">
        <f t="shared" si="14"/>
        <v>11</v>
      </c>
      <c r="K119" s="35">
        <f t="shared" si="22"/>
        <v>16.333333333333332</v>
      </c>
      <c r="L119" s="153">
        <f t="shared" si="22"/>
        <v>1.3333333333333333</v>
      </c>
      <c r="M119" s="149">
        <f t="shared" si="15"/>
        <v>12.25</v>
      </c>
    </row>
    <row r="120" spans="1:13" x14ac:dyDescent="0.4">
      <c r="A120" s="191" t="s">
        <v>198</v>
      </c>
      <c r="B120" s="191" t="s">
        <v>16</v>
      </c>
      <c r="C120" s="191">
        <v>2012</v>
      </c>
      <c r="D120" s="42">
        <v>1.2387737354122115</v>
      </c>
      <c r="E120" s="43"/>
      <c r="F120" s="43">
        <f t="shared" si="23"/>
        <v>1.2387737354122115</v>
      </c>
      <c r="G120" s="44"/>
      <c r="H120" s="35">
        <v>25</v>
      </c>
      <c r="I120" s="35">
        <v>1</v>
      </c>
      <c r="J120" s="146">
        <f t="shared" si="14"/>
        <v>25</v>
      </c>
      <c r="K120" s="35"/>
      <c r="L120" s="153"/>
      <c r="M120" s="149" t="str">
        <f t="shared" si="15"/>
        <v/>
      </c>
    </row>
    <row r="121" spans="1:13" x14ac:dyDescent="0.4">
      <c r="A121" s="191" t="s">
        <v>199</v>
      </c>
      <c r="B121" s="191" t="s">
        <v>16</v>
      </c>
      <c r="C121" s="191">
        <v>2013</v>
      </c>
      <c r="D121" s="42">
        <v>1.8050678503572042</v>
      </c>
      <c r="E121" s="43"/>
      <c r="F121" s="43">
        <f t="shared" si="23"/>
        <v>1.8050678503572042</v>
      </c>
      <c r="G121" s="44"/>
      <c r="H121" s="35">
        <v>6</v>
      </c>
      <c r="I121" s="35">
        <v>1</v>
      </c>
      <c r="J121" s="146">
        <f t="shared" si="14"/>
        <v>6</v>
      </c>
      <c r="K121" s="35"/>
      <c r="L121" s="153"/>
      <c r="M121" s="149" t="str">
        <f t="shared" si="15"/>
        <v/>
      </c>
    </row>
    <row r="122" spans="1:13" x14ac:dyDescent="0.4">
      <c r="A122" s="191" t="s">
        <v>200</v>
      </c>
      <c r="B122" s="191" t="s">
        <v>16</v>
      </c>
      <c r="C122" s="191">
        <v>2014</v>
      </c>
      <c r="D122" s="42">
        <v>3.1161780696345991</v>
      </c>
      <c r="E122" s="43"/>
      <c r="F122" s="43">
        <f t="shared" si="23"/>
        <v>3.1161780696345991</v>
      </c>
      <c r="G122" s="44">
        <f t="shared" ref="G122:G133" si="24">IF(OR(F120="",F121="",F122=""),"",AVERAGE(F120:F122))</f>
        <v>2.0533398851346716</v>
      </c>
      <c r="H122" s="35">
        <v>354</v>
      </c>
      <c r="I122" s="35">
        <v>2</v>
      </c>
      <c r="J122" s="146">
        <f t="shared" si="14"/>
        <v>177</v>
      </c>
      <c r="K122" s="35">
        <f t="shared" ref="K122:L133" si="25">IFERROR(IF(OR(H120="",H121="",H122=""),"",AVERAGE(H120:H122)),"")</f>
        <v>128.33333333333334</v>
      </c>
      <c r="L122" s="153">
        <f t="shared" si="25"/>
        <v>1.3333333333333333</v>
      </c>
      <c r="M122" s="149">
        <f t="shared" si="15"/>
        <v>96.250000000000014</v>
      </c>
    </row>
    <row r="123" spans="1:13" x14ac:dyDescent="0.4">
      <c r="A123" s="191" t="s">
        <v>201</v>
      </c>
      <c r="B123" s="191" t="s">
        <v>16</v>
      </c>
      <c r="C123" s="191">
        <v>2015</v>
      </c>
      <c r="D123" s="42">
        <v>0.96172205387467191</v>
      </c>
      <c r="E123" s="43"/>
      <c r="F123" s="43">
        <f t="shared" si="23"/>
        <v>0.96172205387467191</v>
      </c>
      <c r="G123" s="44">
        <f t="shared" si="24"/>
        <v>1.9609893246221584</v>
      </c>
      <c r="H123" s="35">
        <v>0</v>
      </c>
      <c r="I123" s="35">
        <v>0</v>
      </c>
      <c r="J123" s="146" t="str">
        <f t="shared" si="14"/>
        <v/>
      </c>
      <c r="K123" s="35">
        <f t="shared" si="25"/>
        <v>120</v>
      </c>
      <c r="L123" s="153">
        <f t="shared" si="25"/>
        <v>1</v>
      </c>
      <c r="M123" s="149">
        <f t="shared" si="15"/>
        <v>120</v>
      </c>
    </row>
    <row r="124" spans="1:13" x14ac:dyDescent="0.4">
      <c r="A124" s="191" t="s">
        <v>202</v>
      </c>
      <c r="B124" s="191" t="s">
        <v>16</v>
      </c>
      <c r="C124" s="191">
        <v>2016</v>
      </c>
      <c r="D124" s="42">
        <v>1.2243218663410982</v>
      </c>
      <c r="E124" s="43"/>
      <c r="F124" s="43">
        <f t="shared" si="23"/>
        <v>1.2243218663410982</v>
      </c>
      <c r="G124" s="44">
        <f t="shared" si="24"/>
        <v>1.767407329950123</v>
      </c>
      <c r="H124" s="35">
        <v>23</v>
      </c>
      <c r="I124" s="35">
        <v>1</v>
      </c>
      <c r="J124" s="146">
        <f t="shared" si="14"/>
        <v>23</v>
      </c>
      <c r="K124" s="35">
        <f t="shared" si="25"/>
        <v>125.66666666666667</v>
      </c>
      <c r="L124" s="153">
        <f t="shared" si="25"/>
        <v>1</v>
      </c>
      <c r="M124" s="149">
        <f t="shared" si="15"/>
        <v>125.66666666666667</v>
      </c>
    </row>
    <row r="125" spans="1:13" x14ac:dyDescent="0.4">
      <c r="A125" s="191" t="s">
        <v>203</v>
      </c>
      <c r="B125" s="191" t="s">
        <v>16</v>
      </c>
      <c r="C125" s="191">
        <v>2017</v>
      </c>
      <c r="D125" s="42">
        <v>0.46632733046696767</v>
      </c>
      <c r="E125" s="43"/>
      <c r="F125" s="43">
        <f t="shared" si="23"/>
        <v>0.46632733046696767</v>
      </c>
      <c r="G125" s="44">
        <f t="shared" si="24"/>
        <v>0.88412375022757927</v>
      </c>
      <c r="H125" s="35">
        <v>0</v>
      </c>
      <c r="I125" s="35">
        <v>0</v>
      </c>
      <c r="J125" s="146" t="str">
        <f t="shared" si="14"/>
        <v/>
      </c>
      <c r="K125" s="35">
        <f t="shared" si="25"/>
        <v>7.666666666666667</v>
      </c>
      <c r="L125" s="153">
        <f t="shared" si="25"/>
        <v>0.33333333333333331</v>
      </c>
      <c r="M125" s="149">
        <f t="shared" si="15"/>
        <v>23.000000000000004</v>
      </c>
    </row>
    <row r="126" spans="1:13" x14ac:dyDescent="0.4">
      <c r="A126" s="191" t="s">
        <v>204</v>
      </c>
      <c r="B126" s="191" t="s">
        <v>16</v>
      </c>
      <c r="C126" s="191">
        <v>2018</v>
      </c>
      <c r="D126" s="42">
        <v>0.55638332999999995</v>
      </c>
      <c r="E126" s="43"/>
      <c r="F126" s="43">
        <f t="shared" si="23"/>
        <v>0.55638332999999995</v>
      </c>
      <c r="G126" s="44">
        <f t="shared" si="24"/>
        <v>0.74901084226935533</v>
      </c>
      <c r="H126" s="35">
        <v>8</v>
      </c>
      <c r="I126" s="35">
        <v>1</v>
      </c>
      <c r="J126" s="146">
        <f t="shared" si="14"/>
        <v>8</v>
      </c>
      <c r="K126" s="35">
        <f t="shared" si="25"/>
        <v>10.333333333333334</v>
      </c>
      <c r="L126" s="153">
        <f t="shared" si="25"/>
        <v>0.66666666666666663</v>
      </c>
      <c r="M126" s="149">
        <f t="shared" si="15"/>
        <v>15.500000000000002</v>
      </c>
    </row>
    <row r="127" spans="1:13" x14ac:dyDescent="0.4">
      <c r="A127" s="191" t="s">
        <v>205</v>
      </c>
      <c r="B127" s="191" t="s">
        <v>16</v>
      </c>
      <c r="C127" s="191">
        <v>2019</v>
      </c>
      <c r="D127" s="42">
        <v>0.22298768862900989</v>
      </c>
      <c r="E127" s="43"/>
      <c r="F127" s="43">
        <f t="shared" si="23"/>
        <v>0.22298768862900989</v>
      </c>
      <c r="G127" s="44">
        <f t="shared" si="24"/>
        <v>0.41523278303199246</v>
      </c>
      <c r="H127" s="35">
        <v>0</v>
      </c>
      <c r="I127" s="35">
        <v>0</v>
      </c>
      <c r="J127" s="146" t="str">
        <f t="shared" si="14"/>
        <v/>
      </c>
      <c r="K127" s="35">
        <f t="shared" si="25"/>
        <v>2.6666666666666665</v>
      </c>
      <c r="L127" s="153">
        <f t="shared" si="25"/>
        <v>0.33333333333333331</v>
      </c>
      <c r="M127" s="149">
        <f t="shared" si="15"/>
        <v>8</v>
      </c>
    </row>
    <row r="128" spans="1:13" x14ac:dyDescent="0.4">
      <c r="A128" s="191" t="s">
        <v>206</v>
      </c>
      <c r="B128" s="191" t="s">
        <v>16</v>
      </c>
      <c r="C128" s="191">
        <v>2020</v>
      </c>
      <c r="D128" s="42">
        <v>0.58744323123881959</v>
      </c>
      <c r="E128" s="43"/>
      <c r="F128" s="43">
        <f t="shared" si="23"/>
        <v>0.58744323123881959</v>
      </c>
      <c r="G128" s="44">
        <f t="shared" si="24"/>
        <v>0.45560474995594308</v>
      </c>
      <c r="H128" s="35">
        <v>16</v>
      </c>
      <c r="I128" s="35">
        <v>1</v>
      </c>
      <c r="J128" s="146">
        <f t="shared" si="14"/>
        <v>16</v>
      </c>
      <c r="K128" s="35">
        <f t="shared" si="25"/>
        <v>8</v>
      </c>
      <c r="L128" s="153">
        <f t="shared" si="25"/>
        <v>0.66666666666666663</v>
      </c>
      <c r="M128" s="149">
        <f t="shared" si="15"/>
        <v>12</v>
      </c>
    </row>
    <row r="129" spans="1:13" x14ac:dyDescent="0.4">
      <c r="A129" s="191" t="s">
        <v>207</v>
      </c>
      <c r="B129" s="191" t="s">
        <v>16</v>
      </c>
      <c r="C129" s="191">
        <v>2021</v>
      </c>
      <c r="D129" s="42">
        <v>1.0557692307692299</v>
      </c>
      <c r="E129" s="43">
        <v>0</v>
      </c>
      <c r="F129" s="43">
        <f t="shared" si="23"/>
        <v>1.0557692307692299</v>
      </c>
      <c r="G129" s="44">
        <f t="shared" si="24"/>
        <v>0.62206671687901982</v>
      </c>
      <c r="H129" s="35">
        <v>19</v>
      </c>
      <c r="I129" s="35">
        <v>1</v>
      </c>
      <c r="J129" s="146">
        <f t="shared" si="14"/>
        <v>19</v>
      </c>
      <c r="K129" s="35">
        <f t="shared" si="25"/>
        <v>11.666666666666666</v>
      </c>
      <c r="L129" s="153">
        <f t="shared" si="25"/>
        <v>0.66666666666666663</v>
      </c>
      <c r="M129" s="149">
        <f t="shared" si="15"/>
        <v>17.5</v>
      </c>
    </row>
    <row r="130" spans="1:13" x14ac:dyDescent="0.4">
      <c r="A130" s="191" t="s">
        <v>208</v>
      </c>
      <c r="B130" s="191" t="s">
        <v>16</v>
      </c>
      <c r="C130" s="191">
        <v>2022</v>
      </c>
      <c r="D130" s="42">
        <v>1.0557692307692299</v>
      </c>
      <c r="E130" s="43">
        <v>0</v>
      </c>
      <c r="F130" s="43">
        <f t="shared" si="23"/>
        <v>1.0557692307692299</v>
      </c>
      <c r="G130" s="44">
        <f t="shared" si="24"/>
        <v>0.89966056425909313</v>
      </c>
      <c r="H130" s="35">
        <v>6</v>
      </c>
      <c r="I130" s="35">
        <v>1</v>
      </c>
      <c r="J130" s="146">
        <f t="shared" si="14"/>
        <v>6</v>
      </c>
      <c r="K130" s="35">
        <f t="shared" si="25"/>
        <v>13.666666666666666</v>
      </c>
      <c r="L130" s="153">
        <f t="shared" si="25"/>
        <v>1</v>
      </c>
      <c r="M130" s="149">
        <f t="shared" si="15"/>
        <v>13.666666666666666</v>
      </c>
    </row>
    <row r="131" spans="1:13" x14ac:dyDescent="0.4">
      <c r="A131" s="191" t="s">
        <v>209</v>
      </c>
      <c r="B131" s="191" t="s">
        <v>16</v>
      </c>
      <c r="C131" s="191">
        <v>2023</v>
      </c>
      <c r="D131" s="42">
        <v>1.0557692307692299</v>
      </c>
      <c r="E131" s="43">
        <v>0</v>
      </c>
      <c r="F131" s="43">
        <f t="shared" si="23"/>
        <v>1.0557692307692299</v>
      </c>
      <c r="G131" s="44">
        <f t="shared" si="24"/>
        <v>1.0557692307692299</v>
      </c>
      <c r="H131" s="35">
        <v>0</v>
      </c>
      <c r="I131" s="35">
        <v>0</v>
      </c>
      <c r="J131" s="146" t="str">
        <f t="shared" si="14"/>
        <v/>
      </c>
      <c r="K131" s="35">
        <f t="shared" si="25"/>
        <v>8.3333333333333339</v>
      </c>
      <c r="L131" s="153">
        <f t="shared" si="25"/>
        <v>0.66666666666666663</v>
      </c>
      <c r="M131" s="149">
        <f t="shared" si="15"/>
        <v>12.500000000000002</v>
      </c>
    </row>
    <row r="132" spans="1:13" x14ac:dyDescent="0.4">
      <c r="A132" s="191" t="s">
        <v>210</v>
      </c>
      <c r="B132" s="191" t="s">
        <v>16</v>
      </c>
      <c r="C132" s="191">
        <v>2024</v>
      </c>
      <c r="D132" s="42">
        <v>1.0557692307692299</v>
      </c>
      <c r="E132" s="43">
        <v>0</v>
      </c>
      <c r="F132" s="43">
        <f t="shared" si="23"/>
        <v>1.0557692307692299</v>
      </c>
      <c r="G132" s="44">
        <f t="shared" si="24"/>
        <v>1.0557692307692299</v>
      </c>
      <c r="H132" s="35">
        <v>10</v>
      </c>
      <c r="I132" s="35">
        <v>1</v>
      </c>
      <c r="J132" s="146">
        <f t="shared" si="14"/>
        <v>10</v>
      </c>
      <c r="K132" s="35">
        <f t="shared" si="25"/>
        <v>5.333333333333333</v>
      </c>
      <c r="L132" s="153">
        <f t="shared" si="25"/>
        <v>0.66666666666666663</v>
      </c>
      <c r="M132" s="149">
        <f t="shared" si="15"/>
        <v>8</v>
      </c>
    </row>
    <row r="133" spans="1:13" x14ac:dyDescent="0.4">
      <c r="A133" s="191" t="s">
        <v>211</v>
      </c>
      <c r="B133" s="191" t="s">
        <v>16</v>
      </c>
      <c r="C133" s="191">
        <v>2025</v>
      </c>
      <c r="D133" s="42">
        <v>1.0557692307692299</v>
      </c>
      <c r="E133" s="43">
        <v>0</v>
      </c>
      <c r="F133" s="43">
        <f t="shared" si="23"/>
        <v>1.0557692307692299</v>
      </c>
      <c r="G133" s="44">
        <f t="shared" si="24"/>
        <v>1.0557692307692299</v>
      </c>
      <c r="H133" s="35">
        <v>10</v>
      </c>
      <c r="I133" s="35">
        <v>1</v>
      </c>
      <c r="J133" s="146">
        <f t="shared" si="14"/>
        <v>10</v>
      </c>
      <c r="K133" s="35">
        <f t="shared" si="25"/>
        <v>6.666666666666667</v>
      </c>
      <c r="L133" s="153">
        <f t="shared" si="25"/>
        <v>0.66666666666666663</v>
      </c>
      <c r="M133" s="149">
        <f t="shared" si="15"/>
        <v>10.000000000000002</v>
      </c>
    </row>
    <row r="134" spans="1:13" x14ac:dyDescent="0.4">
      <c r="A134" s="191" t="s">
        <v>212</v>
      </c>
      <c r="B134" s="191" t="s">
        <v>17</v>
      </c>
      <c r="C134" s="191">
        <v>2012</v>
      </c>
      <c r="D134" s="42">
        <v>-3.7265658823009612E-2</v>
      </c>
      <c r="E134" s="43"/>
      <c r="F134" s="43">
        <f t="shared" si="23"/>
        <v>-3.7265658823009612E-2</v>
      </c>
      <c r="G134" s="44"/>
      <c r="H134" s="35">
        <v>0</v>
      </c>
      <c r="I134" s="35">
        <v>0</v>
      </c>
      <c r="J134" s="146" t="str">
        <f t="shared" si="14"/>
        <v/>
      </c>
      <c r="K134" s="35"/>
      <c r="L134" s="153"/>
      <c r="M134" s="149" t="str">
        <f t="shared" si="15"/>
        <v/>
      </c>
    </row>
    <row r="135" spans="1:13" x14ac:dyDescent="0.4">
      <c r="A135" s="191" t="s">
        <v>213</v>
      </c>
      <c r="B135" s="191" t="s">
        <v>17</v>
      </c>
      <c r="C135" s="191">
        <v>2013</v>
      </c>
      <c r="D135" s="42">
        <v>0.31054657496462473</v>
      </c>
      <c r="E135" s="43"/>
      <c r="F135" s="43">
        <f t="shared" si="23"/>
        <v>0.31054657496462473</v>
      </c>
      <c r="G135" s="44"/>
      <c r="H135" s="35">
        <v>0</v>
      </c>
      <c r="I135" s="35">
        <v>0</v>
      </c>
      <c r="J135" s="146" t="str">
        <f t="shared" si="14"/>
        <v/>
      </c>
      <c r="K135" s="35"/>
      <c r="L135" s="153"/>
      <c r="M135" s="149" t="str">
        <f t="shared" si="15"/>
        <v/>
      </c>
    </row>
    <row r="136" spans="1:13" x14ac:dyDescent="0.4">
      <c r="A136" s="191" t="s">
        <v>214</v>
      </c>
      <c r="B136" s="191" t="s">
        <v>17</v>
      </c>
      <c r="C136" s="191">
        <v>2014</v>
      </c>
      <c r="D136" s="42">
        <v>0.19291437242393505</v>
      </c>
      <c r="E136" s="43"/>
      <c r="F136" s="43">
        <f t="shared" si="23"/>
        <v>0.19291437242393505</v>
      </c>
      <c r="G136" s="44">
        <f t="shared" ref="G136:G147" si="26">IF(OR(F134="",F135="",F136=""),"",AVERAGE(F134:F136))</f>
        <v>0.15539842952185004</v>
      </c>
      <c r="H136" s="35">
        <v>0</v>
      </c>
      <c r="I136" s="35">
        <v>0</v>
      </c>
      <c r="J136" s="146" t="str">
        <f t="shared" si="14"/>
        <v/>
      </c>
      <c r="K136" s="35">
        <f t="shared" ref="K136:L147" si="27">IFERROR(IF(OR(H134="",H135="",H136=""),"",AVERAGE(H134:H136)),"")</f>
        <v>0</v>
      </c>
      <c r="L136" s="153">
        <f t="shared" si="27"/>
        <v>0</v>
      </c>
      <c r="M136" s="149" t="str">
        <f t="shared" si="15"/>
        <v/>
      </c>
    </row>
    <row r="137" spans="1:13" x14ac:dyDescent="0.4">
      <c r="A137" s="191" t="s">
        <v>215</v>
      </c>
      <c r="B137" s="191" t="s">
        <v>17</v>
      </c>
      <c r="C137" s="191">
        <v>2015</v>
      </c>
      <c r="D137" s="42">
        <v>-2.3863719918108133E-2</v>
      </c>
      <c r="E137" s="43"/>
      <c r="F137" s="43">
        <f t="shared" si="23"/>
        <v>-2.3863719918108133E-2</v>
      </c>
      <c r="G137" s="44">
        <f t="shared" si="26"/>
        <v>0.15986574249015056</v>
      </c>
      <c r="H137" s="35">
        <v>11</v>
      </c>
      <c r="I137" s="35">
        <v>2</v>
      </c>
      <c r="J137" s="146">
        <f t="shared" ref="J137:J175" si="28">IFERROR(H137/I137,"")</f>
        <v>5.5</v>
      </c>
      <c r="K137" s="35">
        <f t="shared" si="27"/>
        <v>3.6666666666666665</v>
      </c>
      <c r="L137" s="153">
        <f t="shared" si="27"/>
        <v>0.66666666666666663</v>
      </c>
      <c r="M137" s="149">
        <f t="shared" ref="M137:M175" si="29">IFERROR(K137/L137,"")</f>
        <v>5.5</v>
      </c>
    </row>
    <row r="138" spans="1:13" x14ac:dyDescent="0.4">
      <c r="A138" s="191" t="s">
        <v>216</v>
      </c>
      <c r="B138" s="191" t="s">
        <v>17</v>
      </c>
      <c r="C138" s="191">
        <v>2016</v>
      </c>
      <c r="D138" s="42">
        <v>8.6817962945091517E-3</v>
      </c>
      <c r="E138" s="43"/>
      <c r="F138" s="43">
        <f t="shared" si="23"/>
        <v>8.6817962945091517E-3</v>
      </c>
      <c r="G138" s="44">
        <f t="shared" si="26"/>
        <v>5.9244149600112032E-2</v>
      </c>
      <c r="H138" s="35">
        <v>0</v>
      </c>
      <c r="I138" s="35">
        <v>0</v>
      </c>
      <c r="J138" s="146" t="str">
        <f t="shared" si="28"/>
        <v/>
      </c>
      <c r="K138" s="35">
        <f t="shared" si="27"/>
        <v>3.6666666666666665</v>
      </c>
      <c r="L138" s="153">
        <f t="shared" si="27"/>
        <v>0.66666666666666663</v>
      </c>
      <c r="M138" s="149">
        <f t="shared" si="29"/>
        <v>5.5</v>
      </c>
    </row>
    <row r="139" spans="1:13" x14ac:dyDescent="0.4">
      <c r="A139" s="191" t="s">
        <v>217</v>
      </c>
      <c r="B139" s="191" t="s">
        <v>17</v>
      </c>
      <c r="C139" s="191">
        <v>2017</v>
      </c>
      <c r="D139" s="42">
        <v>0.41293280694952811</v>
      </c>
      <c r="E139" s="43"/>
      <c r="F139" s="43">
        <f t="shared" si="23"/>
        <v>0.41293280694952811</v>
      </c>
      <c r="G139" s="44">
        <f t="shared" si="26"/>
        <v>0.13258362777530971</v>
      </c>
      <c r="H139" s="35">
        <v>0</v>
      </c>
      <c r="I139" s="35">
        <v>0</v>
      </c>
      <c r="J139" s="146" t="str">
        <f t="shared" si="28"/>
        <v/>
      </c>
      <c r="K139" s="35">
        <f t="shared" si="27"/>
        <v>3.6666666666666665</v>
      </c>
      <c r="L139" s="153">
        <f t="shared" si="27"/>
        <v>0.66666666666666663</v>
      </c>
      <c r="M139" s="149">
        <f t="shared" si="29"/>
        <v>5.5</v>
      </c>
    </row>
    <row r="140" spans="1:13" x14ac:dyDescent="0.4">
      <c r="A140" s="191" t="s">
        <v>218</v>
      </c>
      <c r="B140" s="191" t="s">
        <v>17</v>
      </c>
      <c r="C140" s="191">
        <v>2018</v>
      </c>
      <c r="D140" s="42">
        <v>0.218</v>
      </c>
      <c r="E140" s="43"/>
      <c r="F140" s="43">
        <f t="shared" si="23"/>
        <v>0.218</v>
      </c>
      <c r="G140" s="44">
        <f t="shared" si="26"/>
        <v>0.21320486774801242</v>
      </c>
      <c r="H140" s="35">
        <v>11</v>
      </c>
      <c r="I140" s="35">
        <v>1</v>
      </c>
      <c r="J140" s="146">
        <f t="shared" si="28"/>
        <v>11</v>
      </c>
      <c r="K140" s="35">
        <f t="shared" si="27"/>
        <v>3.6666666666666665</v>
      </c>
      <c r="L140" s="153">
        <f t="shared" si="27"/>
        <v>0.33333333333333331</v>
      </c>
      <c r="M140" s="149">
        <f t="shared" si="29"/>
        <v>11</v>
      </c>
    </row>
    <row r="141" spans="1:13" x14ac:dyDescent="0.4">
      <c r="A141" s="191" t="s">
        <v>219</v>
      </c>
      <c r="B141" s="191" t="s">
        <v>17</v>
      </c>
      <c r="C141" s="191">
        <v>2019</v>
      </c>
      <c r="D141" s="42">
        <v>0</v>
      </c>
      <c r="E141" s="43"/>
      <c r="F141" s="43">
        <f t="shared" si="23"/>
        <v>0</v>
      </c>
      <c r="G141" s="44">
        <f t="shared" si="26"/>
        <v>0.21031093564984271</v>
      </c>
      <c r="H141" s="35">
        <v>0</v>
      </c>
      <c r="I141" s="35">
        <v>0</v>
      </c>
      <c r="J141" s="146" t="str">
        <f t="shared" si="28"/>
        <v/>
      </c>
      <c r="K141" s="35">
        <f t="shared" si="27"/>
        <v>3.6666666666666665</v>
      </c>
      <c r="L141" s="153">
        <f t="shared" si="27"/>
        <v>0.33333333333333331</v>
      </c>
      <c r="M141" s="149">
        <f t="shared" si="29"/>
        <v>11</v>
      </c>
    </row>
    <row r="142" spans="1:13" x14ac:dyDescent="0.4">
      <c r="A142" s="191" t="s">
        <v>220</v>
      </c>
      <c r="B142" s="191" t="s">
        <v>17</v>
      </c>
      <c r="C142" s="191">
        <v>2020</v>
      </c>
      <c r="D142" s="42">
        <v>-9.5472936865410168E-4</v>
      </c>
      <c r="E142" s="43"/>
      <c r="F142" s="43">
        <f t="shared" si="23"/>
        <v>-9.5472936865410168E-4</v>
      </c>
      <c r="G142" s="44">
        <f t="shared" si="26"/>
        <v>7.2348423543781973E-2</v>
      </c>
      <c r="H142" s="35">
        <v>0</v>
      </c>
      <c r="I142" s="35">
        <v>0</v>
      </c>
      <c r="J142" s="146" t="str">
        <f t="shared" si="28"/>
        <v/>
      </c>
      <c r="K142" s="35">
        <f t="shared" si="27"/>
        <v>3.6666666666666665</v>
      </c>
      <c r="L142" s="153">
        <f t="shared" si="27"/>
        <v>0.33333333333333331</v>
      </c>
      <c r="M142" s="149">
        <f t="shared" si="29"/>
        <v>11</v>
      </c>
    </row>
    <row r="143" spans="1:13" x14ac:dyDescent="0.4">
      <c r="A143" s="191" t="s">
        <v>221</v>
      </c>
      <c r="B143" s="191" t="s">
        <v>17</v>
      </c>
      <c r="C143" s="191">
        <v>2021</v>
      </c>
      <c r="D143" s="42">
        <v>0.192</v>
      </c>
      <c r="E143" s="43">
        <v>0</v>
      </c>
      <c r="F143" s="43">
        <f t="shared" si="23"/>
        <v>0.192</v>
      </c>
      <c r="G143" s="44">
        <f t="shared" si="26"/>
        <v>6.3681756877115303E-2</v>
      </c>
      <c r="H143" s="35">
        <v>5</v>
      </c>
      <c r="I143" s="35">
        <v>1</v>
      </c>
      <c r="J143" s="146">
        <f t="shared" si="28"/>
        <v>5</v>
      </c>
      <c r="K143" s="35">
        <f t="shared" si="27"/>
        <v>1.6666666666666667</v>
      </c>
      <c r="L143" s="153">
        <f t="shared" si="27"/>
        <v>0.33333333333333331</v>
      </c>
      <c r="M143" s="149">
        <f t="shared" si="29"/>
        <v>5.0000000000000009</v>
      </c>
    </row>
    <row r="144" spans="1:13" x14ac:dyDescent="0.4">
      <c r="A144" s="191" t="s">
        <v>222</v>
      </c>
      <c r="B144" s="191" t="s">
        <v>17</v>
      </c>
      <c r="C144" s="191">
        <v>2022</v>
      </c>
      <c r="D144" s="42">
        <v>0.193</v>
      </c>
      <c r="E144" s="43">
        <v>0</v>
      </c>
      <c r="F144" s="43">
        <f t="shared" si="23"/>
        <v>0.193</v>
      </c>
      <c r="G144" s="44">
        <f t="shared" si="26"/>
        <v>0.12801509021044863</v>
      </c>
      <c r="H144" s="35">
        <v>5</v>
      </c>
      <c r="I144" s="35">
        <v>1</v>
      </c>
      <c r="J144" s="146">
        <f t="shared" si="28"/>
        <v>5</v>
      </c>
      <c r="K144" s="35">
        <f t="shared" si="27"/>
        <v>3.3333333333333335</v>
      </c>
      <c r="L144" s="153">
        <f t="shared" si="27"/>
        <v>0.66666666666666663</v>
      </c>
      <c r="M144" s="149">
        <f t="shared" si="29"/>
        <v>5.0000000000000009</v>
      </c>
    </row>
    <row r="145" spans="1:13" x14ac:dyDescent="0.4">
      <c r="A145" s="191" t="s">
        <v>223</v>
      </c>
      <c r="B145" s="191" t="s">
        <v>17</v>
      </c>
      <c r="C145" s="191">
        <v>2023</v>
      </c>
      <c r="D145" s="42">
        <v>0.193</v>
      </c>
      <c r="E145" s="43">
        <v>0</v>
      </c>
      <c r="F145" s="43">
        <f t="shared" si="23"/>
        <v>0.193</v>
      </c>
      <c r="G145" s="44">
        <f t="shared" si="26"/>
        <v>0.19266666666666668</v>
      </c>
      <c r="H145" s="35">
        <v>5</v>
      </c>
      <c r="I145" s="35">
        <v>1</v>
      </c>
      <c r="J145" s="146">
        <f t="shared" si="28"/>
        <v>5</v>
      </c>
      <c r="K145" s="35">
        <f t="shared" si="27"/>
        <v>5</v>
      </c>
      <c r="L145" s="153">
        <f t="shared" si="27"/>
        <v>1</v>
      </c>
      <c r="M145" s="149">
        <f t="shared" si="29"/>
        <v>5</v>
      </c>
    </row>
    <row r="146" spans="1:13" x14ac:dyDescent="0.4">
      <c r="A146" s="191" t="s">
        <v>224</v>
      </c>
      <c r="B146" s="191" t="s">
        <v>17</v>
      </c>
      <c r="C146" s="191">
        <v>2024</v>
      </c>
      <c r="D146" s="42">
        <v>0.19500000000000001</v>
      </c>
      <c r="E146" s="43">
        <v>0</v>
      </c>
      <c r="F146" s="43">
        <f t="shared" si="23"/>
        <v>0.19500000000000001</v>
      </c>
      <c r="G146" s="44">
        <f t="shared" si="26"/>
        <v>0.19366666666666665</v>
      </c>
      <c r="H146" s="35">
        <v>5</v>
      </c>
      <c r="I146" s="35">
        <v>1</v>
      </c>
      <c r="J146" s="146">
        <f t="shared" si="28"/>
        <v>5</v>
      </c>
      <c r="K146" s="35">
        <f t="shared" si="27"/>
        <v>5</v>
      </c>
      <c r="L146" s="153">
        <f t="shared" si="27"/>
        <v>1</v>
      </c>
      <c r="M146" s="149">
        <f t="shared" si="29"/>
        <v>5</v>
      </c>
    </row>
    <row r="147" spans="1:13" x14ac:dyDescent="0.4">
      <c r="A147" s="191" t="s">
        <v>225</v>
      </c>
      <c r="B147" s="191" t="s">
        <v>17</v>
      </c>
      <c r="C147" s="191">
        <v>2025</v>
      </c>
      <c r="D147" s="42">
        <v>0.19500000000000001</v>
      </c>
      <c r="E147" s="43">
        <v>0</v>
      </c>
      <c r="F147" s="43">
        <f t="shared" si="23"/>
        <v>0.19500000000000001</v>
      </c>
      <c r="G147" s="44">
        <f t="shared" si="26"/>
        <v>0.19433333333333333</v>
      </c>
      <c r="H147" s="35">
        <v>5</v>
      </c>
      <c r="I147" s="35">
        <v>1</v>
      </c>
      <c r="J147" s="146">
        <f t="shared" si="28"/>
        <v>5</v>
      </c>
      <c r="K147" s="35">
        <f t="shared" si="27"/>
        <v>5</v>
      </c>
      <c r="L147" s="153">
        <f t="shared" si="27"/>
        <v>1</v>
      </c>
      <c r="M147" s="149">
        <f t="shared" si="29"/>
        <v>5</v>
      </c>
    </row>
    <row r="148" spans="1:13" x14ac:dyDescent="0.4">
      <c r="A148" s="191" t="s">
        <v>226</v>
      </c>
      <c r="B148" s="191" t="s">
        <v>18</v>
      </c>
      <c r="C148" s="191">
        <v>2012</v>
      </c>
      <c r="D148" s="42">
        <v>0</v>
      </c>
      <c r="E148" s="43"/>
      <c r="F148" s="43">
        <f t="shared" ref="F148:F161" si="30">D148+E148</f>
        <v>0</v>
      </c>
      <c r="G148" s="44"/>
      <c r="H148" s="35">
        <v>0</v>
      </c>
      <c r="I148" s="35">
        <v>0</v>
      </c>
      <c r="J148" s="146" t="str">
        <f t="shared" si="28"/>
        <v/>
      </c>
      <c r="K148" s="35"/>
      <c r="L148" s="153"/>
      <c r="M148" s="149" t="str">
        <f t="shared" si="29"/>
        <v/>
      </c>
    </row>
    <row r="149" spans="1:13" x14ac:dyDescent="0.4">
      <c r="A149" s="191" t="s">
        <v>227</v>
      </c>
      <c r="B149" s="191" t="s">
        <v>18</v>
      </c>
      <c r="C149" s="191">
        <v>2013</v>
      </c>
      <c r="D149" s="42">
        <v>0</v>
      </c>
      <c r="E149" s="43"/>
      <c r="F149" s="43">
        <f t="shared" si="30"/>
        <v>0</v>
      </c>
      <c r="G149" s="44"/>
      <c r="H149" s="35">
        <v>0</v>
      </c>
      <c r="I149" s="35">
        <v>0</v>
      </c>
      <c r="J149" s="146" t="str">
        <f t="shared" si="28"/>
        <v/>
      </c>
      <c r="K149" s="35"/>
      <c r="L149" s="153"/>
      <c r="M149" s="149" t="str">
        <f t="shared" si="29"/>
        <v/>
      </c>
    </row>
    <row r="150" spans="1:13" x14ac:dyDescent="0.4">
      <c r="A150" s="191" t="s">
        <v>228</v>
      </c>
      <c r="B150" s="191" t="s">
        <v>18</v>
      </c>
      <c r="C150" s="191">
        <v>2014</v>
      </c>
      <c r="D150" s="42">
        <v>0</v>
      </c>
      <c r="E150" s="43"/>
      <c r="F150" s="43">
        <f t="shared" si="30"/>
        <v>0</v>
      </c>
      <c r="G150" s="44">
        <f t="shared" ref="G150:G161" si="31">IF(OR(F148="",F149="",F150=""),"",AVERAGE(F148:F150))</f>
        <v>0</v>
      </c>
      <c r="H150" s="35">
        <v>0</v>
      </c>
      <c r="I150" s="35">
        <v>0</v>
      </c>
      <c r="J150" s="146" t="str">
        <f t="shared" si="28"/>
        <v/>
      </c>
      <c r="K150" s="35">
        <f t="shared" ref="K150:L161" si="32">IFERROR(IF(OR(H148="",H149="",H150=""),"",AVERAGE(H148:H150)),"")</f>
        <v>0</v>
      </c>
      <c r="L150" s="153">
        <f t="shared" si="32"/>
        <v>0</v>
      </c>
      <c r="M150" s="149" t="str">
        <f t="shared" si="29"/>
        <v/>
      </c>
    </row>
    <row r="151" spans="1:13" x14ac:dyDescent="0.4">
      <c r="A151" s="191" t="s">
        <v>229</v>
      </c>
      <c r="B151" s="191" t="s">
        <v>18</v>
      </c>
      <c r="C151" s="191">
        <v>2015</v>
      </c>
      <c r="D151" s="42">
        <v>0</v>
      </c>
      <c r="E151" s="43"/>
      <c r="F151" s="43">
        <f t="shared" si="30"/>
        <v>0</v>
      </c>
      <c r="G151" s="44">
        <f t="shared" si="31"/>
        <v>0</v>
      </c>
      <c r="H151" s="35">
        <v>0</v>
      </c>
      <c r="I151" s="35">
        <v>0</v>
      </c>
      <c r="J151" s="146" t="str">
        <f t="shared" si="28"/>
        <v/>
      </c>
      <c r="K151" s="35">
        <f t="shared" si="32"/>
        <v>0</v>
      </c>
      <c r="L151" s="153">
        <f t="shared" si="32"/>
        <v>0</v>
      </c>
      <c r="M151" s="149" t="str">
        <f t="shared" si="29"/>
        <v/>
      </c>
    </row>
    <row r="152" spans="1:13" x14ac:dyDescent="0.4">
      <c r="A152" s="191" t="s">
        <v>230</v>
      </c>
      <c r="B152" s="191" t="s">
        <v>18</v>
      </c>
      <c r="C152" s="191">
        <v>2016</v>
      </c>
      <c r="D152" s="42">
        <v>0</v>
      </c>
      <c r="E152" s="43"/>
      <c r="F152" s="43">
        <f t="shared" si="30"/>
        <v>0</v>
      </c>
      <c r="G152" s="44">
        <f t="shared" si="31"/>
        <v>0</v>
      </c>
      <c r="H152" s="35">
        <v>0</v>
      </c>
      <c r="I152" s="35">
        <v>0</v>
      </c>
      <c r="J152" s="146" t="str">
        <f t="shared" si="28"/>
        <v/>
      </c>
      <c r="K152" s="35">
        <f t="shared" si="32"/>
        <v>0</v>
      </c>
      <c r="L152" s="153">
        <f t="shared" si="32"/>
        <v>0</v>
      </c>
      <c r="M152" s="149" t="str">
        <f t="shared" si="29"/>
        <v/>
      </c>
    </row>
    <row r="153" spans="1:13" x14ac:dyDescent="0.4">
      <c r="A153" s="191" t="s">
        <v>231</v>
      </c>
      <c r="B153" s="191" t="s">
        <v>18</v>
      </c>
      <c r="C153" s="191">
        <v>2017</v>
      </c>
      <c r="D153" s="42">
        <v>0</v>
      </c>
      <c r="E153" s="43"/>
      <c r="F153" s="43">
        <f t="shared" si="30"/>
        <v>0</v>
      </c>
      <c r="G153" s="44">
        <f t="shared" si="31"/>
        <v>0</v>
      </c>
      <c r="H153" s="35">
        <v>0</v>
      </c>
      <c r="I153" s="35">
        <v>0</v>
      </c>
      <c r="J153" s="146" t="str">
        <f t="shared" si="28"/>
        <v/>
      </c>
      <c r="K153" s="35">
        <f t="shared" si="32"/>
        <v>0</v>
      </c>
      <c r="L153" s="153">
        <f t="shared" si="32"/>
        <v>0</v>
      </c>
      <c r="M153" s="149" t="str">
        <f t="shared" si="29"/>
        <v/>
      </c>
    </row>
    <row r="154" spans="1:13" x14ac:dyDescent="0.4">
      <c r="A154" s="191" t="s">
        <v>232</v>
      </c>
      <c r="B154" s="191" t="s">
        <v>18</v>
      </c>
      <c r="C154" s="191">
        <v>2018</v>
      </c>
      <c r="D154" s="42">
        <v>1.38</v>
      </c>
      <c r="E154" s="43"/>
      <c r="F154" s="43">
        <f t="shared" si="30"/>
        <v>1.38</v>
      </c>
      <c r="G154" s="44">
        <f t="shared" si="31"/>
        <v>0.45999999999999996</v>
      </c>
      <c r="H154" s="35">
        <v>32</v>
      </c>
      <c r="I154" s="35">
        <v>4</v>
      </c>
      <c r="J154" s="146">
        <f t="shared" si="28"/>
        <v>8</v>
      </c>
      <c r="K154" s="35">
        <f t="shared" si="32"/>
        <v>10.666666666666666</v>
      </c>
      <c r="L154" s="153">
        <f t="shared" si="32"/>
        <v>1.3333333333333333</v>
      </c>
      <c r="M154" s="149">
        <f t="shared" si="29"/>
        <v>8</v>
      </c>
    </row>
    <row r="155" spans="1:13" x14ac:dyDescent="0.4">
      <c r="A155" s="191" t="s">
        <v>233</v>
      </c>
      <c r="B155" s="191" t="s">
        <v>18</v>
      </c>
      <c r="C155" s="191">
        <v>2019</v>
      </c>
      <c r="D155" s="42">
        <v>5.5172320616051183</v>
      </c>
      <c r="E155" s="43"/>
      <c r="F155" s="43">
        <f t="shared" si="30"/>
        <v>5.5172320616051183</v>
      </c>
      <c r="G155" s="44">
        <f t="shared" si="31"/>
        <v>2.2990773538683729</v>
      </c>
      <c r="H155" s="35">
        <v>126</v>
      </c>
      <c r="I155" s="35">
        <v>8</v>
      </c>
      <c r="J155" s="146">
        <f t="shared" si="28"/>
        <v>15.75</v>
      </c>
      <c r="K155" s="35">
        <f t="shared" si="32"/>
        <v>52.666666666666664</v>
      </c>
      <c r="L155" s="153">
        <f t="shared" si="32"/>
        <v>4</v>
      </c>
      <c r="M155" s="149">
        <f t="shared" si="29"/>
        <v>13.166666666666666</v>
      </c>
    </row>
    <row r="156" spans="1:13" x14ac:dyDescent="0.4">
      <c r="A156" s="191" t="s">
        <v>234</v>
      </c>
      <c r="B156" s="191" t="s">
        <v>18</v>
      </c>
      <c r="C156" s="191">
        <v>2020</v>
      </c>
      <c r="D156" s="42">
        <v>4.0994447378510719</v>
      </c>
      <c r="E156" s="43"/>
      <c r="F156" s="43">
        <f t="shared" si="30"/>
        <v>4.0994447378510719</v>
      </c>
      <c r="G156" s="44">
        <f t="shared" si="31"/>
        <v>3.665558933152063</v>
      </c>
      <c r="H156" s="35">
        <v>118</v>
      </c>
      <c r="I156" s="35">
        <v>7</v>
      </c>
      <c r="J156" s="146">
        <f t="shared" si="28"/>
        <v>16.857142857142858</v>
      </c>
      <c r="K156" s="35">
        <f t="shared" si="32"/>
        <v>92</v>
      </c>
      <c r="L156" s="153">
        <f t="shared" si="32"/>
        <v>6.333333333333333</v>
      </c>
      <c r="M156" s="149">
        <f t="shared" si="29"/>
        <v>14.526315789473685</v>
      </c>
    </row>
    <row r="157" spans="1:13" x14ac:dyDescent="0.4">
      <c r="A157" s="191" t="s">
        <v>235</v>
      </c>
      <c r="B157" s="191" t="s">
        <v>18</v>
      </c>
      <c r="C157" s="191">
        <v>2021</v>
      </c>
      <c r="D157" s="42">
        <v>3.3820000000000001</v>
      </c>
      <c r="E157" s="43">
        <v>0</v>
      </c>
      <c r="F157" s="43">
        <f t="shared" si="30"/>
        <v>3.3820000000000001</v>
      </c>
      <c r="G157" s="44">
        <f t="shared" si="31"/>
        <v>4.3328922664853966</v>
      </c>
      <c r="H157" s="35">
        <v>35</v>
      </c>
      <c r="I157" s="35">
        <v>4</v>
      </c>
      <c r="J157" s="146">
        <f t="shared" si="28"/>
        <v>8.75</v>
      </c>
      <c r="K157" s="35">
        <f t="shared" si="32"/>
        <v>93</v>
      </c>
      <c r="L157" s="153">
        <f t="shared" si="32"/>
        <v>6.333333333333333</v>
      </c>
      <c r="M157" s="149">
        <f t="shared" si="29"/>
        <v>14.684210526315789</v>
      </c>
    </row>
    <row r="158" spans="1:13" x14ac:dyDescent="0.4">
      <c r="A158" s="191" t="s">
        <v>236</v>
      </c>
      <c r="B158" s="191" t="s">
        <v>18</v>
      </c>
      <c r="C158" s="191">
        <v>2022</v>
      </c>
      <c r="D158" s="42">
        <v>3.3820000000000001</v>
      </c>
      <c r="E158" s="43">
        <v>0</v>
      </c>
      <c r="F158" s="43">
        <f t="shared" si="30"/>
        <v>3.3820000000000001</v>
      </c>
      <c r="G158" s="44">
        <f t="shared" si="31"/>
        <v>3.6211482459503572</v>
      </c>
      <c r="H158" s="35">
        <v>100</v>
      </c>
      <c r="I158" s="35">
        <v>2</v>
      </c>
      <c r="J158" s="146">
        <f t="shared" si="28"/>
        <v>50</v>
      </c>
      <c r="K158" s="35">
        <f t="shared" si="32"/>
        <v>84.333333333333329</v>
      </c>
      <c r="L158" s="153">
        <f t="shared" si="32"/>
        <v>4.333333333333333</v>
      </c>
      <c r="M158" s="149">
        <f t="shared" si="29"/>
        <v>19.461538461538463</v>
      </c>
    </row>
    <row r="159" spans="1:13" x14ac:dyDescent="0.4">
      <c r="A159" s="191" t="s">
        <v>237</v>
      </c>
      <c r="B159" s="191" t="s">
        <v>18</v>
      </c>
      <c r="C159" s="191">
        <v>2023</v>
      </c>
      <c r="D159" s="42">
        <v>3.3820000000000001</v>
      </c>
      <c r="E159" s="43">
        <v>0</v>
      </c>
      <c r="F159" s="43">
        <f t="shared" si="30"/>
        <v>3.3820000000000001</v>
      </c>
      <c r="G159" s="44">
        <f t="shared" si="31"/>
        <v>3.3820000000000001</v>
      </c>
      <c r="H159" s="35">
        <v>83</v>
      </c>
      <c r="I159" s="35">
        <v>2</v>
      </c>
      <c r="J159" s="146">
        <f t="shared" si="28"/>
        <v>41.5</v>
      </c>
      <c r="K159" s="35">
        <f t="shared" si="32"/>
        <v>72.666666666666671</v>
      </c>
      <c r="L159" s="153">
        <f t="shared" si="32"/>
        <v>2.6666666666666665</v>
      </c>
      <c r="M159" s="149">
        <f t="shared" si="29"/>
        <v>27.250000000000004</v>
      </c>
    </row>
    <row r="160" spans="1:13" x14ac:dyDescent="0.4">
      <c r="A160" s="191" t="s">
        <v>238</v>
      </c>
      <c r="B160" s="191" t="s">
        <v>18</v>
      </c>
      <c r="C160" s="191">
        <v>2024</v>
      </c>
      <c r="D160" s="42">
        <v>3.3820000000000001</v>
      </c>
      <c r="E160" s="43">
        <v>0</v>
      </c>
      <c r="F160" s="43">
        <f t="shared" si="30"/>
        <v>3.3820000000000001</v>
      </c>
      <c r="G160" s="44">
        <f t="shared" si="31"/>
        <v>3.3820000000000001</v>
      </c>
      <c r="H160" s="35">
        <v>40</v>
      </c>
      <c r="I160" s="35">
        <v>4</v>
      </c>
      <c r="J160" s="146">
        <f t="shared" si="28"/>
        <v>10</v>
      </c>
      <c r="K160" s="35">
        <f t="shared" si="32"/>
        <v>74.333333333333329</v>
      </c>
      <c r="L160" s="153">
        <f t="shared" si="32"/>
        <v>2.6666666666666665</v>
      </c>
      <c r="M160" s="149">
        <f t="shared" si="29"/>
        <v>27.875</v>
      </c>
    </row>
    <row r="161" spans="1:13" x14ac:dyDescent="0.4">
      <c r="A161" s="191" t="s">
        <v>239</v>
      </c>
      <c r="B161" s="191" t="s">
        <v>18</v>
      </c>
      <c r="C161" s="191">
        <v>2025</v>
      </c>
      <c r="D161" s="42">
        <v>3.3820000000000001</v>
      </c>
      <c r="E161" s="43">
        <v>0</v>
      </c>
      <c r="F161" s="43">
        <f t="shared" si="30"/>
        <v>3.3820000000000001</v>
      </c>
      <c r="G161" s="44">
        <f t="shared" si="31"/>
        <v>3.3820000000000001</v>
      </c>
      <c r="H161" s="35">
        <v>35</v>
      </c>
      <c r="I161" s="35">
        <v>4</v>
      </c>
      <c r="J161" s="146">
        <f t="shared" si="28"/>
        <v>8.75</v>
      </c>
      <c r="K161" s="35">
        <f t="shared" si="32"/>
        <v>52.666666666666664</v>
      </c>
      <c r="L161" s="153">
        <f t="shared" si="32"/>
        <v>3.3333333333333335</v>
      </c>
      <c r="M161" s="149">
        <f t="shared" si="29"/>
        <v>15.799999999999999</v>
      </c>
    </row>
    <row r="162" spans="1:13" x14ac:dyDescent="0.4">
      <c r="A162" s="191" t="s">
        <v>240</v>
      </c>
      <c r="B162" s="191" t="s">
        <v>19</v>
      </c>
      <c r="C162" s="191">
        <v>2012</v>
      </c>
      <c r="D162" s="42">
        <v>0</v>
      </c>
      <c r="E162" s="43"/>
      <c r="F162" s="43">
        <f t="shared" ref="F162:F175" si="33">D162+E162</f>
        <v>0</v>
      </c>
      <c r="G162" s="44"/>
      <c r="H162" s="35">
        <v>0</v>
      </c>
      <c r="I162" s="35">
        <v>0</v>
      </c>
      <c r="J162" s="146" t="str">
        <f t="shared" si="28"/>
        <v/>
      </c>
      <c r="K162" s="35"/>
      <c r="L162" s="153"/>
      <c r="M162" s="149" t="str">
        <f t="shared" si="29"/>
        <v/>
      </c>
    </row>
    <row r="163" spans="1:13" x14ac:dyDescent="0.4">
      <c r="A163" s="191" t="s">
        <v>241</v>
      </c>
      <c r="B163" s="191" t="s">
        <v>19</v>
      </c>
      <c r="C163" s="191">
        <v>2013</v>
      </c>
      <c r="D163" s="42">
        <v>0</v>
      </c>
      <c r="E163" s="43"/>
      <c r="F163" s="43">
        <f t="shared" si="33"/>
        <v>0</v>
      </c>
      <c r="G163" s="44"/>
      <c r="H163" s="35">
        <v>0</v>
      </c>
      <c r="I163" s="35">
        <v>0</v>
      </c>
      <c r="J163" s="146" t="str">
        <f t="shared" si="28"/>
        <v/>
      </c>
      <c r="K163" s="35"/>
      <c r="L163" s="153"/>
      <c r="M163" s="149" t="str">
        <f t="shared" si="29"/>
        <v/>
      </c>
    </row>
    <row r="164" spans="1:13" x14ac:dyDescent="0.4">
      <c r="A164" s="191" t="s">
        <v>242</v>
      </c>
      <c r="B164" s="191" t="s">
        <v>19</v>
      </c>
      <c r="C164" s="191">
        <v>2014</v>
      </c>
      <c r="D164" s="42">
        <v>0</v>
      </c>
      <c r="E164" s="43"/>
      <c r="F164" s="43">
        <f t="shared" si="33"/>
        <v>0</v>
      </c>
      <c r="G164" s="44">
        <f t="shared" ref="G164:G175" si="34">IF(OR(F162="",F163="",F164=""),"",AVERAGE(F162:F164))</f>
        <v>0</v>
      </c>
      <c r="H164" s="35">
        <v>0</v>
      </c>
      <c r="I164" s="35">
        <v>0</v>
      </c>
      <c r="J164" s="146" t="str">
        <f t="shared" si="28"/>
        <v/>
      </c>
      <c r="K164" s="35">
        <f t="shared" ref="K164:L175" si="35">IFERROR(IF(OR(H162="",H163="",H164=""),"",AVERAGE(H162:H164)),"")</f>
        <v>0</v>
      </c>
      <c r="L164" s="153">
        <f t="shared" si="35"/>
        <v>0</v>
      </c>
      <c r="M164" s="149" t="str">
        <f t="shared" si="29"/>
        <v/>
      </c>
    </row>
    <row r="165" spans="1:13" x14ac:dyDescent="0.4">
      <c r="A165" s="191" t="s">
        <v>243</v>
      </c>
      <c r="B165" s="191" t="s">
        <v>19</v>
      </c>
      <c r="C165" s="191">
        <v>2015</v>
      </c>
      <c r="D165" s="42">
        <v>0</v>
      </c>
      <c r="E165" s="43"/>
      <c r="F165" s="43">
        <f t="shared" si="33"/>
        <v>0</v>
      </c>
      <c r="G165" s="44">
        <f t="shared" si="34"/>
        <v>0</v>
      </c>
      <c r="H165" s="35">
        <v>0</v>
      </c>
      <c r="I165" s="35">
        <v>0</v>
      </c>
      <c r="J165" s="146" t="str">
        <f t="shared" si="28"/>
        <v/>
      </c>
      <c r="K165" s="35">
        <f t="shared" si="35"/>
        <v>0</v>
      </c>
      <c r="L165" s="153">
        <f t="shared" si="35"/>
        <v>0</v>
      </c>
      <c r="M165" s="149" t="str">
        <f t="shared" si="29"/>
        <v/>
      </c>
    </row>
    <row r="166" spans="1:13" x14ac:dyDescent="0.4">
      <c r="A166" s="191" t="s">
        <v>244</v>
      </c>
      <c r="B166" s="191" t="s">
        <v>19</v>
      </c>
      <c r="C166" s="191">
        <v>2016</v>
      </c>
      <c r="D166" s="42">
        <v>0</v>
      </c>
      <c r="E166" s="43"/>
      <c r="F166" s="43">
        <f t="shared" si="33"/>
        <v>0</v>
      </c>
      <c r="G166" s="44">
        <f t="shared" si="34"/>
        <v>0</v>
      </c>
      <c r="H166" s="35">
        <v>0</v>
      </c>
      <c r="I166" s="35">
        <v>0</v>
      </c>
      <c r="J166" s="146" t="str">
        <f t="shared" si="28"/>
        <v/>
      </c>
      <c r="K166" s="35">
        <f t="shared" si="35"/>
        <v>0</v>
      </c>
      <c r="L166" s="153">
        <f t="shared" si="35"/>
        <v>0</v>
      </c>
      <c r="M166" s="149" t="str">
        <f t="shared" si="29"/>
        <v/>
      </c>
    </row>
    <row r="167" spans="1:13" x14ac:dyDescent="0.4">
      <c r="A167" s="191" t="s">
        <v>245</v>
      </c>
      <c r="B167" s="191" t="s">
        <v>19</v>
      </c>
      <c r="C167" s="191">
        <v>2017</v>
      </c>
      <c r="D167" s="42">
        <v>0</v>
      </c>
      <c r="E167" s="43"/>
      <c r="F167" s="43">
        <f t="shared" si="33"/>
        <v>0</v>
      </c>
      <c r="G167" s="44">
        <f t="shared" si="34"/>
        <v>0</v>
      </c>
      <c r="H167" s="35">
        <v>0</v>
      </c>
      <c r="I167" s="35">
        <v>0</v>
      </c>
      <c r="J167" s="146" t="str">
        <f t="shared" si="28"/>
        <v/>
      </c>
      <c r="K167" s="35">
        <f t="shared" si="35"/>
        <v>0</v>
      </c>
      <c r="L167" s="153">
        <f t="shared" si="35"/>
        <v>0</v>
      </c>
      <c r="M167" s="149" t="str">
        <f t="shared" si="29"/>
        <v/>
      </c>
    </row>
    <row r="168" spans="1:13" x14ac:dyDescent="0.4">
      <c r="A168" s="191" t="s">
        <v>246</v>
      </c>
      <c r="B168" s="191" t="s">
        <v>19</v>
      </c>
      <c r="C168" s="191">
        <v>2018</v>
      </c>
      <c r="D168" s="42">
        <v>0</v>
      </c>
      <c r="E168" s="43"/>
      <c r="F168" s="43">
        <f t="shared" si="33"/>
        <v>0</v>
      </c>
      <c r="G168" s="44">
        <f t="shared" si="34"/>
        <v>0</v>
      </c>
      <c r="H168" s="35">
        <v>0</v>
      </c>
      <c r="I168" s="35">
        <v>0</v>
      </c>
      <c r="J168" s="146" t="str">
        <f t="shared" si="28"/>
        <v/>
      </c>
      <c r="K168" s="35">
        <f t="shared" si="35"/>
        <v>0</v>
      </c>
      <c r="L168" s="153">
        <f t="shared" si="35"/>
        <v>0</v>
      </c>
      <c r="M168" s="149" t="str">
        <f t="shared" si="29"/>
        <v/>
      </c>
    </row>
    <row r="169" spans="1:13" x14ac:dyDescent="0.4">
      <c r="A169" s="191" t="s">
        <v>247</v>
      </c>
      <c r="B169" s="191" t="s">
        <v>19</v>
      </c>
      <c r="C169" s="191">
        <v>2019</v>
      </c>
      <c r="D169" s="42">
        <v>0</v>
      </c>
      <c r="E169" s="43"/>
      <c r="F169" s="43">
        <f t="shared" si="33"/>
        <v>0</v>
      </c>
      <c r="G169" s="44">
        <f t="shared" si="34"/>
        <v>0</v>
      </c>
      <c r="H169" s="35">
        <v>0</v>
      </c>
      <c r="I169" s="35">
        <v>0</v>
      </c>
      <c r="J169" s="146" t="str">
        <f t="shared" si="28"/>
        <v/>
      </c>
      <c r="K169" s="35">
        <f t="shared" si="35"/>
        <v>0</v>
      </c>
      <c r="L169" s="153">
        <f t="shared" si="35"/>
        <v>0</v>
      </c>
      <c r="M169" s="149" t="str">
        <f t="shared" si="29"/>
        <v/>
      </c>
    </row>
    <row r="170" spans="1:13" x14ac:dyDescent="0.4">
      <c r="A170" s="191" t="s">
        <v>248</v>
      </c>
      <c r="B170" s="191" t="s">
        <v>19</v>
      </c>
      <c r="C170" s="191">
        <v>2020</v>
      </c>
      <c r="D170" s="42">
        <v>0</v>
      </c>
      <c r="E170" s="43"/>
      <c r="F170" s="43">
        <f t="shared" si="33"/>
        <v>0</v>
      </c>
      <c r="G170" s="44">
        <f t="shared" si="34"/>
        <v>0</v>
      </c>
      <c r="H170" s="35">
        <v>0</v>
      </c>
      <c r="I170" s="35">
        <v>0</v>
      </c>
      <c r="J170" s="146" t="str">
        <f t="shared" si="28"/>
        <v/>
      </c>
      <c r="K170" s="35">
        <f t="shared" si="35"/>
        <v>0</v>
      </c>
      <c r="L170" s="153">
        <f t="shared" si="35"/>
        <v>0</v>
      </c>
      <c r="M170" s="149" t="str">
        <f t="shared" si="29"/>
        <v/>
      </c>
    </row>
    <row r="171" spans="1:13" x14ac:dyDescent="0.4">
      <c r="A171" s="191" t="s">
        <v>249</v>
      </c>
      <c r="B171" s="191" t="s">
        <v>19</v>
      </c>
      <c r="C171" s="191">
        <v>2021</v>
      </c>
      <c r="D171" s="42">
        <v>5.4885999999999997E-4</v>
      </c>
      <c r="E171" s="43">
        <v>0</v>
      </c>
      <c r="F171" s="43">
        <f t="shared" si="33"/>
        <v>5.4885999999999997E-4</v>
      </c>
      <c r="G171" s="44">
        <f t="shared" si="34"/>
        <v>1.8295333333333332E-4</v>
      </c>
      <c r="H171" s="35">
        <v>0</v>
      </c>
      <c r="I171" s="35">
        <v>0</v>
      </c>
      <c r="J171" s="146" t="str">
        <f t="shared" si="28"/>
        <v/>
      </c>
      <c r="K171" s="35">
        <f t="shared" si="35"/>
        <v>0</v>
      </c>
      <c r="L171" s="153">
        <f t="shared" si="35"/>
        <v>0</v>
      </c>
      <c r="M171" s="149" t="str">
        <f t="shared" si="29"/>
        <v/>
      </c>
    </row>
    <row r="172" spans="1:13" x14ac:dyDescent="0.4">
      <c r="A172" s="191" t="s">
        <v>250</v>
      </c>
      <c r="B172" s="191" t="s">
        <v>19</v>
      </c>
      <c r="C172" s="191">
        <v>2022</v>
      </c>
      <c r="D172" s="42">
        <v>5.4885999999999997E-4</v>
      </c>
      <c r="E172" s="43">
        <v>0</v>
      </c>
      <c r="F172" s="43">
        <f t="shared" si="33"/>
        <v>5.4885999999999997E-4</v>
      </c>
      <c r="G172" s="44">
        <f t="shared" si="34"/>
        <v>3.6590666666666663E-4</v>
      </c>
      <c r="H172" s="35">
        <v>0</v>
      </c>
      <c r="I172" s="35">
        <v>0</v>
      </c>
      <c r="J172" s="146" t="str">
        <f t="shared" si="28"/>
        <v/>
      </c>
      <c r="K172" s="35">
        <f t="shared" si="35"/>
        <v>0</v>
      </c>
      <c r="L172" s="153">
        <f t="shared" si="35"/>
        <v>0</v>
      </c>
      <c r="M172" s="149" t="str">
        <f t="shared" si="29"/>
        <v/>
      </c>
    </row>
    <row r="173" spans="1:13" x14ac:dyDescent="0.4">
      <c r="A173" s="191" t="s">
        <v>251</v>
      </c>
      <c r="B173" s="191" t="s">
        <v>19</v>
      </c>
      <c r="C173" s="191">
        <v>2023</v>
      </c>
      <c r="D173" s="42">
        <v>5.4885999999999997E-4</v>
      </c>
      <c r="E173" s="43">
        <v>0</v>
      </c>
      <c r="F173" s="43">
        <f t="shared" si="33"/>
        <v>5.4885999999999997E-4</v>
      </c>
      <c r="G173" s="44">
        <f t="shared" si="34"/>
        <v>5.4885999999999997E-4</v>
      </c>
      <c r="H173" s="35">
        <v>0</v>
      </c>
      <c r="I173" s="35">
        <v>0</v>
      </c>
      <c r="J173" s="146" t="str">
        <f t="shared" si="28"/>
        <v/>
      </c>
      <c r="K173" s="35">
        <f t="shared" si="35"/>
        <v>0</v>
      </c>
      <c r="L173" s="153">
        <f t="shared" si="35"/>
        <v>0</v>
      </c>
      <c r="M173" s="149" t="str">
        <f t="shared" si="29"/>
        <v/>
      </c>
    </row>
    <row r="174" spans="1:13" x14ac:dyDescent="0.4">
      <c r="A174" s="191" t="s">
        <v>252</v>
      </c>
      <c r="B174" s="191" t="s">
        <v>19</v>
      </c>
      <c r="C174" s="191">
        <v>2024</v>
      </c>
      <c r="D174" s="42">
        <v>5.4885999999999997E-4</v>
      </c>
      <c r="E174" s="43">
        <v>0</v>
      </c>
      <c r="F174" s="43">
        <f t="shared" si="33"/>
        <v>5.4885999999999997E-4</v>
      </c>
      <c r="G174" s="44">
        <f t="shared" si="34"/>
        <v>5.4885999999999997E-4</v>
      </c>
      <c r="H174" s="35">
        <v>0</v>
      </c>
      <c r="I174" s="35">
        <v>0</v>
      </c>
      <c r="J174" s="146" t="str">
        <f t="shared" si="28"/>
        <v/>
      </c>
      <c r="K174" s="35">
        <f t="shared" si="35"/>
        <v>0</v>
      </c>
      <c r="L174" s="153">
        <f t="shared" si="35"/>
        <v>0</v>
      </c>
      <c r="M174" s="149" t="str">
        <f t="shared" si="29"/>
        <v/>
      </c>
    </row>
    <row r="175" spans="1:13" x14ac:dyDescent="0.4">
      <c r="A175" s="191" t="s">
        <v>253</v>
      </c>
      <c r="B175" s="191" t="s">
        <v>19</v>
      </c>
      <c r="C175" s="191">
        <v>2025</v>
      </c>
      <c r="D175" s="42">
        <v>5.4885999999999997E-4</v>
      </c>
      <c r="E175" s="43">
        <v>0</v>
      </c>
      <c r="F175" s="43">
        <f t="shared" si="33"/>
        <v>5.4885999999999997E-4</v>
      </c>
      <c r="G175" s="44">
        <f t="shared" si="34"/>
        <v>5.4885999999999997E-4</v>
      </c>
      <c r="H175" s="35">
        <v>0</v>
      </c>
      <c r="I175" s="35">
        <v>0</v>
      </c>
      <c r="J175" s="146" t="str">
        <f t="shared" si="28"/>
        <v/>
      </c>
      <c r="K175" s="35">
        <f t="shared" si="35"/>
        <v>0</v>
      </c>
      <c r="L175" s="153">
        <f t="shared" si="35"/>
        <v>0</v>
      </c>
      <c r="M175" s="149" t="str">
        <f t="shared" si="29"/>
        <v/>
      </c>
    </row>
  </sheetData>
  <conditionalFormatting sqref="H148">
    <cfRule type="cellIs" dxfId="14" priority="2" operator="equal">
      <formula>TRUE</formula>
    </cfRule>
  </conditionalFormatting>
  <conditionalFormatting sqref="E148">
    <cfRule type="cellIs" dxfId="13" priority="1" operator="equal">
      <formula>TRUE</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E12"/>
  <sheetViews>
    <sheetView showGridLines="0" workbookViewId="0"/>
  </sheetViews>
  <sheetFormatPr defaultColWidth="9" defaultRowHeight="13.15" x14ac:dyDescent="0.4"/>
  <cols>
    <col min="1" max="1" width="2.125" style="36" customWidth="1"/>
    <col min="2" max="2" width="27.25" style="36" customWidth="1"/>
    <col min="3" max="3" width="37.25" style="36" bestFit="1" customWidth="1"/>
    <col min="4" max="4" width="25.125" style="36" customWidth="1"/>
    <col min="5" max="5" width="21.5" style="36" customWidth="1"/>
    <col min="6" max="16384" width="9" style="36"/>
  </cols>
  <sheetData>
    <row r="1" spans="2:5" ht="15.75" x14ac:dyDescent="0.5">
      <c r="B1" s="41" t="s">
        <v>25</v>
      </c>
    </row>
    <row r="3" spans="2:5" x14ac:dyDescent="0.4">
      <c r="B3" s="38" t="s">
        <v>270</v>
      </c>
    </row>
    <row r="4" spans="2:5" ht="27" customHeight="1" x14ac:dyDescent="0.4">
      <c r="C4" s="40"/>
      <c r="D4" s="228" t="s">
        <v>315</v>
      </c>
      <c r="E4" s="229"/>
    </row>
    <row r="5" spans="2:5" x14ac:dyDescent="0.4">
      <c r="C5" s="40"/>
      <c r="D5" s="40"/>
      <c r="E5" s="40"/>
    </row>
    <row r="6" spans="2:5" x14ac:dyDescent="0.4">
      <c r="B6" s="39"/>
      <c r="C6" s="38"/>
      <c r="D6" s="37" t="s">
        <v>291</v>
      </c>
      <c r="E6" s="37"/>
    </row>
    <row r="7" spans="2:5" x14ac:dyDescent="0.4">
      <c r="D7" s="179" t="s">
        <v>292</v>
      </c>
      <c r="E7" s="163" t="s">
        <v>24</v>
      </c>
    </row>
    <row r="8" spans="2:5" x14ac:dyDescent="0.4">
      <c r="D8" s="154" t="s">
        <v>288</v>
      </c>
      <c r="E8" s="154" t="s">
        <v>289</v>
      </c>
    </row>
    <row r="9" spans="2:5" x14ac:dyDescent="0.4">
      <c r="B9" s="155" t="s">
        <v>2</v>
      </c>
      <c r="C9" s="155" t="s">
        <v>3</v>
      </c>
      <c r="D9" s="45" t="s">
        <v>260</v>
      </c>
      <c r="E9" s="45" t="s">
        <v>260</v>
      </c>
    </row>
    <row r="10" spans="2:5" ht="29.25" customHeight="1" x14ac:dyDescent="0.4">
      <c r="B10" s="156" t="s">
        <v>281</v>
      </c>
      <c r="C10" s="157" t="s">
        <v>271</v>
      </c>
      <c r="D10" s="158">
        <v>3.3968600000000002E-2</v>
      </c>
      <c r="E10" s="158">
        <v>4.1574699999999999E-2</v>
      </c>
    </row>
    <row r="11" spans="2:5" ht="29.25" customHeight="1" x14ac:dyDescent="0.4">
      <c r="B11" s="156" t="s">
        <v>290</v>
      </c>
      <c r="C11" s="157" t="s">
        <v>287</v>
      </c>
      <c r="D11" s="183">
        <v>-2.1399999999999998E-5</v>
      </c>
      <c r="E11" s="183">
        <v>-4.2700000000000001E-5</v>
      </c>
    </row>
    <row r="12" spans="2:5" ht="27.75" customHeight="1" x14ac:dyDescent="0.4">
      <c r="B12" s="156" t="s">
        <v>293</v>
      </c>
      <c r="C12" s="157" t="s">
        <v>294</v>
      </c>
      <c r="D12" s="158">
        <v>0.40315250000000002</v>
      </c>
      <c r="E12" s="158">
        <v>0.4399034</v>
      </c>
    </row>
  </sheetData>
  <mergeCells count="1">
    <mergeCell ref="D4:E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T43"/>
  <sheetViews>
    <sheetView showGridLines="0" zoomScale="98" zoomScaleNormal="98" workbookViewId="0"/>
  </sheetViews>
  <sheetFormatPr defaultColWidth="9" defaultRowHeight="14.25" x14ac:dyDescent="0.45"/>
  <cols>
    <col min="1" max="1" width="20.875" style="66" customWidth="1"/>
    <col min="2" max="22" width="10.625" style="66" bestFit="1" customWidth="1"/>
    <col min="23" max="23" width="11.625" style="66" customWidth="1"/>
    <col min="24" max="24" width="9" style="66" bestFit="1" customWidth="1"/>
    <col min="25" max="25" width="10.625" style="66" customWidth="1"/>
    <col min="26" max="29" width="9" style="66" bestFit="1" customWidth="1"/>
    <col min="30" max="30" width="9" style="66"/>
    <col min="31" max="31" width="15.375" style="66" customWidth="1"/>
    <col min="32" max="32" width="15.5" style="66" customWidth="1"/>
    <col min="33" max="34" width="9" style="66"/>
    <col min="45" max="16384" width="9" style="66"/>
  </cols>
  <sheetData>
    <row r="1" spans="1:46" ht="21" thickTop="1" x14ac:dyDescent="0.45">
      <c r="A1" s="63" t="s">
        <v>323</v>
      </c>
      <c r="B1" s="64"/>
      <c r="C1" s="65"/>
      <c r="D1" s="65"/>
      <c r="E1" s="65"/>
      <c r="F1" s="65"/>
      <c r="G1" s="65"/>
      <c r="H1" s="65"/>
      <c r="I1" s="65"/>
      <c r="J1" s="65"/>
      <c r="K1" s="65"/>
      <c r="L1" s="65"/>
      <c r="M1" s="65"/>
      <c r="N1" s="65"/>
      <c r="O1" s="65"/>
      <c r="P1" s="65"/>
      <c r="Q1" s="65"/>
      <c r="R1" s="65"/>
      <c r="S1" s="65"/>
      <c r="T1" s="65"/>
      <c r="U1" s="65"/>
      <c r="V1" s="65"/>
      <c r="W1" s="65"/>
      <c r="X1" s="65"/>
      <c r="Y1" s="65"/>
      <c r="Z1" s="65"/>
      <c r="AA1" s="65"/>
      <c r="AB1" s="65"/>
      <c r="AC1" s="65"/>
    </row>
    <row r="2" spans="1:46" x14ac:dyDescent="0.45">
      <c r="B2" s="67"/>
      <c r="C2" s="68"/>
      <c r="D2" s="68"/>
      <c r="E2" s="68"/>
      <c r="F2" s="68"/>
      <c r="G2" s="68"/>
      <c r="H2" s="68"/>
      <c r="I2" s="68"/>
      <c r="J2" s="68"/>
      <c r="K2" s="68"/>
      <c r="L2" s="68"/>
      <c r="M2" s="68"/>
      <c r="N2" s="68"/>
      <c r="O2" s="68"/>
      <c r="P2" s="68"/>
      <c r="Q2" s="68"/>
      <c r="R2" s="68"/>
      <c r="S2" s="68"/>
      <c r="T2" s="68"/>
      <c r="U2" s="68"/>
      <c r="V2" s="68"/>
      <c r="W2" s="68"/>
      <c r="X2" s="68"/>
      <c r="Y2" s="68"/>
      <c r="Z2" s="68"/>
      <c r="AA2" s="68"/>
    </row>
    <row r="3" spans="1:46" x14ac:dyDescent="0.45">
      <c r="C3" s="68"/>
      <c r="D3" s="68"/>
      <c r="E3" s="68"/>
      <c r="F3" s="68"/>
      <c r="G3" s="68"/>
      <c r="H3" s="68"/>
      <c r="I3" s="68"/>
      <c r="J3" s="68"/>
      <c r="K3" s="68"/>
      <c r="L3" s="68"/>
      <c r="M3" s="68"/>
      <c r="N3" s="68"/>
      <c r="O3" s="68"/>
      <c r="P3" s="68"/>
      <c r="Q3" s="68"/>
      <c r="R3" s="68"/>
      <c r="S3" s="68"/>
      <c r="T3" s="68"/>
      <c r="U3" s="68"/>
      <c r="V3" s="68"/>
      <c r="W3" s="68"/>
      <c r="X3" s="68"/>
      <c r="Y3" s="68"/>
      <c r="Z3" s="68"/>
      <c r="AA3" s="68"/>
    </row>
    <row r="4" spans="1:46" ht="17.649999999999999" x14ac:dyDescent="0.5">
      <c r="A4" s="91" t="s">
        <v>257</v>
      </c>
      <c r="B4" s="92"/>
      <c r="C4" s="93"/>
      <c r="D4" s="93"/>
      <c r="E4" s="93"/>
      <c r="F4" s="93"/>
      <c r="G4" s="93"/>
      <c r="H4" s="93"/>
      <c r="I4" s="93"/>
      <c r="J4" s="93"/>
      <c r="K4" s="93"/>
      <c r="L4" s="93"/>
      <c r="M4" s="93"/>
      <c r="N4" s="93"/>
      <c r="O4" s="93"/>
      <c r="P4" s="93"/>
      <c r="Q4" s="93"/>
      <c r="R4" s="93"/>
      <c r="S4" s="93"/>
      <c r="T4" s="93"/>
      <c r="U4" s="93"/>
      <c r="V4" s="93"/>
      <c r="W4" s="93"/>
      <c r="X4" s="93"/>
      <c r="Y4" s="93"/>
      <c r="Z4" s="93"/>
      <c r="AA4" s="93"/>
      <c r="AB4" s="93"/>
      <c r="AC4" s="93"/>
    </row>
    <row r="5" spans="1:46" x14ac:dyDescent="0.45">
      <c r="A5" s="94" t="s">
        <v>255</v>
      </c>
      <c r="B5" s="95"/>
      <c r="C5" s="68"/>
      <c r="D5" s="68"/>
      <c r="E5" s="68"/>
      <c r="F5" s="68"/>
      <c r="G5" s="68"/>
      <c r="H5" s="68"/>
      <c r="I5" s="68"/>
      <c r="J5" s="68"/>
      <c r="K5" s="68"/>
      <c r="L5" s="68"/>
      <c r="M5" s="68"/>
      <c r="N5" s="68"/>
      <c r="O5" s="68"/>
      <c r="P5" s="68"/>
      <c r="Q5" s="68"/>
      <c r="R5" s="68"/>
      <c r="S5" s="68"/>
      <c r="T5" s="68"/>
      <c r="U5" s="68"/>
      <c r="V5" s="68"/>
      <c r="W5" s="68"/>
      <c r="X5" s="68"/>
      <c r="Y5" s="68"/>
      <c r="Z5" s="68"/>
      <c r="AA5" s="68"/>
    </row>
    <row r="6" spans="1:46" ht="15.75" x14ac:dyDescent="0.5">
      <c r="A6" s="96"/>
      <c r="B6" s="96"/>
      <c r="C6" s="68"/>
      <c r="D6" s="97"/>
      <c r="E6" s="97"/>
      <c r="F6" s="97"/>
      <c r="G6" s="97"/>
      <c r="H6" s="97"/>
      <c r="I6" s="113"/>
      <c r="J6" s="114"/>
      <c r="K6" s="115"/>
      <c r="L6" s="116"/>
      <c r="M6" s="97"/>
      <c r="N6" s="97"/>
      <c r="O6" s="97"/>
      <c r="P6" s="97"/>
      <c r="Q6" s="97"/>
      <c r="R6" s="68"/>
      <c r="S6" s="68"/>
      <c r="T6" s="68"/>
      <c r="U6" s="68"/>
      <c r="V6" s="68"/>
      <c r="W6" s="68"/>
      <c r="X6" s="68"/>
      <c r="Y6" s="68"/>
      <c r="Z6" s="68"/>
      <c r="AE6" s="117"/>
      <c r="AF6" s="117"/>
      <c r="AG6" s="117"/>
    </row>
    <row r="7" spans="1:46" x14ac:dyDescent="0.45">
      <c r="A7" s="67"/>
      <c r="B7" s="98" t="s">
        <v>23</v>
      </c>
      <c r="C7" s="69"/>
      <c r="D7" s="69"/>
      <c r="E7" s="69"/>
      <c r="F7" s="69"/>
      <c r="G7" s="69"/>
      <c r="H7" s="70"/>
      <c r="I7" s="99" t="s">
        <v>60</v>
      </c>
      <c r="J7" s="100"/>
      <c r="K7" s="100"/>
      <c r="L7" s="100"/>
      <c r="M7" s="100"/>
      <c r="N7" s="100"/>
      <c r="O7" s="101"/>
      <c r="P7" s="102" t="s">
        <v>77</v>
      </c>
      <c r="Q7" s="71"/>
      <c r="R7" s="71"/>
      <c r="S7" s="71"/>
      <c r="T7" s="71"/>
      <c r="U7" s="71"/>
      <c r="V7" s="72"/>
      <c r="W7" s="73" t="s">
        <v>61</v>
      </c>
      <c r="X7" s="74"/>
      <c r="Y7" s="74"/>
      <c r="Z7" s="74"/>
      <c r="AA7" s="74"/>
      <c r="AB7" s="74"/>
      <c r="AC7" s="75"/>
      <c r="AD7" s="103"/>
      <c r="AE7" s="117"/>
      <c r="AF7" s="117"/>
      <c r="AG7" s="117"/>
    </row>
    <row r="8" spans="1:46" ht="14.85" customHeight="1" x14ac:dyDescent="0.45">
      <c r="A8" s="104"/>
      <c r="B8" s="76" t="s">
        <v>62</v>
      </c>
      <c r="C8" s="76" t="s">
        <v>63</v>
      </c>
      <c r="D8" s="76" t="s">
        <v>64</v>
      </c>
      <c r="E8" s="76" t="s">
        <v>65</v>
      </c>
      <c r="F8" s="76" t="s">
        <v>66</v>
      </c>
      <c r="G8" s="76" t="s">
        <v>67</v>
      </c>
      <c r="H8" s="76" t="s">
        <v>68</v>
      </c>
      <c r="I8" s="77" t="s">
        <v>69</v>
      </c>
      <c r="J8" s="77" t="s">
        <v>70</v>
      </c>
      <c r="K8" s="77" t="s">
        <v>71</v>
      </c>
      <c r="L8" s="77" t="s">
        <v>72</v>
      </c>
      <c r="M8" s="77" t="s">
        <v>73</v>
      </c>
      <c r="N8" s="77" t="s">
        <v>74</v>
      </c>
      <c r="O8" s="77" t="s">
        <v>75</v>
      </c>
      <c r="P8" s="78" t="s">
        <v>69</v>
      </c>
      <c r="Q8" s="78" t="s">
        <v>70</v>
      </c>
      <c r="R8" s="78" t="s">
        <v>71</v>
      </c>
      <c r="S8" s="78" t="s">
        <v>72</v>
      </c>
      <c r="T8" s="78" t="s">
        <v>73</v>
      </c>
      <c r="U8" s="78" t="s">
        <v>74</v>
      </c>
      <c r="V8" s="78" t="s">
        <v>75</v>
      </c>
      <c r="W8" s="79" t="s">
        <v>69</v>
      </c>
      <c r="X8" s="79" t="s">
        <v>70</v>
      </c>
      <c r="Y8" s="79" t="s">
        <v>71</v>
      </c>
      <c r="Z8" s="79" t="s">
        <v>72</v>
      </c>
      <c r="AA8" s="79" t="s">
        <v>73</v>
      </c>
      <c r="AB8" s="79" t="s">
        <v>74</v>
      </c>
      <c r="AC8" s="79" t="s">
        <v>75</v>
      </c>
      <c r="AD8" s="103"/>
      <c r="AE8" s="236" t="s">
        <v>78</v>
      </c>
      <c r="AF8" s="236" t="s">
        <v>79</v>
      </c>
      <c r="AG8" s="236" t="s">
        <v>80</v>
      </c>
      <c r="AI8" s="203" t="s">
        <v>300</v>
      </c>
      <c r="AJ8" s="204"/>
      <c r="AK8" s="204"/>
      <c r="AL8" s="204"/>
      <c r="AM8" s="204"/>
      <c r="AN8" s="204"/>
      <c r="AO8" s="204"/>
      <c r="AP8" s="204"/>
      <c r="AQ8" s="204"/>
      <c r="AR8" s="204"/>
      <c r="AS8" s="205"/>
      <c r="AT8" s="206"/>
    </row>
    <row r="9" spans="1:46" ht="14.65" customHeight="1" x14ac:dyDescent="0.45">
      <c r="A9" s="105" t="s">
        <v>81</v>
      </c>
      <c r="B9" s="106">
        <v>1</v>
      </c>
      <c r="C9" s="106">
        <v>2</v>
      </c>
      <c r="D9" s="106">
        <v>3</v>
      </c>
      <c r="E9" s="106">
        <v>4</v>
      </c>
      <c r="F9" s="106">
        <v>5</v>
      </c>
      <c r="G9" s="106">
        <v>6</v>
      </c>
      <c r="H9" s="106">
        <v>7</v>
      </c>
      <c r="I9" s="107">
        <v>8</v>
      </c>
      <c r="J9" s="107">
        <v>9</v>
      </c>
      <c r="K9" s="107">
        <v>10</v>
      </c>
      <c r="L9" s="107">
        <v>11</v>
      </c>
      <c r="M9" s="107">
        <v>12</v>
      </c>
      <c r="N9" s="107">
        <v>13</v>
      </c>
      <c r="O9" s="107">
        <v>14</v>
      </c>
      <c r="P9" s="108">
        <v>8</v>
      </c>
      <c r="Q9" s="108">
        <v>9</v>
      </c>
      <c r="R9" s="108">
        <v>10</v>
      </c>
      <c r="S9" s="108">
        <v>11</v>
      </c>
      <c r="T9" s="108">
        <v>12</v>
      </c>
      <c r="U9" s="108">
        <v>13</v>
      </c>
      <c r="V9" s="108">
        <v>14</v>
      </c>
      <c r="W9" s="79">
        <v>8</v>
      </c>
      <c r="X9" s="79">
        <v>9</v>
      </c>
      <c r="Y9" s="79">
        <v>10</v>
      </c>
      <c r="Z9" s="79">
        <v>11</v>
      </c>
      <c r="AA9" s="79">
        <v>12</v>
      </c>
      <c r="AB9" s="79">
        <v>13</v>
      </c>
      <c r="AC9" s="79">
        <v>14</v>
      </c>
      <c r="AD9" s="103"/>
      <c r="AE9" s="236"/>
      <c r="AF9" s="236"/>
      <c r="AG9" s="236"/>
      <c r="AI9" s="233" t="s">
        <v>317</v>
      </c>
      <c r="AJ9" s="234"/>
      <c r="AK9" s="234"/>
      <c r="AL9" s="234"/>
      <c r="AM9" s="234"/>
      <c r="AN9" s="234"/>
      <c r="AO9" s="234"/>
      <c r="AP9" s="234"/>
      <c r="AQ9" s="234"/>
      <c r="AR9" s="234"/>
      <c r="AS9" s="234"/>
      <c r="AT9" s="235"/>
    </row>
    <row r="10" spans="1:46" x14ac:dyDescent="0.45">
      <c r="A10" s="85" t="s">
        <v>7</v>
      </c>
      <c r="B10" s="127">
        <f>IFERROR(INDEX(Data!$A$5:$M$175,MATCH('Forecast drivers'!$A10&amp;RIGHT(B$8,2),Data!$A$5:$A$175,0), MATCH($A$5, Data!$A$5:$M$5,0)),"")</f>
        <v>773</v>
      </c>
      <c r="C10" s="127">
        <f>IFERROR(INDEX(Data!$A$5:$M$175,MATCH('Forecast drivers'!$A10&amp;RIGHT(C$8,2),Data!$A$5:$A$175,0), MATCH($A$5, Data!$A$5:$M$5,0)),"")</f>
        <v>993</v>
      </c>
      <c r="D10" s="127">
        <f>IFERROR(INDEX(Data!$A$5:$M$175,MATCH('Forecast drivers'!$A10&amp;RIGHT(D$8,2),Data!$A$5:$A$175,0), MATCH($A$5, Data!$A$5:$M$5,0)),"")</f>
        <v>246</v>
      </c>
      <c r="E10" s="127">
        <f>IFERROR(INDEX(Data!$A$5:$M$175,MATCH('Forecast drivers'!$A10&amp;RIGHT(E$8,2),Data!$A$5:$A$175,0), MATCH($A$5, Data!$A$5:$M$5,0)),"")</f>
        <v>876</v>
      </c>
      <c r="F10" s="127">
        <f>IFERROR(INDEX(Data!$A$5:$M$175,MATCH('Forecast drivers'!$A10&amp;RIGHT(F$8,2),Data!$A$5:$A$175,0), MATCH($A$5, Data!$A$5:$M$5,0)),"")</f>
        <v>104</v>
      </c>
      <c r="G10" s="127">
        <f>IFERROR(INDEX(Data!$A$5:$M$175,MATCH('Forecast drivers'!$A10&amp;RIGHT(G$8,2),Data!$A$5:$A$175,0), MATCH($A$5, Data!$A$5:$M$5,0)),"")</f>
        <v>163</v>
      </c>
      <c r="H10" s="127">
        <f>IFERROR(INDEX(Data!$A$5:$M$175,MATCH('Forecast drivers'!$A10&amp;RIGHT(H$8,2),Data!$A$5:$A$175,0), MATCH($A$5, Data!$A$5:$M$5,0)),"")</f>
        <v>130</v>
      </c>
      <c r="I10" s="118">
        <f>IFERROR(INDEX(Data!$A$5:$M$175,MATCH('Forecast drivers'!$A10&amp;RIGHT(I$8,2),Data!$A$5:$A$175,0), MATCH($A$5, Data!$A$5:$M$5,0)),"")</f>
        <v>522</v>
      </c>
      <c r="J10" s="118">
        <f>IFERROR(INDEX(Data!$A$5:$M$175,MATCH('Forecast drivers'!$A10&amp;RIGHT(J$8,2),Data!$A$5:$A$175,0), MATCH($A$5, Data!$A$5:$M$5,0)),"")</f>
        <v>643</v>
      </c>
      <c r="K10" s="118">
        <f>IFERROR(INDEX(Data!$A$5:$M$175,MATCH('Forecast drivers'!$A10&amp;RIGHT(K$8,2),Data!$A$5:$A$175,0), MATCH($A$5, Data!$A$5:$M$5,0)),"")</f>
        <v>0</v>
      </c>
      <c r="L10" s="118">
        <f>IFERROR(INDEX(Data!$A$5:$M$175,MATCH('Forecast drivers'!$A10&amp;RIGHT(L$8,2),Data!$A$5:$A$175,0), MATCH($A$5, Data!$A$5:$M$5,0)),"")</f>
        <v>0</v>
      </c>
      <c r="M10" s="118">
        <f>IFERROR(INDEX(Data!$A$5:$M$175,MATCH('Forecast drivers'!$A10&amp;RIGHT(M$8,2),Data!$A$5:$A$175,0), MATCH($A$5, Data!$A$5:$M$5,0)),"")</f>
        <v>284</v>
      </c>
      <c r="N10" s="118">
        <f>IFERROR(INDEX(Data!$A$5:$M$175,MATCH('Forecast drivers'!$A10&amp;RIGHT(N$8,2),Data!$A$5:$A$175,0), MATCH($A$5, Data!$A$5:$M$5,0)),"")</f>
        <v>68</v>
      </c>
      <c r="O10" s="118">
        <f>IFERROR(INDEX(Data!$A$5:$M$175,MATCH('Forecast drivers'!$A10&amp;RIGHT(O$8,2),Data!$A$5:$A$175,0), MATCH($A$5, Data!$A$5:$M$5,0)),"")</f>
        <v>200</v>
      </c>
      <c r="P10" s="119">
        <f t="shared" ref="P10:V10" si="0">IFERROR(INTERCEPT($B10:$H10,$B$9:$H$9)+SLOPE($B10:$H10,$B$30:$H$30)*P$9,"")</f>
        <v>-63.714285714285779</v>
      </c>
      <c r="Q10" s="119">
        <f t="shared" si="0"/>
        <v>-196.96428571428578</v>
      </c>
      <c r="R10" s="119">
        <f t="shared" si="0"/>
        <v>-330.21428571428578</v>
      </c>
      <c r="S10" s="119">
        <f t="shared" si="0"/>
        <v>-463.46428571428578</v>
      </c>
      <c r="T10" s="119">
        <f t="shared" si="0"/>
        <v>-596.71428571428578</v>
      </c>
      <c r="U10" s="119">
        <f t="shared" si="0"/>
        <v>-729.96428571428578</v>
      </c>
      <c r="V10" s="119">
        <f t="shared" si="0"/>
        <v>-863.21428571428578</v>
      </c>
      <c r="W10" s="120">
        <f t="shared" ref="W10:W21" si="1" xml:space="preserve"> IF($AE10="Company forecast",J10, IF($AE10="Ofwat forecast",Q10))</f>
        <v>643</v>
      </c>
      <c r="X10" s="120">
        <f t="shared" ref="X10:X21" si="2" xml:space="preserve"> IF($AE10="Company forecast",J10, IF($AE10="Ofwat forecast",Q10))</f>
        <v>643</v>
      </c>
      <c r="Y10" s="120">
        <f t="shared" ref="Y10:Y21" si="3" xml:space="preserve"> IF($AE10="Company forecast",K10, IF($AE10="Ofwat forecast",R10))</f>
        <v>0</v>
      </c>
      <c r="Z10" s="120">
        <f t="shared" ref="Z10:Z21" si="4" xml:space="preserve"> IF($AE10="Company forecast",L10, IF($AE10="Ofwat forecast",S10))</f>
        <v>0</v>
      </c>
      <c r="AA10" s="120">
        <f t="shared" ref="AA10:AA21" si="5" xml:space="preserve"> IF($AE10="Company forecast",M10, IF($AE10="Ofwat forecast",T10))</f>
        <v>284</v>
      </c>
      <c r="AB10" s="120">
        <f t="shared" ref="AB10:AB21" si="6" xml:space="preserve"> IF($AE10="Company forecast",N10, IF($AE10="Ofwat forecast",U10))</f>
        <v>68</v>
      </c>
      <c r="AC10" s="120">
        <f t="shared" ref="AC10:AC21" si="7" xml:space="preserve"> IF($AE10="Company forecast",O10, IF($AE10="Ofwat forecast",V10))</f>
        <v>200</v>
      </c>
      <c r="AD10" s="103"/>
      <c r="AE10" s="110" t="s">
        <v>60</v>
      </c>
      <c r="AF10" s="111" t="s">
        <v>60</v>
      </c>
      <c r="AG10" s="112" t="str">
        <f t="shared" ref="AG10:AG22" si="8" xml:space="preserve"> IF(AE10=AF10, "OK", "error")</f>
        <v>OK</v>
      </c>
      <c r="AI10" s="233"/>
      <c r="AJ10" s="234"/>
      <c r="AK10" s="234"/>
      <c r="AL10" s="234"/>
      <c r="AM10" s="234"/>
      <c r="AN10" s="234"/>
      <c r="AO10" s="234"/>
      <c r="AP10" s="234"/>
      <c r="AQ10" s="234"/>
      <c r="AR10" s="234"/>
      <c r="AS10" s="234"/>
      <c r="AT10" s="235"/>
    </row>
    <row r="11" spans="1:46" x14ac:dyDescent="0.45">
      <c r="A11" s="85" t="s">
        <v>19</v>
      </c>
      <c r="B11" s="128"/>
      <c r="C11" s="128"/>
      <c r="D11" s="128"/>
      <c r="E11" s="128"/>
      <c r="F11" s="128"/>
      <c r="G11" s="128"/>
      <c r="H11" s="127">
        <f>IFERROR(INDEX(Data!$A$5:$M$175,MATCH('Forecast drivers'!$A11&amp;RIGHT(H$8,2),Data!$A$5:$A$175,0), MATCH($A$5, Data!$A$5:$M$5,0)),"")</f>
        <v>0</v>
      </c>
      <c r="I11" s="118">
        <f>IFERROR(INDEX(Data!$A$5:$M$175,MATCH('Forecast drivers'!$A11&amp;RIGHT(I$8,2),Data!$A$5:$A$175,0), MATCH($A$5, Data!$A$5:$M$5,0)),"")</f>
        <v>0</v>
      </c>
      <c r="J11" s="118">
        <f>IFERROR(INDEX(Data!$A$5:$M$175,MATCH('Forecast drivers'!$A11&amp;RIGHT(J$8,2),Data!$A$5:$A$175,0), MATCH($A$5, Data!$A$5:$M$5,0)),"")</f>
        <v>0</v>
      </c>
      <c r="K11" s="118">
        <f>IFERROR(INDEX(Data!$A$5:$M$175,MATCH('Forecast drivers'!$A11&amp;RIGHT(K$8,2),Data!$A$5:$A$175,0), MATCH($A$5, Data!$A$5:$M$5,0)),"")</f>
        <v>0</v>
      </c>
      <c r="L11" s="118">
        <f>IFERROR(INDEX(Data!$A$5:$M$175,MATCH('Forecast drivers'!$A11&amp;RIGHT(L$8,2),Data!$A$5:$A$175,0), MATCH($A$5, Data!$A$5:$M$5,0)),"")</f>
        <v>0</v>
      </c>
      <c r="M11" s="118">
        <f>IFERROR(INDEX(Data!$A$5:$M$175,MATCH('Forecast drivers'!$A11&amp;RIGHT(M$8,2),Data!$A$5:$A$175,0), MATCH($A$5, Data!$A$5:$M$5,0)),"")</f>
        <v>0</v>
      </c>
      <c r="N11" s="118">
        <f>IFERROR(INDEX(Data!$A$5:$M$175,MATCH('Forecast drivers'!$A11&amp;RIGHT(N$8,2),Data!$A$5:$A$175,0), MATCH($A$5, Data!$A$5:$M$5,0)),"")</f>
        <v>0</v>
      </c>
      <c r="O11" s="118">
        <f>IFERROR(INDEX(Data!$A$5:$M$175,MATCH('Forecast drivers'!$A11&amp;RIGHT(O$8,2),Data!$A$5:$A$175,0), MATCH($A$5, Data!$A$5:$M$5,0)),"")</f>
        <v>0</v>
      </c>
      <c r="P11" s="121"/>
      <c r="Q11" s="121"/>
      <c r="R11" s="121"/>
      <c r="S11" s="121"/>
      <c r="T11" s="121"/>
      <c r="U11" s="121"/>
      <c r="V11" s="121"/>
      <c r="W11" s="120">
        <f t="shared" si="1"/>
        <v>0</v>
      </c>
      <c r="X11" s="120">
        <f t="shared" si="2"/>
        <v>0</v>
      </c>
      <c r="Y11" s="120">
        <f t="shared" si="3"/>
        <v>0</v>
      </c>
      <c r="Z11" s="120">
        <f t="shared" si="4"/>
        <v>0</v>
      </c>
      <c r="AA11" s="120">
        <f t="shared" si="5"/>
        <v>0</v>
      </c>
      <c r="AB11" s="120">
        <f t="shared" si="6"/>
        <v>0</v>
      </c>
      <c r="AC11" s="120">
        <f t="shared" si="7"/>
        <v>0</v>
      </c>
      <c r="AD11" s="103"/>
      <c r="AE11" s="110" t="s">
        <v>60</v>
      </c>
      <c r="AF11" s="111" t="s">
        <v>60</v>
      </c>
      <c r="AG11" s="112" t="str">
        <f t="shared" si="8"/>
        <v>OK</v>
      </c>
      <c r="AI11" s="233"/>
      <c r="AJ11" s="234"/>
      <c r="AK11" s="234"/>
      <c r="AL11" s="234"/>
      <c r="AM11" s="234"/>
      <c r="AN11" s="234"/>
      <c r="AO11" s="234"/>
      <c r="AP11" s="234"/>
      <c r="AQ11" s="234"/>
      <c r="AR11" s="234"/>
      <c r="AS11" s="234"/>
      <c r="AT11" s="235"/>
    </row>
    <row r="12" spans="1:46" x14ac:dyDescent="0.45">
      <c r="A12" s="85" t="s">
        <v>8</v>
      </c>
      <c r="B12" s="127">
        <f>IFERROR(INDEX(Data!$A$5:$M$175,MATCH('Forecast drivers'!$A12&amp;RIGHT(B$8,2),Data!$A$5:$A$175,0), MATCH($A$5, Data!$A$5:$M$5,0)),"")</f>
        <v>0</v>
      </c>
      <c r="C12" s="127">
        <f>IFERROR(INDEX(Data!$A$5:$M$175,MATCH('Forecast drivers'!$A12&amp;RIGHT(C$8,2),Data!$A$5:$A$175,0), MATCH($A$5, Data!$A$5:$M$5,0)),"")</f>
        <v>0</v>
      </c>
      <c r="D12" s="127">
        <f>IFERROR(INDEX(Data!$A$5:$M$175,MATCH('Forecast drivers'!$A12&amp;RIGHT(D$8,2),Data!$A$5:$A$175,0), MATCH($A$5, Data!$A$5:$M$5,0)),"")</f>
        <v>0</v>
      </c>
      <c r="E12" s="127">
        <f>IFERROR(INDEX(Data!$A$5:$M$175,MATCH('Forecast drivers'!$A12&amp;RIGHT(E$8,2),Data!$A$5:$A$175,0), MATCH($A$5, Data!$A$5:$M$5,0)),"")</f>
        <v>0</v>
      </c>
      <c r="F12" s="127">
        <f>IFERROR(INDEX(Data!$A$5:$M$175,MATCH('Forecast drivers'!$A12&amp;RIGHT(F$8,2),Data!$A$5:$A$175,0), MATCH($A$5, Data!$A$5:$M$5,0)),"")</f>
        <v>0</v>
      </c>
      <c r="G12" s="127">
        <f>IFERROR(INDEX(Data!$A$5:$M$175,MATCH('Forecast drivers'!$A12&amp;RIGHT(G$8,2),Data!$A$5:$A$175,0), MATCH($A$5, Data!$A$5:$M$5,0)),"")</f>
        <v>0</v>
      </c>
      <c r="H12" s="127">
        <f>IFERROR(INDEX(Data!$A$5:$M$175,MATCH('Forecast drivers'!$A12&amp;RIGHT(H$8,2),Data!$A$5:$A$175,0), MATCH($A$5, Data!$A$5:$M$5,0)),"")</f>
        <v>3</v>
      </c>
      <c r="I12" s="118">
        <f>IFERROR(INDEX(Data!$A$5:$M$175,MATCH('Forecast drivers'!$A12&amp;RIGHT(I$8,2),Data!$A$5:$A$175,0), MATCH($A$5, Data!$A$5:$M$5,0)),"")</f>
        <v>4</v>
      </c>
      <c r="J12" s="118">
        <f>IFERROR(INDEX(Data!$A$5:$M$175,MATCH('Forecast drivers'!$A12&amp;RIGHT(J$8,2),Data!$A$5:$A$175,0), MATCH($A$5, Data!$A$5:$M$5,0)),"")</f>
        <v>5</v>
      </c>
      <c r="K12" s="118">
        <f>IFERROR(INDEX(Data!$A$5:$M$175,MATCH('Forecast drivers'!$A12&amp;RIGHT(K$8,2),Data!$A$5:$A$175,0), MATCH($A$5, Data!$A$5:$M$5,0)),"")</f>
        <v>3</v>
      </c>
      <c r="L12" s="118">
        <f>IFERROR(INDEX(Data!$A$5:$M$175,MATCH('Forecast drivers'!$A12&amp;RIGHT(L$8,2),Data!$A$5:$A$175,0), MATCH($A$5, Data!$A$5:$M$5,0)),"")</f>
        <v>3</v>
      </c>
      <c r="M12" s="118">
        <f>IFERROR(INDEX(Data!$A$5:$M$175,MATCH('Forecast drivers'!$A12&amp;RIGHT(M$8,2),Data!$A$5:$A$175,0), MATCH($A$5, Data!$A$5:$M$5,0)),"")</f>
        <v>3</v>
      </c>
      <c r="N12" s="118">
        <f>IFERROR(INDEX(Data!$A$5:$M$175,MATCH('Forecast drivers'!$A12&amp;RIGHT(N$8,2),Data!$A$5:$A$175,0), MATCH($A$5, Data!$A$5:$M$5,0)),"")</f>
        <v>3</v>
      </c>
      <c r="O12" s="118">
        <f>IFERROR(INDEX(Data!$A$5:$M$175,MATCH('Forecast drivers'!$A12&amp;RIGHT(O$8,2),Data!$A$5:$A$175,0), MATCH($A$5, Data!$A$5:$M$5,0)),"")</f>
        <v>3</v>
      </c>
      <c r="P12" s="119">
        <f t="shared" ref="P12:V14" si="9">IFERROR(INTERCEPT($B12:$H12,$B$9:$H$9)+SLOPE($B12:$H12,$B$30:$H$30)*P$9,"")</f>
        <v>1.7142857142857144</v>
      </c>
      <c r="Q12" s="119">
        <f t="shared" si="9"/>
        <v>2.035714285714286</v>
      </c>
      <c r="R12" s="119">
        <f t="shared" si="9"/>
        <v>2.3571428571428572</v>
      </c>
      <c r="S12" s="119">
        <f t="shared" si="9"/>
        <v>2.6785714285714288</v>
      </c>
      <c r="T12" s="119">
        <f t="shared" si="9"/>
        <v>3.0000000000000004</v>
      </c>
      <c r="U12" s="119">
        <f t="shared" si="9"/>
        <v>3.3214285714285716</v>
      </c>
      <c r="V12" s="119">
        <f t="shared" si="9"/>
        <v>3.6428571428571428</v>
      </c>
      <c r="W12" s="120">
        <f t="shared" si="1"/>
        <v>5</v>
      </c>
      <c r="X12" s="120">
        <f t="shared" si="2"/>
        <v>5</v>
      </c>
      <c r="Y12" s="120">
        <f t="shared" si="3"/>
        <v>3</v>
      </c>
      <c r="Z12" s="120">
        <f t="shared" si="4"/>
        <v>3</v>
      </c>
      <c r="AA12" s="120">
        <f t="shared" si="5"/>
        <v>3</v>
      </c>
      <c r="AB12" s="120">
        <f t="shared" si="6"/>
        <v>3</v>
      </c>
      <c r="AC12" s="120">
        <f t="shared" si="7"/>
        <v>3</v>
      </c>
      <c r="AD12" s="103"/>
      <c r="AE12" s="110" t="s">
        <v>60</v>
      </c>
      <c r="AF12" s="111" t="s">
        <v>60</v>
      </c>
      <c r="AG12" s="112" t="str">
        <f t="shared" si="8"/>
        <v>OK</v>
      </c>
      <c r="AI12" s="233"/>
      <c r="AJ12" s="234"/>
      <c r="AK12" s="234"/>
      <c r="AL12" s="234"/>
      <c r="AM12" s="234"/>
      <c r="AN12" s="234"/>
      <c r="AO12" s="234"/>
      <c r="AP12" s="234"/>
      <c r="AQ12" s="234"/>
      <c r="AR12" s="234"/>
      <c r="AS12" s="234"/>
      <c r="AT12" s="235"/>
    </row>
    <row r="13" spans="1:46" x14ac:dyDescent="0.45">
      <c r="A13" s="85" t="s">
        <v>9</v>
      </c>
      <c r="B13" s="127">
        <f>IFERROR(INDEX(Data!$A$5:$M$175,MATCH('Forecast drivers'!$A13&amp;RIGHT(B$8,2),Data!$A$5:$A$175,0), MATCH($A$5, Data!$A$5:$M$5,0)),"")</f>
        <v>44</v>
      </c>
      <c r="C13" s="127">
        <f>IFERROR(INDEX(Data!$A$5:$M$175,MATCH('Forecast drivers'!$A13&amp;RIGHT(C$8,2),Data!$A$5:$A$175,0), MATCH($A$5, Data!$A$5:$M$5,0)),"")</f>
        <v>0</v>
      </c>
      <c r="D13" s="127">
        <f>IFERROR(INDEX(Data!$A$5:$M$175,MATCH('Forecast drivers'!$A13&amp;RIGHT(D$8,2),Data!$A$5:$A$175,0), MATCH($A$5, Data!$A$5:$M$5,0)),"")</f>
        <v>0</v>
      </c>
      <c r="E13" s="127">
        <f>IFERROR(INDEX(Data!$A$5:$M$175,MATCH('Forecast drivers'!$A13&amp;RIGHT(E$8,2),Data!$A$5:$A$175,0), MATCH($A$5, Data!$A$5:$M$5,0)),"")</f>
        <v>175</v>
      </c>
      <c r="F13" s="127">
        <f>IFERROR(INDEX(Data!$A$5:$M$175,MATCH('Forecast drivers'!$A13&amp;RIGHT(F$8,2),Data!$A$5:$A$175,0), MATCH($A$5, Data!$A$5:$M$5,0)),"")</f>
        <v>0</v>
      </c>
      <c r="G13" s="127">
        <f>IFERROR(INDEX(Data!$A$5:$M$175,MATCH('Forecast drivers'!$A13&amp;RIGHT(G$8,2),Data!$A$5:$A$175,0), MATCH($A$5, Data!$A$5:$M$5,0)),"")</f>
        <v>0</v>
      </c>
      <c r="H13" s="127">
        <f>IFERROR(INDEX(Data!$A$5:$M$175,MATCH('Forecast drivers'!$A13&amp;RIGHT(H$8,2),Data!$A$5:$A$175,0), MATCH($A$5, Data!$A$5:$M$5,0)),"")</f>
        <v>0</v>
      </c>
      <c r="I13" s="118">
        <f>IFERROR(INDEX(Data!$A$5:$M$175,MATCH('Forecast drivers'!$A13&amp;RIGHT(I$8,2),Data!$A$5:$A$175,0), MATCH($A$5, Data!$A$5:$M$5,0)),"")</f>
        <v>0</v>
      </c>
      <c r="J13" s="118">
        <f>IFERROR(INDEX(Data!$A$5:$M$175,MATCH('Forecast drivers'!$A13&amp;RIGHT(J$8,2),Data!$A$5:$A$175,0), MATCH($A$5, Data!$A$5:$M$5,0)),"")</f>
        <v>0</v>
      </c>
      <c r="K13" s="118">
        <f>IFERROR(INDEX(Data!$A$5:$M$175,MATCH('Forecast drivers'!$A13&amp;RIGHT(K$8,2),Data!$A$5:$A$175,0), MATCH($A$5, Data!$A$5:$M$5,0)),"")</f>
        <v>0</v>
      </c>
      <c r="L13" s="118">
        <f>IFERROR(INDEX(Data!$A$5:$M$175,MATCH('Forecast drivers'!$A13&amp;RIGHT(L$8,2),Data!$A$5:$A$175,0), MATCH($A$5, Data!$A$5:$M$5,0)),"")</f>
        <v>8</v>
      </c>
      <c r="M13" s="118">
        <f>IFERROR(INDEX(Data!$A$5:$M$175,MATCH('Forecast drivers'!$A13&amp;RIGHT(M$8,2),Data!$A$5:$A$175,0), MATCH($A$5, Data!$A$5:$M$5,0)),"")</f>
        <v>8</v>
      </c>
      <c r="N13" s="118">
        <f>IFERROR(INDEX(Data!$A$5:$M$175,MATCH('Forecast drivers'!$A13&amp;RIGHT(N$8,2),Data!$A$5:$A$175,0), MATCH($A$5, Data!$A$5:$M$5,0)),"")</f>
        <v>8</v>
      </c>
      <c r="O13" s="118">
        <f>IFERROR(INDEX(Data!$A$5:$M$175,MATCH('Forecast drivers'!$A13&amp;RIGHT(O$8,2),Data!$A$5:$A$175,0), MATCH($A$5, Data!$A$5:$M$5,0)),"")</f>
        <v>8</v>
      </c>
      <c r="P13" s="119">
        <f t="shared" si="9"/>
        <v>12.428571428571423</v>
      </c>
      <c r="Q13" s="119">
        <f t="shared" si="9"/>
        <v>7.7142857142857082</v>
      </c>
      <c r="R13" s="119">
        <f t="shared" si="9"/>
        <v>2.9999999999999929</v>
      </c>
      <c r="S13" s="119">
        <f t="shared" si="9"/>
        <v>-1.7142857142857224</v>
      </c>
      <c r="T13" s="119">
        <f t="shared" si="9"/>
        <v>-6.4285714285714306</v>
      </c>
      <c r="U13" s="119">
        <f t="shared" si="9"/>
        <v>-11.142857142857146</v>
      </c>
      <c r="V13" s="119">
        <f t="shared" si="9"/>
        <v>-15.857142857142861</v>
      </c>
      <c r="W13" s="120">
        <f t="shared" si="1"/>
        <v>0</v>
      </c>
      <c r="X13" s="120">
        <f t="shared" si="2"/>
        <v>0</v>
      </c>
      <c r="Y13" s="120">
        <f t="shared" si="3"/>
        <v>0</v>
      </c>
      <c r="Z13" s="120">
        <f t="shared" si="4"/>
        <v>8</v>
      </c>
      <c r="AA13" s="120">
        <f t="shared" si="5"/>
        <v>8</v>
      </c>
      <c r="AB13" s="120">
        <f t="shared" si="6"/>
        <v>8</v>
      </c>
      <c r="AC13" s="120">
        <f t="shared" si="7"/>
        <v>8</v>
      </c>
      <c r="AD13" s="103"/>
      <c r="AE13" s="110" t="s">
        <v>60</v>
      </c>
      <c r="AF13" s="111" t="s">
        <v>60</v>
      </c>
      <c r="AG13" s="112" t="str">
        <f t="shared" si="8"/>
        <v>OK</v>
      </c>
      <c r="AI13" s="207" t="s">
        <v>314</v>
      </c>
      <c r="AJ13" s="192"/>
      <c r="AK13" s="192"/>
      <c r="AL13" s="192"/>
      <c r="AM13" s="192"/>
      <c r="AN13" s="192"/>
      <c r="AO13" s="192"/>
      <c r="AP13" s="192"/>
      <c r="AQ13" s="192"/>
      <c r="AR13" s="192"/>
      <c r="AS13" s="208"/>
      <c r="AT13" s="209"/>
    </row>
    <row r="14" spans="1:46" x14ac:dyDescent="0.45">
      <c r="A14" s="85" t="s">
        <v>10</v>
      </c>
      <c r="B14" s="127">
        <f>IFERROR(INDEX(Data!$A$5:$M$175,MATCH('Forecast drivers'!$A14&amp;RIGHT(B$8,2),Data!$A$5:$A$175,0), MATCH($A$5, Data!$A$5:$M$5,0)),"")</f>
        <v>0</v>
      </c>
      <c r="C14" s="127">
        <f>IFERROR(INDEX(Data!$A$5:$M$175,MATCH('Forecast drivers'!$A14&amp;RIGHT(C$8,2),Data!$A$5:$A$175,0), MATCH($A$5, Data!$A$5:$M$5,0)),"")</f>
        <v>0</v>
      </c>
      <c r="D14" s="127">
        <f>IFERROR(INDEX(Data!$A$5:$M$175,MATCH('Forecast drivers'!$A14&amp;RIGHT(D$8,2),Data!$A$5:$A$175,0), MATCH($A$5, Data!$A$5:$M$5,0)),"")</f>
        <v>0</v>
      </c>
      <c r="E14" s="127">
        <f>IFERROR(INDEX(Data!$A$5:$M$175,MATCH('Forecast drivers'!$A14&amp;RIGHT(E$8,2),Data!$A$5:$A$175,0), MATCH($A$5, Data!$A$5:$M$5,0)),"")</f>
        <v>123</v>
      </c>
      <c r="F14" s="127">
        <f>IFERROR(INDEX(Data!$A$5:$M$175,MATCH('Forecast drivers'!$A14&amp;RIGHT(F$8,2),Data!$A$5:$A$175,0), MATCH($A$5, Data!$A$5:$M$5,0)),"")</f>
        <v>0</v>
      </c>
      <c r="G14" s="127">
        <f>IFERROR(INDEX(Data!$A$5:$M$175,MATCH('Forecast drivers'!$A14&amp;RIGHT(G$8,2),Data!$A$5:$A$175,0), MATCH($A$5, Data!$A$5:$M$5,0)),"")</f>
        <v>0</v>
      </c>
      <c r="H14" s="127">
        <f>IFERROR(INDEX(Data!$A$5:$M$175,MATCH('Forecast drivers'!$A14&amp;RIGHT(H$8,2),Data!$A$5:$A$175,0), MATCH($A$5, Data!$A$5:$M$5,0)),"")</f>
        <v>0</v>
      </c>
      <c r="I14" s="118">
        <f>IFERROR(INDEX(Data!$A$5:$M$175,MATCH('Forecast drivers'!$A14&amp;RIGHT(I$8,2),Data!$A$5:$A$175,0), MATCH($A$5, Data!$A$5:$M$5,0)),"")</f>
        <v>208</v>
      </c>
      <c r="J14" s="118">
        <f>IFERROR(INDEX(Data!$A$5:$M$175,MATCH('Forecast drivers'!$A14&amp;RIGHT(J$8,2),Data!$A$5:$A$175,0), MATCH($A$5, Data!$A$5:$M$5,0)),"")</f>
        <v>46</v>
      </c>
      <c r="K14" s="118">
        <f>IFERROR(INDEX(Data!$A$5:$M$175,MATCH('Forecast drivers'!$A14&amp;RIGHT(K$8,2),Data!$A$5:$A$175,0), MATCH($A$5, Data!$A$5:$M$5,0)),"")</f>
        <v>17</v>
      </c>
      <c r="L14" s="118">
        <f>IFERROR(INDEX(Data!$A$5:$M$175,MATCH('Forecast drivers'!$A14&amp;RIGHT(L$8,2),Data!$A$5:$A$175,0), MATCH($A$5, Data!$A$5:$M$5,0)),"")</f>
        <v>57</v>
      </c>
      <c r="M14" s="118">
        <f>IFERROR(INDEX(Data!$A$5:$M$175,MATCH('Forecast drivers'!$A14&amp;RIGHT(M$8,2),Data!$A$5:$A$175,0), MATCH($A$5, Data!$A$5:$M$5,0)),"")</f>
        <v>0</v>
      </c>
      <c r="N14" s="118">
        <f>IFERROR(INDEX(Data!$A$5:$M$175,MATCH('Forecast drivers'!$A14&amp;RIGHT(N$8,2),Data!$A$5:$A$175,0), MATCH($A$5, Data!$A$5:$M$5,0)),"")</f>
        <v>0</v>
      </c>
      <c r="O14" s="118">
        <f>IFERROR(INDEX(Data!$A$5:$M$175,MATCH('Forecast drivers'!$A14&amp;RIGHT(O$8,2),Data!$A$5:$A$175,0), MATCH($A$5, Data!$A$5:$M$5,0)),"")</f>
        <v>0</v>
      </c>
      <c r="P14" s="119">
        <f t="shared" si="9"/>
        <v>17.571428571428569</v>
      </c>
      <c r="Q14" s="119">
        <f t="shared" si="9"/>
        <v>17.571428571428569</v>
      </c>
      <c r="R14" s="119">
        <f t="shared" si="9"/>
        <v>17.571428571428569</v>
      </c>
      <c r="S14" s="119">
        <f t="shared" si="9"/>
        <v>17.571428571428569</v>
      </c>
      <c r="T14" s="119">
        <f t="shared" si="9"/>
        <v>17.571428571428569</v>
      </c>
      <c r="U14" s="119">
        <f t="shared" si="9"/>
        <v>17.571428571428569</v>
      </c>
      <c r="V14" s="119">
        <f t="shared" si="9"/>
        <v>17.571428571428569</v>
      </c>
      <c r="W14" s="120">
        <f t="shared" si="1"/>
        <v>46</v>
      </c>
      <c r="X14" s="120">
        <f t="shared" si="2"/>
        <v>46</v>
      </c>
      <c r="Y14" s="120">
        <f t="shared" si="3"/>
        <v>17</v>
      </c>
      <c r="Z14" s="120">
        <f t="shared" si="4"/>
        <v>57</v>
      </c>
      <c r="AA14" s="120">
        <f t="shared" si="5"/>
        <v>0</v>
      </c>
      <c r="AB14" s="120">
        <f t="shared" si="6"/>
        <v>0</v>
      </c>
      <c r="AC14" s="120">
        <f t="shared" si="7"/>
        <v>0</v>
      </c>
      <c r="AD14" s="103"/>
      <c r="AE14" s="110" t="s">
        <v>60</v>
      </c>
      <c r="AF14" s="111" t="s">
        <v>60</v>
      </c>
      <c r="AG14" s="112" t="str">
        <f t="shared" si="8"/>
        <v>OK</v>
      </c>
      <c r="AI14" s="207" t="s">
        <v>301</v>
      </c>
      <c r="AJ14" s="192"/>
      <c r="AK14" s="192"/>
      <c r="AL14" s="192"/>
      <c r="AM14" s="192"/>
      <c r="AN14" s="192"/>
      <c r="AO14" s="192"/>
      <c r="AP14" s="192"/>
      <c r="AQ14" s="192"/>
      <c r="AR14" s="192"/>
      <c r="AS14" s="208"/>
      <c r="AT14" s="209"/>
    </row>
    <row r="15" spans="1:46" x14ac:dyDescent="0.45">
      <c r="A15" s="85" t="s">
        <v>18</v>
      </c>
      <c r="B15" s="128"/>
      <c r="C15" s="128"/>
      <c r="D15" s="128"/>
      <c r="E15" s="128"/>
      <c r="F15" s="128"/>
      <c r="G15" s="128"/>
      <c r="H15" s="127">
        <f>IFERROR(INDEX(Data!$A$5:$M$175,MATCH('Forecast drivers'!$A15&amp;RIGHT(H$8,2),Data!$A$5:$A$175,0), MATCH($A$5, Data!$A$5:$M$5,0)),"")</f>
        <v>32</v>
      </c>
      <c r="I15" s="118">
        <f>IFERROR(INDEX(Data!$A$5:$M$175,MATCH('Forecast drivers'!$A15&amp;RIGHT(I$8,2),Data!$A$5:$A$175,0), MATCH($A$5, Data!$A$5:$M$5,0)),"")</f>
        <v>126</v>
      </c>
      <c r="J15" s="118">
        <f>IFERROR(INDEX(Data!$A$5:$M$175,MATCH('Forecast drivers'!$A15&amp;RIGHT(J$8,2),Data!$A$5:$A$175,0), MATCH($A$5, Data!$A$5:$M$5,0)),"")</f>
        <v>118</v>
      </c>
      <c r="K15" s="118">
        <f>IFERROR(INDEX(Data!$A$5:$M$175,MATCH('Forecast drivers'!$A15&amp;RIGHT(K$8,2),Data!$A$5:$A$175,0), MATCH($A$5, Data!$A$5:$M$5,0)),"")</f>
        <v>35</v>
      </c>
      <c r="L15" s="118">
        <f>IFERROR(INDEX(Data!$A$5:$M$175,MATCH('Forecast drivers'!$A15&amp;RIGHT(L$8,2),Data!$A$5:$A$175,0), MATCH($A$5, Data!$A$5:$M$5,0)),"")</f>
        <v>100</v>
      </c>
      <c r="M15" s="118">
        <f>IFERROR(INDEX(Data!$A$5:$M$175,MATCH('Forecast drivers'!$A15&amp;RIGHT(M$8,2),Data!$A$5:$A$175,0), MATCH($A$5, Data!$A$5:$M$5,0)),"")</f>
        <v>83</v>
      </c>
      <c r="N15" s="118">
        <f>IFERROR(INDEX(Data!$A$5:$M$175,MATCH('Forecast drivers'!$A15&amp;RIGHT(N$8,2),Data!$A$5:$A$175,0), MATCH($A$5, Data!$A$5:$M$5,0)),"")</f>
        <v>40</v>
      </c>
      <c r="O15" s="118">
        <f>IFERROR(INDEX(Data!$A$5:$M$175,MATCH('Forecast drivers'!$A15&amp;RIGHT(O$8,2),Data!$A$5:$A$175,0), MATCH($A$5, Data!$A$5:$M$5,0)),"")</f>
        <v>35</v>
      </c>
      <c r="P15" s="121"/>
      <c r="Q15" s="121"/>
      <c r="R15" s="121"/>
      <c r="S15" s="121"/>
      <c r="T15" s="121"/>
      <c r="U15" s="121"/>
      <c r="V15" s="121"/>
      <c r="W15" s="120">
        <f t="shared" si="1"/>
        <v>118</v>
      </c>
      <c r="X15" s="120">
        <f t="shared" si="2"/>
        <v>118</v>
      </c>
      <c r="Y15" s="120">
        <f t="shared" si="3"/>
        <v>35</v>
      </c>
      <c r="Z15" s="120">
        <f t="shared" si="4"/>
        <v>100</v>
      </c>
      <c r="AA15" s="120">
        <f t="shared" si="5"/>
        <v>83</v>
      </c>
      <c r="AB15" s="120">
        <f t="shared" si="6"/>
        <v>40</v>
      </c>
      <c r="AC15" s="120">
        <f t="shared" si="7"/>
        <v>35</v>
      </c>
      <c r="AD15" s="103"/>
      <c r="AE15" s="110" t="s">
        <v>60</v>
      </c>
      <c r="AF15" s="111" t="s">
        <v>60</v>
      </c>
      <c r="AG15" s="112" t="str">
        <f t="shared" si="8"/>
        <v>OK</v>
      </c>
      <c r="AI15" s="233" t="s">
        <v>318</v>
      </c>
      <c r="AJ15" s="234"/>
      <c r="AK15" s="234"/>
      <c r="AL15" s="234"/>
      <c r="AM15" s="234"/>
      <c r="AN15" s="234"/>
      <c r="AO15" s="234"/>
      <c r="AP15" s="234"/>
      <c r="AQ15" s="234"/>
      <c r="AR15" s="234"/>
      <c r="AS15" s="234"/>
      <c r="AT15" s="235"/>
    </row>
    <row r="16" spans="1:46" x14ac:dyDescent="0.45">
      <c r="A16" s="85" t="s">
        <v>11</v>
      </c>
      <c r="B16" s="127">
        <f>IFERROR(INDEX(Data!$A$5:$M$175,MATCH('Forecast drivers'!$A16&amp;RIGHT(B$8,2),Data!$A$5:$A$175,0), MATCH($A$5, Data!$A$5:$M$5,0)),"")</f>
        <v>129</v>
      </c>
      <c r="C16" s="127">
        <f>IFERROR(INDEX(Data!$A$5:$M$175,MATCH('Forecast drivers'!$A16&amp;RIGHT(C$8,2),Data!$A$5:$A$175,0), MATCH($A$5, Data!$A$5:$M$5,0)),"")</f>
        <v>87</v>
      </c>
      <c r="D16" s="127">
        <f>IFERROR(INDEX(Data!$A$5:$M$175,MATCH('Forecast drivers'!$A16&amp;RIGHT(D$8,2),Data!$A$5:$A$175,0), MATCH($A$5, Data!$A$5:$M$5,0)),"")</f>
        <v>144</v>
      </c>
      <c r="E16" s="127">
        <f>IFERROR(INDEX(Data!$A$5:$M$175,MATCH('Forecast drivers'!$A16&amp;RIGHT(E$8,2),Data!$A$5:$A$175,0), MATCH($A$5, Data!$A$5:$M$5,0)),"")</f>
        <v>101</v>
      </c>
      <c r="F16" s="127">
        <f>IFERROR(INDEX(Data!$A$5:$M$175,MATCH('Forecast drivers'!$A16&amp;RIGHT(F$8,2),Data!$A$5:$A$175,0), MATCH($A$5, Data!$A$5:$M$5,0)),"")</f>
        <v>35</v>
      </c>
      <c r="G16" s="127">
        <f>IFERROR(INDEX(Data!$A$5:$M$175,MATCH('Forecast drivers'!$A16&amp;RIGHT(G$8,2),Data!$A$5:$A$175,0), MATCH($A$5, Data!$A$5:$M$5,0)),"")</f>
        <v>14</v>
      </c>
      <c r="H16" s="127">
        <f>IFERROR(INDEX(Data!$A$5:$M$175,MATCH('Forecast drivers'!$A16&amp;RIGHT(H$8,2),Data!$A$5:$A$175,0), MATCH($A$5, Data!$A$5:$M$5,0)),"")</f>
        <v>32</v>
      </c>
      <c r="I16" s="121"/>
      <c r="J16" s="121"/>
      <c r="K16" s="121"/>
      <c r="L16" s="121"/>
      <c r="M16" s="121"/>
      <c r="N16" s="121"/>
      <c r="O16" s="121"/>
      <c r="P16" s="119">
        <f t="shared" ref="P16:V21" si="10">IFERROR(INTERCEPT($B16:$H16,$B$9:$H$9)+SLOPE($B16:$H16,$B$30:$H$30)*P$9,"")</f>
        <v>-0.57142857142855519</v>
      </c>
      <c r="Q16" s="119">
        <f t="shared" si="10"/>
        <v>-20.071428571428555</v>
      </c>
      <c r="R16" s="119">
        <f t="shared" si="10"/>
        <v>-39.571428571428555</v>
      </c>
      <c r="S16" s="119">
        <f t="shared" si="10"/>
        <v>-59.071428571428555</v>
      </c>
      <c r="T16" s="119">
        <f t="shared" si="10"/>
        <v>-78.571428571428555</v>
      </c>
      <c r="U16" s="119">
        <f t="shared" si="10"/>
        <v>-98.071428571428555</v>
      </c>
      <c r="V16" s="119">
        <f t="shared" si="10"/>
        <v>-117.57142857142856</v>
      </c>
      <c r="W16" s="120">
        <f t="shared" si="1"/>
        <v>0</v>
      </c>
      <c r="X16" s="120">
        <f t="shared" si="2"/>
        <v>0</v>
      </c>
      <c r="Y16" s="120">
        <f t="shared" si="3"/>
        <v>0</v>
      </c>
      <c r="Z16" s="120">
        <f t="shared" si="4"/>
        <v>0</v>
      </c>
      <c r="AA16" s="120">
        <f t="shared" si="5"/>
        <v>0</v>
      </c>
      <c r="AB16" s="120">
        <f t="shared" si="6"/>
        <v>0</v>
      </c>
      <c r="AC16" s="120">
        <f t="shared" si="7"/>
        <v>0</v>
      </c>
      <c r="AD16" s="103"/>
      <c r="AE16" s="110" t="s">
        <v>60</v>
      </c>
      <c r="AF16" s="111" t="s">
        <v>60</v>
      </c>
      <c r="AG16" s="112" t="str">
        <f t="shared" si="8"/>
        <v>OK</v>
      </c>
      <c r="AI16" s="233"/>
      <c r="AJ16" s="234"/>
      <c r="AK16" s="234"/>
      <c r="AL16" s="234"/>
      <c r="AM16" s="234"/>
      <c r="AN16" s="234"/>
      <c r="AO16" s="234"/>
      <c r="AP16" s="234"/>
      <c r="AQ16" s="234"/>
      <c r="AR16" s="234"/>
      <c r="AS16" s="234"/>
      <c r="AT16" s="235"/>
    </row>
    <row r="17" spans="1:46" x14ac:dyDescent="0.45">
      <c r="A17" s="85" t="s">
        <v>13</v>
      </c>
      <c r="B17" s="127" t="str">
        <f>IFERROR(INDEX(Data!$A$5:$M$175,MATCH('Forecast drivers'!$A17&amp;RIGHT(B$8,2),Data!$A$5:$A$175,0), MATCH($A$5, Data!$A$5:$M$5,0)),"")</f>
        <v/>
      </c>
      <c r="C17" s="127" t="str">
        <f>IFERROR(INDEX(Data!$A$5:$M$175,MATCH('Forecast drivers'!$A17&amp;RIGHT(C$8,2),Data!$A$5:$A$175,0), MATCH($A$5, Data!$A$5:$M$5,0)),"")</f>
        <v/>
      </c>
      <c r="D17" s="127" t="str">
        <f>IFERROR(INDEX(Data!$A$5:$M$175,MATCH('Forecast drivers'!$A17&amp;RIGHT(D$8,2),Data!$A$5:$A$175,0), MATCH($A$5, Data!$A$5:$M$5,0)),"")</f>
        <v/>
      </c>
      <c r="E17" s="127" t="str">
        <f>IFERROR(INDEX(Data!$A$5:$M$175,MATCH('Forecast drivers'!$A17&amp;RIGHT(E$8,2),Data!$A$5:$A$175,0), MATCH($A$5, Data!$A$5:$M$5,0)),"")</f>
        <v/>
      </c>
      <c r="F17" s="127" t="str">
        <f>IFERROR(INDEX(Data!$A$5:$M$175,MATCH('Forecast drivers'!$A17&amp;RIGHT(F$8,2),Data!$A$5:$A$175,0), MATCH($A$5, Data!$A$5:$M$5,0)),"")</f>
        <v/>
      </c>
      <c r="G17" s="127" t="str">
        <f>IFERROR(INDEX(Data!$A$5:$M$175,MATCH('Forecast drivers'!$A17&amp;RIGHT(G$8,2),Data!$A$5:$A$175,0), MATCH($A$5, Data!$A$5:$M$5,0)),"")</f>
        <v/>
      </c>
      <c r="H17" s="127">
        <f>IFERROR(INDEX(Data!$A$5:$M$175,MATCH('Forecast drivers'!$A17&amp;RIGHT(H$8,2),Data!$A$5:$A$175,0), MATCH($A$5, Data!$A$5:$M$5,0)),"")</f>
        <v>7</v>
      </c>
      <c r="I17" s="118">
        <f>IFERROR(INDEX(Data!$A$5:$M$175,MATCH('Forecast drivers'!$A17&amp;RIGHT(I$8,2),Data!$A$5:$A$175,0), MATCH($A$5, Data!$A$5:$M$5,0)),"")</f>
        <v>27</v>
      </c>
      <c r="J17" s="118">
        <f>IFERROR(INDEX(Data!$A$5:$M$175,MATCH('Forecast drivers'!$A17&amp;RIGHT(J$8,2),Data!$A$5:$A$175,0), MATCH($A$5, Data!$A$5:$M$5,0)),"")</f>
        <v>19</v>
      </c>
      <c r="K17" s="118">
        <f>IFERROR(INDEX(Data!$A$5:$M$175,MATCH('Forecast drivers'!$A17&amp;RIGHT(K$8,2),Data!$A$5:$A$175,0), MATCH($A$5, Data!$A$5:$M$5,0)),"")</f>
        <v>8</v>
      </c>
      <c r="L17" s="118">
        <f>IFERROR(INDEX(Data!$A$5:$M$175,MATCH('Forecast drivers'!$A17&amp;RIGHT(L$8,2),Data!$A$5:$A$175,0), MATCH($A$5, Data!$A$5:$M$5,0)),"")</f>
        <v>9</v>
      </c>
      <c r="M17" s="118">
        <f>IFERROR(INDEX(Data!$A$5:$M$175,MATCH('Forecast drivers'!$A17&amp;RIGHT(M$8,2),Data!$A$5:$A$175,0), MATCH($A$5, Data!$A$5:$M$5,0)),"")</f>
        <v>11</v>
      </c>
      <c r="N17" s="118">
        <f>IFERROR(INDEX(Data!$A$5:$M$175,MATCH('Forecast drivers'!$A17&amp;RIGHT(N$8,2),Data!$A$5:$A$175,0), MATCH($A$5, Data!$A$5:$M$5,0)),"")</f>
        <v>8</v>
      </c>
      <c r="O17" s="118">
        <f>IFERROR(INDEX(Data!$A$5:$M$175,MATCH('Forecast drivers'!$A17&amp;RIGHT(O$8,2),Data!$A$5:$A$175,0), MATCH($A$5, Data!$A$5:$M$5,0)),"")</f>
        <v>13</v>
      </c>
      <c r="P17" s="119" t="str">
        <f t="shared" si="10"/>
        <v/>
      </c>
      <c r="Q17" s="119" t="str">
        <f t="shared" si="10"/>
        <v/>
      </c>
      <c r="R17" s="119" t="str">
        <f t="shared" si="10"/>
        <v/>
      </c>
      <c r="S17" s="119" t="str">
        <f t="shared" si="10"/>
        <v/>
      </c>
      <c r="T17" s="119" t="str">
        <f t="shared" si="10"/>
        <v/>
      </c>
      <c r="U17" s="119" t="str">
        <f t="shared" si="10"/>
        <v/>
      </c>
      <c r="V17" s="119" t="str">
        <f t="shared" si="10"/>
        <v/>
      </c>
      <c r="W17" s="120">
        <f t="shared" si="1"/>
        <v>19</v>
      </c>
      <c r="X17" s="120">
        <f t="shared" si="2"/>
        <v>19</v>
      </c>
      <c r="Y17" s="120">
        <f t="shared" si="3"/>
        <v>8</v>
      </c>
      <c r="Z17" s="120">
        <f t="shared" si="4"/>
        <v>9</v>
      </c>
      <c r="AA17" s="120">
        <f t="shared" si="5"/>
        <v>11</v>
      </c>
      <c r="AB17" s="120">
        <f t="shared" si="6"/>
        <v>8</v>
      </c>
      <c r="AC17" s="120">
        <f t="shared" si="7"/>
        <v>13</v>
      </c>
      <c r="AD17" s="103"/>
      <c r="AE17" s="110" t="s">
        <v>60</v>
      </c>
      <c r="AF17" s="111" t="s">
        <v>60</v>
      </c>
      <c r="AG17" s="112" t="str">
        <f t="shared" si="8"/>
        <v>OK</v>
      </c>
      <c r="AI17" s="207" t="s">
        <v>302</v>
      </c>
      <c r="AJ17" s="192"/>
      <c r="AK17" s="192"/>
      <c r="AL17" s="192"/>
      <c r="AM17" s="192"/>
      <c r="AN17" s="192"/>
      <c r="AO17" s="192"/>
      <c r="AP17" s="192"/>
      <c r="AQ17" s="192"/>
      <c r="AR17" s="192"/>
      <c r="AS17" s="208"/>
      <c r="AT17" s="209"/>
    </row>
    <row r="18" spans="1:46" x14ac:dyDescent="0.45">
      <c r="A18" s="85" t="s">
        <v>14</v>
      </c>
      <c r="B18" s="127">
        <f>IFERROR(INDEX(Data!$A$5:$M$175,MATCH('Forecast drivers'!$A18&amp;RIGHT(B$8,2),Data!$A$5:$A$175,0), MATCH($A$5, Data!$A$5:$M$5,0)),"")</f>
        <v>0</v>
      </c>
      <c r="C18" s="127">
        <f>IFERROR(INDEX(Data!$A$5:$M$175,MATCH('Forecast drivers'!$A18&amp;RIGHT(C$8,2),Data!$A$5:$A$175,0), MATCH($A$5, Data!$A$5:$M$5,0)),"")</f>
        <v>2</v>
      </c>
      <c r="D18" s="127">
        <f>IFERROR(INDEX(Data!$A$5:$M$175,MATCH('Forecast drivers'!$A18&amp;RIGHT(D$8,2),Data!$A$5:$A$175,0), MATCH($A$5, Data!$A$5:$M$5,0)),"")</f>
        <v>0</v>
      </c>
      <c r="E18" s="127">
        <f>IFERROR(INDEX(Data!$A$5:$M$175,MATCH('Forecast drivers'!$A18&amp;RIGHT(E$8,2),Data!$A$5:$A$175,0), MATCH($A$5, Data!$A$5:$M$5,0)),"")</f>
        <v>0</v>
      </c>
      <c r="F18" s="127">
        <f>IFERROR(INDEX(Data!$A$5:$M$175,MATCH('Forecast drivers'!$A18&amp;RIGHT(F$8,2),Data!$A$5:$A$175,0), MATCH($A$5, Data!$A$5:$M$5,0)),"")</f>
        <v>0</v>
      </c>
      <c r="G18" s="127">
        <f>IFERROR(INDEX(Data!$A$5:$M$175,MATCH('Forecast drivers'!$A18&amp;RIGHT(G$8,2),Data!$A$5:$A$175,0), MATCH($A$5, Data!$A$5:$M$5,0)),"")</f>
        <v>0</v>
      </c>
      <c r="H18" s="127">
        <f>IFERROR(INDEX(Data!$A$5:$M$175,MATCH('Forecast drivers'!$A18&amp;RIGHT(H$8,2),Data!$A$5:$A$175,0), MATCH($A$5, Data!$A$5:$M$5,0)),"")</f>
        <v>0</v>
      </c>
      <c r="I18" s="118">
        <f>IFERROR(INDEX(Data!$A$5:$M$175,MATCH('Forecast drivers'!$A18&amp;RIGHT(I$8,2),Data!$A$5:$A$175,0), MATCH($A$5, Data!$A$5:$M$5,0)),"")</f>
        <v>6</v>
      </c>
      <c r="J18" s="118">
        <f>IFERROR(INDEX(Data!$A$5:$M$175,MATCH('Forecast drivers'!$A18&amp;RIGHT(J$8,2),Data!$A$5:$A$175,0), MATCH($A$5, Data!$A$5:$M$5,0)),"")</f>
        <v>14</v>
      </c>
      <c r="K18" s="118">
        <f>IFERROR(INDEX(Data!$A$5:$M$175,MATCH('Forecast drivers'!$A18&amp;RIGHT(K$8,2),Data!$A$5:$A$175,0), MATCH($A$5, Data!$A$5:$M$5,0)),"")</f>
        <v>0</v>
      </c>
      <c r="L18" s="118">
        <f>IFERROR(INDEX(Data!$A$5:$M$175,MATCH('Forecast drivers'!$A18&amp;RIGHT(L$8,2),Data!$A$5:$A$175,0), MATCH($A$5, Data!$A$5:$M$5,0)),"")</f>
        <v>0</v>
      </c>
      <c r="M18" s="118">
        <f>IFERROR(INDEX(Data!$A$5:$M$175,MATCH('Forecast drivers'!$A18&amp;RIGHT(M$8,2),Data!$A$5:$A$175,0), MATCH($A$5, Data!$A$5:$M$5,0)),"")</f>
        <v>0</v>
      </c>
      <c r="N18" s="118">
        <f>IFERROR(INDEX(Data!$A$5:$M$175,MATCH('Forecast drivers'!$A18&amp;RIGHT(N$8,2),Data!$A$5:$A$175,0), MATCH($A$5, Data!$A$5:$M$5,0)),"")</f>
        <v>16</v>
      </c>
      <c r="O18" s="118">
        <f>IFERROR(INDEX(Data!$A$5:$M$175,MATCH('Forecast drivers'!$A18&amp;RIGHT(O$8,2),Data!$A$5:$A$175,0), MATCH($A$5, Data!$A$5:$M$5,0)),"")</f>
        <v>12</v>
      </c>
      <c r="P18" s="119">
        <f t="shared" si="10"/>
        <v>-0.2857142857142857</v>
      </c>
      <c r="Q18" s="119">
        <f t="shared" si="10"/>
        <v>-0.42857142857142849</v>
      </c>
      <c r="R18" s="119">
        <f t="shared" si="10"/>
        <v>-0.57142857142857129</v>
      </c>
      <c r="S18" s="119">
        <f t="shared" si="10"/>
        <v>-0.7142857142857143</v>
      </c>
      <c r="T18" s="119">
        <f t="shared" si="10"/>
        <v>-0.8571428571428571</v>
      </c>
      <c r="U18" s="119">
        <f t="shared" si="10"/>
        <v>-0.99999999999999989</v>
      </c>
      <c r="V18" s="119">
        <f t="shared" si="10"/>
        <v>-1.1428571428571428</v>
      </c>
      <c r="W18" s="120">
        <f t="shared" si="1"/>
        <v>14</v>
      </c>
      <c r="X18" s="120">
        <f t="shared" si="2"/>
        <v>14</v>
      </c>
      <c r="Y18" s="120">
        <f t="shared" si="3"/>
        <v>0</v>
      </c>
      <c r="Z18" s="120">
        <f t="shared" si="4"/>
        <v>0</v>
      </c>
      <c r="AA18" s="120">
        <f t="shared" si="5"/>
        <v>0</v>
      </c>
      <c r="AB18" s="120">
        <f t="shared" si="6"/>
        <v>16</v>
      </c>
      <c r="AC18" s="120">
        <f t="shared" si="7"/>
        <v>12</v>
      </c>
      <c r="AD18" s="103"/>
      <c r="AE18" s="110" t="s">
        <v>60</v>
      </c>
      <c r="AF18" s="111" t="s">
        <v>60</v>
      </c>
      <c r="AG18" s="112" t="str">
        <f t="shared" si="8"/>
        <v>OK</v>
      </c>
      <c r="AI18" s="207" t="s">
        <v>303</v>
      </c>
      <c r="AJ18" s="192"/>
      <c r="AK18" s="192"/>
      <c r="AL18" s="192"/>
      <c r="AM18" s="192"/>
      <c r="AN18" s="192"/>
      <c r="AO18" s="192"/>
      <c r="AP18" s="192"/>
      <c r="AQ18" s="192"/>
      <c r="AR18" s="192"/>
      <c r="AS18" s="208"/>
      <c r="AT18" s="209"/>
    </row>
    <row r="19" spans="1:46" x14ac:dyDescent="0.45">
      <c r="A19" s="85" t="s">
        <v>15</v>
      </c>
      <c r="B19" s="127">
        <f>IFERROR(INDEX(Data!$A$5:$M$175,MATCH('Forecast drivers'!$A19&amp;RIGHT(B$8,2),Data!$A$5:$A$175,0), MATCH($A$5, Data!$A$5:$M$5,0)),"")</f>
        <v>0</v>
      </c>
      <c r="C19" s="127">
        <f>IFERROR(INDEX(Data!$A$5:$M$175,MATCH('Forecast drivers'!$A19&amp;RIGHT(C$8,2),Data!$A$5:$A$175,0), MATCH($A$5, Data!$A$5:$M$5,0)),"")</f>
        <v>107</v>
      </c>
      <c r="D19" s="127">
        <f>IFERROR(INDEX(Data!$A$5:$M$175,MATCH('Forecast drivers'!$A19&amp;RIGHT(D$8,2),Data!$A$5:$A$175,0), MATCH($A$5, Data!$A$5:$M$5,0)),"")</f>
        <v>9</v>
      </c>
      <c r="E19" s="127">
        <f>IFERROR(INDEX(Data!$A$5:$M$175,MATCH('Forecast drivers'!$A19&amp;RIGHT(E$8,2),Data!$A$5:$A$175,0), MATCH($A$5, Data!$A$5:$M$5,0)),"")</f>
        <v>12</v>
      </c>
      <c r="F19" s="127">
        <f>IFERROR(INDEX(Data!$A$5:$M$175,MATCH('Forecast drivers'!$A19&amp;RIGHT(F$8,2),Data!$A$5:$A$175,0), MATCH($A$5, Data!$A$5:$M$5,0)),"")</f>
        <v>0</v>
      </c>
      <c r="G19" s="127">
        <f>IFERROR(INDEX(Data!$A$5:$M$175,MATCH('Forecast drivers'!$A19&amp;RIGHT(G$8,2),Data!$A$5:$A$175,0), MATCH($A$5, Data!$A$5:$M$5,0)),"")</f>
        <v>31</v>
      </c>
      <c r="H19" s="127">
        <f>IFERROR(INDEX(Data!$A$5:$M$175,MATCH('Forecast drivers'!$A19&amp;RIGHT(H$8,2),Data!$A$5:$A$175,0), MATCH($A$5, Data!$A$5:$M$5,0)),"")</f>
        <v>10</v>
      </c>
      <c r="I19" s="118">
        <f>IFERROR(INDEX(Data!$A$5:$M$175,MATCH('Forecast drivers'!$A19&amp;RIGHT(I$8,2),Data!$A$5:$A$175,0), MATCH($A$5, Data!$A$5:$M$5,0)),"")</f>
        <v>31</v>
      </c>
      <c r="J19" s="118">
        <f>IFERROR(INDEX(Data!$A$5:$M$175,MATCH('Forecast drivers'!$A19&amp;RIGHT(J$8,2),Data!$A$5:$A$175,0), MATCH($A$5, Data!$A$5:$M$5,0)),"")</f>
        <v>2</v>
      </c>
      <c r="K19" s="118">
        <f>IFERROR(INDEX(Data!$A$5:$M$175,MATCH('Forecast drivers'!$A19&amp;RIGHT(K$8,2),Data!$A$5:$A$175,0), MATCH($A$5, Data!$A$5:$M$5,0)),"")</f>
        <v>0</v>
      </c>
      <c r="L19" s="118">
        <f>IFERROR(INDEX(Data!$A$5:$M$175,MATCH('Forecast drivers'!$A19&amp;RIGHT(L$8,2),Data!$A$5:$A$175,0), MATCH($A$5, Data!$A$5:$M$5,0)),"")</f>
        <v>9</v>
      </c>
      <c r="M19" s="118">
        <f>IFERROR(INDEX(Data!$A$5:$M$175,MATCH('Forecast drivers'!$A19&amp;RIGHT(M$8,2),Data!$A$5:$A$175,0), MATCH($A$5, Data!$A$5:$M$5,0)),"")</f>
        <v>27</v>
      </c>
      <c r="N19" s="118">
        <f>IFERROR(INDEX(Data!$A$5:$M$175,MATCH('Forecast drivers'!$A19&amp;RIGHT(N$8,2),Data!$A$5:$A$175,0), MATCH($A$5, Data!$A$5:$M$5,0)),"")</f>
        <v>11</v>
      </c>
      <c r="O19" s="118">
        <f>IFERROR(INDEX(Data!$A$5:$M$175,MATCH('Forecast drivers'!$A19&amp;RIGHT(O$8,2),Data!$A$5:$A$175,0), MATCH($A$5, Data!$A$5:$M$5,0)),"")</f>
        <v>11</v>
      </c>
      <c r="P19" s="119">
        <f t="shared" si="10"/>
        <v>5.4285714285714306</v>
      </c>
      <c r="Q19" s="119">
        <f t="shared" si="10"/>
        <v>0.75</v>
      </c>
      <c r="R19" s="119">
        <f t="shared" si="10"/>
        <v>-3.9285714285714306</v>
      </c>
      <c r="S19" s="119">
        <f t="shared" si="10"/>
        <v>-8.6071428571428541</v>
      </c>
      <c r="T19" s="119">
        <f t="shared" si="10"/>
        <v>-13.285714285714285</v>
      </c>
      <c r="U19" s="119">
        <f t="shared" si="10"/>
        <v>-17.964285714285715</v>
      </c>
      <c r="V19" s="119">
        <f t="shared" si="10"/>
        <v>-22.642857142857139</v>
      </c>
      <c r="W19" s="120">
        <f t="shared" si="1"/>
        <v>2</v>
      </c>
      <c r="X19" s="120">
        <f t="shared" si="2"/>
        <v>2</v>
      </c>
      <c r="Y19" s="120">
        <f t="shared" si="3"/>
        <v>0</v>
      </c>
      <c r="Z19" s="120">
        <f t="shared" si="4"/>
        <v>9</v>
      </c>
      <c r="AA19" s="120">
        <f t="shared" si="5"/>
        <v>27</v>
      </c>
      <c r="AB19" s="120">
        <f t="shared" si="6"/>
        <v>11</v>
      </c>
      <c r="AC19" s="120">
        <f t="shared" si="7"/>
        <v>11</v>
      </c>
      <c r="AD19" s="103"/>
      <c r="AE19" s="110" t="s">
        <v>60</v>
      </c>
      <c r="AF19" s="111" t="s">
        <v>60</v>
      </c>
      <c r="AG19" s="112" t="str">
        <f t="shared" si="8"/>
        <v>OK</v>
      </c>
      <c r="AI19" s="210"/>
      <c r="AJ19" s="192"/>
      <c r="AK19" s="192"/>
      <c r="AL19" s="192"/>
      <c r="AM19" s="192"/>
      <c r="AN19" s="192"/>
      <c r="AO19" s="192"/>
      <c r="AP19" s="192"/>
      <c r="AQ19" s="192"/>
      <c r="AR19" s="192"/>
      <c r="AS19" s="208"/>
      <c r="AT19" s="209"/>
    </row>
    <row r="20" spans="1:46" x14ac:dyDescent="0.45">
      <c r="A20" s="85" t="s">
        <v>16</v>
      </c>
      <c r="B20" s="127">
        <f>IFERROR(INDEX(Data!$A$5:$M$175,MATCH('Forecast drivers'!$A20&amp;RIGHT(B$8,2),Data!$A$5:$A$175,0), MATCH($A$5, Data!$A$5:$M$5,0)),"")</f>
        <v>25</v>
      </c>
      <c r="C20" s="127">
        <f>IFERROR(INDEX(Data!$A$5:$M$175,MATCH('Forecast drivers'!$A20&amp;RIGHT(C$8,2),Data!$A$5:$A$175,0), MATCH($A$5, Data!$A$5:$M$5,0)),"")</f>
        <v>6</v>
      </c>
      <c r="D20" s="127">
        <f>IFERROR(INDEX(Data!$A$5:$M$175,MATCH('Forecast drivers'!$A20&amp;RIGHT(D$8,2),Data!$A$5:$A$175,0), MATCH($A$5, Data!$A$5:$M$5,0)),"")</f>
        <v>354</v>
      </c>
      <c r="E20" s="127">
        <f>IFERROR(INDEX(Data!$A$5:$M$175,MATCH('Forecast drivers'!$A20&amp;RIGHT(E$8,2),Data!$A$5:$A$175,0), MATCH($A$5, Data!$A$5:$M$5,0)),"")</f>
        <v>0</v>
      </c>
      <c r="F20" s="127">
        <f>IFERROR(INDEX(Data!$A$5:$M$175,MATCH('Forecast drivers'!$A20&amp;RIGHT(F$8,2),Data!$A$5:$A$175,0), MATCH($A$5, Data!$A$5:$M$5,0)),"")</f>
        <v>23</v>
      </c>
      <c r="G20" s="127">
        <f>IFERROR(INDEX(Data!$A$5:$M$175,MATCH('Forecast drivers'!$A20&amp;RIGHT(G$8,2),Data!$A$5:$A$175,0), MATCH($A$5, Data!$A$5:$M$5,0)),"")</f>
        <v>0</v>
      </c>
      <c r="H20" s="127">
        <f>IFERROR(INDEX(Data!$A$5:$M$175,MATCH('Forecast drivers'!$A20&amp;RIGHT(H$8,2),Data!$A$5:$A$175,0), MATCH($A$5, Data!$A$5:$M$5,0)),"")</f>
        <v>8</v>
      </c>
      <c r="I20" s="118">
        <f>IFERROR(INDEX(Data!$A$5:$M$175,MATCH('Forecast drivers'!$A20&amp;RIGHT(I$8,2),Data!$A$5:$A$175,0), MATCH($A$5, Data!$A$5:$M$5,0)),"")</f>
        <v>0</v>
      </c>
      <c r="J20" s="118">
        <f>IFERROR(INDEX(Data!$A$5:$M$175,MATCH('Forecast drivers'!$A20&amp;RIGHT(J$8,2),Data!$A$5:$A$175,0), MATCH($A$5, Data!$A$5:$M$5,0)),"")</f>
        <v>16</v>
      </c>
      <c r="K20" s="118">
        <f>IFERROR(INDEX(Data!$A$5:$M$175,MATCH('Forecast drivers'!$A20&amp;RIGHT(K$8,2),Data!$A$5:$A$175,0), MATCH($A$5, Data!$A$5:$M$5,0)),"")</f>
        <v>19</v>
      </c>
      <c r="L20" s="118">
        <f>IFERROR(INDEX(Data!$A$5:$M$175,MATCH('Forecast drivers'!$A20&amp;RIGHT(L$8,2),Data!$A$5:$A$175,0), MATCH($A$5, Data!$A$5:$M$5,0)),"")</f>
        <v>6</v>
      </c>
      <c r="M20" s="118">
        <f>IFERROR(INDEX(Data!$A$5:$M$175,MATCH('Forecast drivers'!$A20&amp;RIGHT(M$8,2),Data!$A$5:$A$175,0), MATCH($A$5, Data!$A$5:$M$5,0)),"")</f>
        <v>0</v>
      </c>
      <c r="N20" s="118">
        <f>IFERROR(INDEX(Data!$A$5:$M$175,MATCH('Forecast drivers'!$A20&amp;RIGHT(N$8,2),Data!$A$5:$A$175,0), MATCH($A$5, Data!$A$5:$M$5,0)),"")</f>
        <v>10</v>
      </c>
      <c r="O20" s="118">
        <f>IFERROR(INDEX(Data!$A$5:$M$175,MATCH('Forecast drivers'!$A20&amp;RIGHT(O$8,2),Data!$A$5:$A$175,0), MATCH($A$5, Data!$A$5:$M$5,0)),"")</f>
        <v>10</v>
      </c>
      <c r="P20" s="119">
        <f t="shared" si="10"/>
        <v>3.142857142857153</v>
      </c>
      <c r="Q20" s="119">
        <f t="shared" si="10"/>
        <v>-10.928571428571416</v>
      </c>
      <c r="R20" s="119">
        <f t="shared" si="10"/>
        <v>-24.999999999999986</v>
      </c>
      <c r="S20" s="119">
        <f t="shared" si="10"/>
        <v>-39.071428571428569</v>
      </c>
      <c r="T20" s="119">
        <f t="shared" si="10"/>
        <v>-53.142857142857125</v>
      </c>
      <c r="U20" s="119">
        <f t="shared" si="10"/>
        <v>-67.21428571428568</v>
      </c>
      <c r="V20" s="119">
        <f t="shared" si="10"/>
        <v>-81.285714285714263</v>
      </c>
      <c r="W20" s="120">
        <f t="shared" si="1"/>
        <v>16</v>
      </c>
      <c r="X20" s="120">
        <f t="shared" si="2"/>
        <v>16</v>
      </c>
      <c r="Y20" s="120">
        <f t="shared" si="3"/>
        <v>19</v>
      </c>
      <c r="Z20" s="120">
        <f t="shared" si="4"/>
        <v>6</v>
      </c>
      <c r="AA20" s="120">
        <f t="shared" si="5"/>
        <v>0</v>
      </c>
      <c r="AB20" s="120">
        <f t="shared" si="6"/>
        <v>10</v>
      </c>
      <c r="AC20" s="120">
        <f t="shared" si="7"/>
        <v>10</v>
      </c>
      <c r="AD20" s="103"/>
      <c r="AE20" s="110" t="s">
        <v>60</v>
      </c>
      <c r="AF20" s="111" t="s">
        <v>60</v>
      </c>
      <c r="AG20" s="112" t="str">
        <f t="shared" si="8"/>
        <v>OK</v>
      </c>
      <c r="AI20" s="210"/>
      <c r="AJ20" s="192"/>
      <c r="AK20" s="192"/>
      <c r="AL20" s="192"/>
      <c r="AM20" s="192"/>
      <c r="AN20" s="192"/>
      <c r="AO20" s="192"/>
      <c r="AP20" s="192"/>
      <c r="AQ20" s="192"/>
      <c r="AR20" s="192"/>
      <c r="AS20" s="208"/>
      <c r="AT20" s="209"/>
    </row>
    <row r="21" spans="1:46" x14ac:dyDescent="0.45">
      <c r="A21" s="85" t="s">
        <v>17</v>
      </c>
      <c r="B21" s="127">
        <f>IFERROR(INDEX(Data!$A$5:$M$175,MATCH('Forecast drivers'!$A21&amp;RIGHT(B$8,2),Data!$A$5:$A$175,0), MATCH($A$5, Data!$A$5:$M$5,0)),"")</f>
        <v>0</v>
      </c>
      <c r="C21" s="127">
        <f>IFERROR(INDEX(Data!$A$5:$M$175,MATCH('Forecast drivers'!$A21&amp;RIGHT(C$8,2),Data!$A$5:$A$175,0), MATCH($A$5, Data!$A$5:$M$5,0)),"")</f>
        <v>0</v>
      </c>
      <c r="D21" s="127">
        <f>IFERROR(INDEX(Data!$A$5:$M$175,MATCH('Forecast drivers'!$A21&amp;RIGHT(D$8,2),Data!$A$5:$A$175,0), MATCH($A$5, Data!$A$5:$M$5,0)),"")</f>
        <v>0</v>
      </c>
      <c r="E21" s="127">
        <f>IFERROR(INDEX(Data!$A$5:$M$175,MATCH('Forecast drivers'!$A21&amp;RIGHT(E$8,2),Data!$A$5:$A$175,0), MATCH($A$5, Data!$A$5:$M$5,0)),"")</f>
        <v>11</v>
      </c>
      <c r="F21" s="127">
        <f>IFERROR(INDEX(Data!$A$5:$M$175,MATCH('Forecast drivers'!$A21&amp;RIGHT(F$8,2),Data!$A$5:$A$175,0), MATCH($A$5, Data!$A$5:$M$5,0)),"")</f>
        <v>0</v>
      </c>
      <c r="G21" s="127">
        <f>IFERROR(INDEX(Data!$A$5:$M$175,MATCH('Forecast drivers'!$A21&amp;RIGHT(G$8,2),Data!$A$5:$A$175,0), MATCH($A$5, Data!$A$5:$M$5,0)),"")</f>
        <v>0</v>
      </c>
      <c r="H21" s="127">
        <f>IFERROR(INDEX(Data!$A$5:$M$175,MATCH('Forecast drivers'!$A21&amp;RIGHT(H$8,2),Data!$A$5:$A$175,0), MATCH($A$5, Data!$A$5:$M$5,0)),"")</f>
        <v>11</v>
      </c>
      <c r="I21" s="118">
        <f>IFERROR(INDEX(Data!$A$5:$M$175,MATCH('Forecast drivers'!$A21&amp;RIGHT(I$8,2),Data!$A$5:$A$175,0), MATCH($A$5, Data!$A$5:$M$5,0)),"")</f>
        <v>0</v>
      </c>
      <c r="J21" s="118">
        <f>IFERROR(INDEX(Data!$A$5:$M$175,MATCH('Forecast drivers'!$A21&amp;RIGHT(J$8,2),Data!$A$5:$A$175,0), MATCH($A$5, Data!$A$5:$M$5,0)),"")</f>
        <v>0</v>
      </c>
      <c r="K21" s="118">
        <f>IFERROR(INDEX(Data!$A$5:$M$175,MATCH('Forecast drivers'!$A21&amp;RIGHT(K$8,2),Data!$A$5:$A$175,0), MATCH($A$5, Data!$A$5:$M$5,0)),"")</f>
        <v>5</v>
      </c>
      <c r="L21" s="118">
        <f>IFERROR(INDEX(Data!$A$5:$M$175,MATCH('Forecast drivers'!$A21&amp;RIGHT(L$8,2),Data!$A$5:$A$175,0), MATCH($A$5, Data!$A$5:$M$5,0)),"")</f>
        <v>5</v>
      </c>
      <c r="M21" s="118">
        <f>IFERROR(INDEX(Data!$A$5:$M$175,MATCH('Forecast drivers'!$A21&amp;RIGHT(M$8,2),Data!$A$5:$A$175,0), MATCH($A$5, Data!$A$5:$M$5,0)),"")</f>
        <v>5</v>
      </c>
      <c r="N21" s="118">
        <f>IFERROR(INDEX(Data!$A$5:$M$175,MATCH('Forecast drivers'!$A21&amp;RIGHT(N$8,2),Data!$A$5:$A$175,0), MATCH($A$5, Data!$A$5:$M$5,0)),"")</f>
        <v>5</v>
      </c>
      <c r="O21" s="118">
        <f>IFERROR(INDEX(Data!$A$5:$M$175,MATCH('Forecast drivers'!$A21&amp;RIGHT(O$8,2),Data!$A$5:$A$175,0), MATCH($A$5, Data!$A$5:$M$5,0)),"")</f>
        <v>5</v>
      </c>
      <c r="P21" s="119">
        <f t="shared" si="10"/>
        <v>7.8571428571428577</v>
      </c>
      <c r="Q21" s="119">
        <f t="shared" si="10"/>
        <v>9.0357142857142865</v>
      </c>
      <c r="R21" s="119">
        <f t="shared" si="10"/>
        <v>10.214285714285715</v>
      </c>
      <c r="S21" s="119">
        <f t="shared" si="10"/>
        <v>11.392857142857144</v>
      </c>
      <c r="T21" s="119">
        <f t="shared" si="10"/>
        <v>12.571428571428571</v>
      </c>
      <c r="U21" s="119">
        <f t="shared" si="10"/>
        <v>13.75</v>
      </c>
      <c r="V21" s="119">
        <f t="shared" si="10"/>
        <v>14.928571428571429</v>
      </c>
      <c r="W21" s="120">
        <f t="shared" si="1"/>
        <v>0</v>
      </c>
      <c r="X21" s="120">
        <f t="shared" si="2"/>
        <v>0</v>
      </c>
      <c r="Y21" s="120">
        <f t="shared" si="3"/>
        <v>5</v>
      </c>
      <c r="Z21" s="120">
        <f t="shared" si="4"/>
        <v>5</v>
      </c>
      <c r="AA21" s="120">
        <f t="shared" si="5"/>
        <v>5</v>
      </c>
      <c r="AB21" s="120">
        <f t="shared" si="6"/>
        <v>5</v>
      </c>
      <c r="AC21" s="120">
        <f t="shared" si="7"/>
        <v>5</v>
      </c>
      <c r="AD21" s="103"/>
      <c r="AE21" s="110" t="s">
        <v>60</v>
      </c>
      <c r="AF21" s="111" t="s">
        <v>60</v>
      </c>
      <c r="AG21" s="112" t="str">
        <f t="shared" si="8"/>
        <v>OK</v>
      </c>
      <c r="AI21" s="210"/>
      <c r="AJ21" s="192"/>
      <c r="AK21" s="192"/>
      <c r="AL21" s="192"/>
      <c r="AM21" s="192"/>
      <c r="AN21" s="192"/>
      <c r="AO21" s="192"/>
      <c r="AP21" s="192"/>
      <c r="AQ21" s="192"/>
      <c r="AR21" s="192"/>
      <c r="AS21" s="208"/>
      <c r="AT21" s="209"/>
    </row>
    <row r="22" spans="1:46" x14ac:dyDescent="0.45">
      <c r="A22" s="86" t="s">
        <v>76</v>
      </c>
      <c r="B22" s="122">
        <f t="shared" ref="B22:AC22" si="11">SUM(B$10:B$21)</f>
        <v>971</v>
      </c>
      <c r="C22" s="122">
        <f t="shared" si="11"/>
        <v>1195</v>
      </c>
      <c r="D22" s="122">
        <f t="shared" si="11"/>
        <v>753</v>
      </c>
      <c r="E22" s="122">
        <f t="shared" si="11"/>
        <v>1298</v>
      </c>
      <c r="F22" s="122">
        <f t="shared" si="11"/>
        <v>162</v>
      </c>
      <c r="G22" s="122">
        <f t="shared" si="11"/>
        <v>208</v>
      </c>
      <c r="H22" s="122">
        <f t="shared" si="11"/>
        <v>233</v>
      </c>
      <c r="I22" s="87">
        <f t="shared" si="11"/>
        <v>924</v>
      </c>
      <c r="J22" s="87">
        <f t="shared" si="11"/>
        <v>863</v>
      </c>
      <c r="K22" s="87">
        <f t="shared" si="11"/>
        <v>87</v>
      </c>
      <c r="L22" s="87">
        <f t="shared" si="11"/>
        <v>197</v>
      </c>
      <c r="M22" s="87">
        <f t="shared" si="11"/>
        <v>421</v>
      </c>
      <c r="N22" s="87">
        <f t="shared" si="11"/>
        <v>169</v>
      </c>
      <c r="O22" s="87">
        <f t="shared" si="11"/>
        <v>297</v>
      </c>
      <c r="P22" s="123">
        <f t="shared" si="11"/>
        <v>-16.42857142857147</v>
      </c>
      <c r="Q22" s="123">
        <f t="shared" si="11"/>
        <v>-191.28571428571433</v>
      </c>
      <c r="R22" s="123">
        <f t="shared" si="11"/>
        <v>-366.14285714285722</v>
      </c>
      <c r="S22" s="123">
        <f t="shared" si="11"/>
        <v>-541.00000000000011</v>
      </c>
      <c r="T22" s="123">
        <f t="shared" si="11"/>
        <v>-715.857142857143</v>
      </c>
      <c r="U22" s="123">
        <f t="shared" si="11"/>
        <v>-890.71428571428567</v>
      </c>
      <c r="V22" s="123">
        <f t="shared" si="11"/>
        <v>-1065.5714285714287</v>
      </c>
      <c r="W22" s="124">
        <f t="shared" si="11"/>
        <v>863</v>
      </c>
      <c r="X22" s="124">
        <f t="shared" si="11"/>
        <v>863</v>
      </c>
      <c r="Y22" s="124">
        <f t="shared" si="11"/>
        <v>87</v>
      </c>
      <c r="Z22" s="124">
        <f t="shared" si="11"/>
        <v>197</v>
      </c>
      <c r="AA22" s="124">
        <f t="shared" si="11"/>
        <v>421</v>
      </c>
      <c r="AB22" s="124">
        <f t="shared" si="11"/>
        <v>169</v>
      </c>
      <c r="AC22" s="125">
        <f t="shared" si="11"/>
        <v>297</v>
      </c>
      <c r="AE22" s="110" t="s">
        <v>60</v>
      </c>
      <c r="AF22" s="111" t="s">
        <v>60</v>
      </c>
      <c r="AG22" s="112" t="str">
        <f t="shared" si="8"/>
        <v>OK</v>
      </c>
      <c r="AI22" s="211"/>
      <c r="AJ22" s="212"/>
      <c r="AK22" s="212"/>
      <c r="AL22" s="212"/>
      <c r="AM22" s="212"/>
      <c r="AN22" s="212"/>
      <c r="AO22" s="212"/>
      <c r="AP22" s="212"/>
      <c r="AQ22" s="212"/>
      <c r="AR22" s="212"/>
      <c r="AS22" s="213"/>
      <c r="AT22" s="214"/>
    </row>
    <row r="23" spans="1:46" x14ac:dyDescent="0.45">
      <c r="A23" s="132"/>
      <c r="B23" s="133"/>
      <c r="C23" s="133"/>
      <c r="D23" s="133"/>
      <c r="E23" s="133"/>
      <c r="F23" s="133"/>
      <c r="G23" s="133"/>
      <c r="H23" s="133"/>
      <c r="I23" s="134"/>
      <c r="J23" s="134"/>
      <c r="K23" s="134"/>
      <c r="L23" s="134"/>
      <c r="M23" s="134"/>
      <c r="N23" s="134"/>
      <c r="O23" s="134"/>
      <c r="P23" s="135"/>
      <c r="Q23" s="135"/>
      <c r="R23" s="135"/>
      <c r="S23" s="135"/>
      <c r="T23" s="135"/>
      <c r="U23" s="135"/>
      <c r="V23" s="135"/>
      <c r="W23" s="136"/>
      <c r="X23" s="136"/>
      <c r="Y23" s="136"/>
      <c r="Z23" s="136"/>
      <c r="AA23" s="136"/>
      <c r="AB23" s="136"/>
      <c r="AC23" s="136"/>
      <c r="AE23" s="137"/>
      <c r="AF23" s="138"/>
      <c r="AG23" s="139"/>
    </row>
    <row r="24" spans="1:46" x14ac:dyDescent="0.45">
      <c r="A24" s="132"/>
      <c r="B24" s="133"/>
      <c r="C24" s="133"/>
      <c r="D24" s="133"/>
      <c r="E24" s="133"/>
      <c r="F24" s="133"/>
      <c r="G24" s="133"/>
      <c r="H24" s="133"/>
      <c r="I24" s="134"/>
      <c r="J24" s="134"/>
      <c r="K24" s="134"/>
      <c r="L24" s="134"/>
      <c r="M24" s="134"/>
      <c r="N24" s="134"/>
      <c r="O24" s="134"/>
      <c r="P24" s="135"/>
      <c r="Q24" s="135"/>
      <c r="R24" s="135"/>
      <c r="S24" s="135"/>
      <c r="T24" s="135"/>
      <c r="U24" s="135"/>
      <c r="V24" s="135"/>
      <c r="W24" s="136"/>
      <c r="X24" s="136"/>
      <c r="Y24" s="136"/>
      <c r="Z24" s="136"/>
      <c r="AA24" s="136"/>
      <c r="AB24" s="136"/>
      <c r="AC24" s="136"/>
      <c r="AE24" s="137"/>
      <c r="AF24" s="138"/>
      <c r="AG24" s="139"/>
    </row>
    <row r="25" spans="1:46" ht="17.649999999999999" x14ac:dyDescent="0.5">
      <c r="A25" s="91" t="s">
        <v>258</v>
      </c>
      <c r="B25" s="92"/>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row>
    <row r="26" spans="1:46" x14ac:dyDescent="0.45">
      <c r="A26" s="94" t="s">
        <v>256</v>
      </c>
      <c r="B26" s="95"/>
      <c r="C26" s="68"/>
      <c r="D26" s="68"/>
      <c r="E26" s="68"/>
      <c r="F26" s="68"/>
      <c r="G26" s="68"/>
      <c r="H26" s="68"/>
      <c r="I26" s="68"/>
      <c r="J26" s="68"/>
      <c r="K26" s="68"/>
      <c r="L26" s="68"/>
      <c r="M26" s="68"/>
      <c r="N26" s="68"/>
      <c r="O26" s="68"/>
      <c r="P26" s="68"/>
      <c r="Q26" s="68"/>
      <c r="R26" s="68"/>
      <c r="S26" s="68"/>
      <c r="T26" s="68"/>
      <c r="U26" s="68"/>
      <c r="V26" s="68"/>
      <c r="W26" s="68"/>
      <c r="X26" s="68"/>
      <c r="Y26" s="68"/>
      <c r="Z26" s="68"/>
      <c r="AA26" s="68"/>
    </row>
    <row r="27" spans="1:46" ht="15.75" x14ac:dyDescent="0.5">
      <c r="A27" s="96"/>
      <c r="B27" s="96"/>
      <c r="C27" s="68"/>
      <c r="D27" s="97"/>
      <c r="E27" s="97"/>
      <c r="F27" s="97"/>
      <c r="G27" s="97"/>
      <c r="H27" s="97"/>
      <c r="I27" s="97"/>
      <c r="J27" s="97"/>
      <c r="K27" s="97"/>
      <c r="L27" s="97"/>
      <c r="M27" s="97"/>
      <c r="N27" s="97"/>
      <c r="O27" s="97"/>
      <c r="P27" s="97"/>
      <c r="Q27" s="97"/>
      <c r="R27" s="68"/>
      <c r="S27" s="68"/>
      <c r="T27" s="68"/>
      <c r="U27" s="68"/>
      <c r="V27" s="68"/>
      <c r="W27" s="68"/>
      <c r="X27" s="68"/>
      <c r="Y27" s="68"/>
      <c r="Z27" s="68"/>
    </row>
    <row r="28" spans="1:46" ht="14.85" customHeight="1" x14ac:dyDescent="0.45">
      <c r="A28" s="67"/>
      <c r="B28" s="98" t="s">
        <v>23</v>
      </c>
      <c r="C28" s="69"/>
      <c r="D28" s="69"/>
      <c r="E28" s="69"/>
      <c r="F28" s="69"/>
      <c r="G28" s="69"/>
      <c r="H28" s="70"/>
      <c r="I28" s="99" t="s">
        <v>60</v>
      </c>
      <c r="J28" s="100"/>
      <c r="K28" s="100"/>
      <c r="L28" s="100"/>
      <c r="M28" s="100"/>
      <c r="N28" s="100"/>
      <c r="O28" s="101"/>
      <c r="P28" s="102" t="s">
        <v>77</v>
      </c>
      <c r="Q28" s="71"/>
      <c r="R28" s="71"/>
      <c r="S28" s="71"/>
      <c r="T28" s="71"/>
      <c r="U28" s="71"/>
      <c r="V28" s="72"/>
      <c r="W28" s="73" t="s">
        <v>78</v>
      </c>
      <c r="X28" s="74"/>
      <c r="Y28" s="74"/>
      <c r="Z28" s="74"/>
      <c r="AA28" s="74"/>
      <c r="AB28" s="74"/>
      <c r="AC28" s="75"/>
      <c r="AD28" s="103"/>
    </row>
    <row r="29" spans="1:46" x14ac:dyDescent="0.45">
      <c r="A29" s="104"/>
      <c r="B29" s="76" t="s">
        <v>62</v>
      </c>
      <c r="C29" s="76" t="s">
        <v>63</v>
      </c>
      <c r="D29" s="76" t="s">
        <v>64</v>
      </c>
      <c r="E29" s="76" t="s">
        <v>65</v>
      </c>
      <c r="F29" s="76" t="s">
        <v>66</v>
      </c>
      <c r="G29" s="76" t="s">
        <v>67</v>
      </c>
      <c r="H29" s="76" t="s">
        <v>68</v>
      </c>
      <c r="I29" s="77" t="s">
        <v>69</v>
      </c>
      <c r="J29" s="77" t="s">
        <v>70</v>
      </c>
      <c r="K29" s="77" t="s">
        <v>71</v>
      </c>
      <c r="L29" s="77" t="s">
        <v>72</v>
      </c>
      <c r="M29" s="77" t="s">
        <v>73</v>
      </c>
      <c r="N29" s="77" t="s">
        <v>74</v>
      </c>
      <c r="O29" s="77" t="s">
        <v>75</v>
      </c>
      <c r="P29" s="78" t="s">
        <v>69</v>
      </c>
      <c r="Q29" s="78" t="s">
        <v>70</v>
      </c>
      <c r="R29" s="78" t="s">
        <v>71</v>
      </c>
      <c r="S29" s="78" t="s">
        <v>72</v>
      </c>
      <c r="T29" s="78" t="s">
        <v>73</v>
      </c>
      <c r="U29" s="78" t="s">
        <v>74</v>
      </c>
      <c r="V29" s="78" t="s">
        <v>75</v>
      </c>
      <c r="W29" s="79" t="s">
        <v>69</v>
      </c>
      <c r="X29" s="79" t="s">
        <v>70</v>
      </c>
      <c r="Y29" s="79" t="s">
        <v>71</v>
      </c>
      <c r="Z29" s="79" t="s">
        <v>72</v>
      </c>
      <c r="AA29" s="79" t="s">
        <v>73</v>
      </c>
      <c r="AB29" s="79" t="s">
        <v>74</v>
      </c>
      <c r="AC29" s="79" t="s">
        <v>75</v>
      </c>
      <c r="AD29" s="103"/>
      <c r="AE29" s="236" t="s">
        <v>78</v>
      </c>
      <c r="AF29" s="236" t="s">
        <v>79</v>
      </c>
      <c r="AG29" s="236" t="s">
        <v>80</v>
      </c>
      <c r="AI29" s="203" t="s">
        <v>300</v>
      </c>
      <c r="AJ29" s="204"/>
      <c r="AK29" s="204"/>
      <c r="AL29" s="204"/>
      <c r="AM29" s="204"/>
      <c r="AN29" s="204"/>
      <c r="AO29" s="204"/>
      <c r="AP29" s="204"/>
      <c r="AQ29" s="204"/>
      <c r="AR29" s="204"/>
      <c r="AS29" s="205"/>
      <c r="AT29" s="206"/>
    </row>
    <row r="30" spans="1:46" ht="14.85" customHeight="1" x14ac:dyDescent="0.45">
      <c r="A30" s="105" t="s">
        <v>81</v>
      </c>
      <c r="B30" s="106">
        <v>1</v>
      </c>
      <c r="C30" s="106">
        <v>2</v>
      </c>
      <c r="D30" s="106">
        <v>3</v>
      </c>
      <c r="E30" s="106">
        <v>4</v>
      </c>
      <c r="F30" s="106">
        <v>5</v>
      </c>
      <c r="G30" s="106">
        <v>6</v>
      </c>
      <c r="H30" s="106">
        <v>7</v>
      </c>
      <c r="I30" s="107">
        <v>8</v>
      </c>
      <c r="J30" s="107">
        <v>9</v>
      </c>
      <c r="K30" s="107">
        <v>10</v>
      </c>
      <c r="L30" s="107">
        <v>11</v>
      </c>
      <c r="M30" s="107">
        <v>12</v>
      </c>
      <c r="N30" s="107">
        <v>13</v>
      </c>
      <c r="O30" s="107">
        <v>14</v>
      </c>
      <c r="P30" s="108">
        <v>8</v>
      </c>
      <c r="Q30" s="108">
        <v>9</v>
      </c>
      <c r="R30" s="108">
        <v>10</v>
      </c>
      <c r="S30" s="108">
        <v>11</v>
      </c>
      <c r="T30" s="108">
        <v>12</v>
      </c>
      <c r="U30" s="108">
        <v>13</v>
      </c>
      <c r="V30" s="108">
        <v>14</v>
      </c>
      <c r="W30" s="79">
        <v>8</v>
      </c>
      <c r="X30" s="79">
        <v>9</v>
      </c>
      <c r="Y30" s="79">
        <v>10</v>
      </c>
      <c r="Z30" s="79">
        <v>11</v>
      </c>
      <c r="AA30" s="79">
        <v>12</v>
      </c>
      <c r="AB30" s="79">
        <v>13</v>
      </c>
      <c r="AC30" s="79">
        <v>14</v>
      </c>
      <c r="AD30" s="103"/>
      <c r="AE30" s="236"/>
      <c r="AF30" s="236"/>
      <c r="AG30" s="236"/>
      <c r="AI30" s="233" t="s">
        <v>317</v>
      </c>
      <c r="AJ30" s="234"/>
      <c r="AK30" s="234"/>
      <c r="AL30" s="234"/>
      <c r="AM30" s="234"/>
      <c r="AN30" s="234"/>
      <c r="AO30" s="234"/>
      <c r="AP30" s="234"/>
      <c r="AQ30" s="234"/>
      <c r="AR30" s="234"/>
      <c r="AS30" s="234"/>
      <c r="AT30" s="235"/>
    </row>
    <row r="31" spans="1:46" x14ac:dyDescent="0.45">
      <c r="A31" s="85" t="s">
        <v>7</v>
      </c>
      <c r="B31" s="80">
        <f>IFERROR(INDEX(Data!$A$5:$M$175,MATCH('Forecast drivers'!$A31&amp;RIGHT(B$29,2),Data!$A$5:$A$175,0), MATCH($A$26, Data!$A$5:$M$5,0)),"")</f>
        <v>12</v>
      </c>
      <c r="C31" s="80">
        <f>IFERROR(INDEX(Data!$A$5:$M$175,MATCH('Forecast drivers'!$A31&amp;RIGHT(C$29,2),Data!$A$5:$A$175,0), MATCH($A$26, Data!$A$5:$M$5,0)),"")</f>
        <v>8</v>
      </c>
      <c r="D31" s="80">
        <f>IFERROR(INDEX(Data!$A$5:$M$175,MATCH('Forecast drivers'!$A31&amp;RIGHT(D$29,2),Data!$A$5:$A$175,0), MATCH($A$26, Data!$A$5:$M$5,0)),"")</f>
        <v>2</v>
      </c>
      <c r="E31" s="80">
        <f>IFERROR(INDEX(Data!$A$5:$M$175,MATCH('Forecast drivers'!$A31&amp;RIGHT(E$29,2),Data!$A$5:$A$175,0), MATCH($A$26, Data!$A$5:$M$5,0)),"")</f>
        <v>7</v>
      </c>
      <c r="F31" s="80">
        <f>IFERROR(INDEX(Data!$A$5:$M$175,MATCH('Forecast drivers'!$A31&amp;RIGHT(F$29,2),Data!$A$5:$A$175,0), MATCH($A$26, Data!$A$5:$M$5,0)),"")</f>
        <v>4</v>
      </c>
      <c r="G31" s="80">
        <f>IFERROR(INDEX(Data!$A$5:$M$175,MATCH('Forecast drivers'!$A31&amp;RIGHT(G$29,2),Data!$A$5:$A$175,0), MATCH($A$26, Data!$A$5:$M$5,0)),"")</f>
        <v>3</v>
      </c>
      <c r="H31" s="80">
        <f>IFERROR(INDEX(Data!$A$5:$M$175,MATCH('Forecast drivers'!$A31&amp;RIGHT(H$29,2),Data!$A$5:$A$175,0), MATCH($A$26, Data!$A$5:$M$5,0)),"")</f>
        <v>2</v>
      </c>
      <c r="I31" s="81">
        <f>IFERROR(INDEX(Data!$A$5:$M$175,MATCH('Forecast drivers'!$A31&amp;RIGHT(I$29,2),Data!$A$5:$A$175,0), MATCH($A$26, Data!$A$5:$M$5,0)),"")</f>
        <v>7</v>
      </c>
      <c r="J31" s="81">
        <f>IFERROR(INDEX(Data!$A$5:$M$175,MATCH('Forecast drivers'!$A31&amp;RIGHT(J$29,2),Data!$A$5:$A$175,0), MATCH($A$26, Data!$A$5:$M$5,0)),"")</f>
        <v>4</v>
      </c>
      <c r="K31" s="81">
        <f>IFERROR(INDEX(Data!$A$5:$M$175,MATCH('Forecast drivers'!$A31&amp;RIGHT(K$29,2),Data!$A$5:$A$175,0), MATCH($A$26, Data!$A$5:$M$5,0)),"")</f>
        <v>0</v>
      </c>
      <c r="L31" s="81">
        <f>IFERROR(INDEX(Data!$A$5:$M$175,MATCH('Forecast drivers'!$A31&amp;RIGHT(L$29,2),Data!$A$5:$A$175,0), MATCH($A$26, Data!$A$5:$M$5,0)),"")</f>
        <v>0</v>
      </c>
      <c r="M31" s="81">
        <f>IFERROR(INDEX(Data!$A$5:$M$175,MATCH('Forecast drivers'!$A31&amp;RIGHT(M$29,2),Data!$A$5:$A$175,0), MATCH($A$26, Data!$A$5:$M$5,0)),"")</f>
        <v>5</v>
      </c>
      <c r="N31" s="81">
        <f>IFERROR(INDEX(Data!$A$5:$M$175,MATCH('Forecast drivers'!$A31&amp;RIGHT(N$29,2),Data!$A$5:$A$175,0), MATCH($A$26, Data!$A$5:$M$5,0)),"")</f>
        <v>1</v>
      </c>
      <c r="O31" s="81">
        <f>IFERROR(INDEX(Data!$A$5:$M$175,MATCH('Forecast drivers'!$A31&amp;RIGHT(O$29,2),Data!$A$5:$A$175,0), MATCH($A$26, Data!$A$5:$M$5,0)),"")</f>
        <v>4</v>
      </c>
      <c r="P31" s="82">
        <f t="shared" ref="P31:V31" si="12">IFERROR(INTERCEPT($B31:$H31,$B$30:$H$30)+SLOPE($B31:$H31,$B$30:$H$30)*P$30,"")</f>
        <v>-1.7763568394002505E-15</v>
      </c>
      <c r="Q31" s="82">
        <f t="shared" si="12"/>
        <v>-1.3571428571428594</v>
      </c>
      <c r="R31" s="82">
        <f t="shared" si="12"/>
        <v>-2.7142857142857171</v>
      </c>
      <c r="S31" s="82">
        <f t="shared" si="12"/>
        <v>-4.0714285714285747</v>
      </c>
      <c r="T31" s="82">
        <f t="shared" si="12"/>
        <v>-5.4285714285714306</v>
      </c>
      <c r="U31" s="82">
        <f t="shared" si="12"/>
        <v>-6.7857142857142883</v>
      </c>
      <c r="V31" s="82">
        <f t="shared" si="12"/>
        <v>-8.1428571428571459</v>
      </c>
      <c r="W31" s="109">
        <f t="shared" ref="W31:W42" si="13" xml:space="preserve"> IF($AE31="Company forecast",J31, IF($AE31="Ofwat forecast",Q31))</f>
        <v>4</v>
      </c>
      <c r="X31" s="109">
        <f t="shared" ref="X31:X42" si="14" xml:space="preserve"> IF($AE31="Company forecast",J31, IF($AE31="Ofwat forecast",Q31))</f>
        <v>4</v>
      </c>
      <c r="Y31" s="109">
        <f t="shared" ref="Y31:Y42" si="15" xml:space="preserve"> IF($AE31="Company forecast",K31, IF($AE31="Ofwat forecast",R31))</f>
        <v>0</v>
      </c>
      <c r="Z31" s="109">
        <f t="shared" ref="Z31:Z42" si="16" xml:space="preserve"> IF($AE31="Company forecast",L31, IF($AE31="Ofwat forecast",S31))</f>
        <v>0</v>
      </c>
      <c r="AA31" s="109">
        <f t="shared" ref="AA31:AA42" si="17" xml:space="preserve"> IF($AE31="Company forecast",M31, IF($AE31="Ofwat forecast",T31))</f>
        <v>5</v>
      </c>
      <c r="AB31" s="109">
        <f t="shared" ref="AB31:AB42" si="18" xml:space="preserve"> IF($AE31="Company forecast",N31, IF($AE31="Ofwat forecast",U31))</f>
        <v>1</v>
      </c>
      <c r="AC31" s="109">
        <f t="shared" ref="AC31:AC42" si="19" xml:space="preserve"> IF($AE31="Company forecast",O31, IF($AE31="Ofwat forecast",V31))</f>
        <v>4</v>
      </c>
      <c r="AD31" s="103"/>
      <c r="AE31" s="110" t="s">
        <v>60</v>
      </c>
      <c r="AF31" s="111" t="s">
        <v>60</v>
      </c>
      <c r="AG31" s="112" t="str">
        <f t="shared" ref="AG31:AG43" si="20" xml:space="preserve"> IF(AE31=AF31, "OK", "error")</f>
        <v>OK</v>
      </c>
      <c r="AI31" s="233"/>
      <c r="AJ31" s="234"/>
      <c r="AK31" s="234"/>
      <c r="AL31" s="234"/>
      <c r="AM31" s="234"/>
      <c r="AN31" s="234"/>
      <c r="AO31" s="234"/>
      <c r="AP31" s="234"/>
      <c r="AQ31" s="234"/>
      <c r="AR31" s="234"/>
      <c r="AS31" s="234"/>
      <c r="AT31" s="235"/>
    </row>
    <row r="32" spans="1:46" x14ac:dyDescent="0.45">
      <c r="A32" s="85" t="s">
        <v>19</v>
      </c>
      <c r="B32" s="83"/>
      <c r="C32" s="83"/>
      <c r="D32" s="83"/>
      <c r="E32" s="83"/>
      <c r="F32" s="83"/>
      <c r="G32" s="83"/>
      <c r="H32" s="80">
        <f>IFERROR(INDEX(Data!$A$5:$M$175,MATCH('Forecast drivers'!$A32&amp;RIGHT(H$29,2),Data!$A$5:$A$175,0), MATCH($A$26, Data!$A$5:$M$5,0)),"")</f>
        <v>0</v>
      </c>
      <c r="I32" s="81">
        <f>IFERROR(INDEX(Data!$A$5:$M$175,MATCH('Forecast drivers'!$A32&amp;RIGHT(I$29,2),Data!$A$5:$A$175,0), MATCH($A$26, Data!$A$5:$M$5,0)),"")</f>
        <v>0</v>
      </c>
      <c r="J32" s="81">
        <f>IFERROR(INDEX(Data!$A$5:$M$175,MATCH('Forecast drivers'!$A32&amp;RIGHT(J$29,2),Data!$A$5:$A$175,0), MATCH($A$26, Data!$A$5:$M$5,0)),"")</f>
        <v>0</v>
      </c>
      <c r="K32" s="81">
        <f>IFERROR(INDEX(Data!$A$5:$M$175,MATCH('Forecast drivers'!$A32&amp;RIGHT(K$29,2),Data!$A$5:$A$175,0), MATCH($A$26, Data!$A$5:$M$5,0)),"")</f>
        <v>0</v>
      </c>
      <c r="L32" s="81">
        <f>IFERROR(INDEX(Data!$A$5:$M$175,MATCH('Forecast drivers'!$A32&amp;RIGHT(L$29,2),Data!$A$5:$A$175,0), MATCH($A$26, Data!$A$5:$M$5,0)),"")</f>
        <v>0</v>
      </c>
      <c r="M32" s="81">
        <f>IFERROR(INDEX(Data!$A$5:$M$175,MATCH('Forecast drivers'!$A32&amp;RIGHT(M$29,2),Data!$A$5:$A$175,0), MATCH($A$26, Data!$A$5:$M$5,0)),"")</f>
        <v>0</v>
      </c>
      <c r="N32" s="81">
        <f>IFERROR(INDEX(Data!$A$5:$M$175,MATCH('Forecast drivers'!$A32&amp;RIGHT(N$29,2),Data!$A$5:$A$175,0), MATCH($A$26, Data!$A$5:$M$5,0)),"")</f>
        <v>0</v>
      </c>
      <c r="O32" s="81">
        <f>IFERROR(INDEX(Data!$A$5:$M$175,MATCH('Forecast drivers'!$A32&amp;RIGHT(O$29,2),Data!$A$5:$A$175,0), MATCH($A$26, Data!$A$5:$M$5,0)),"")</f>
        <v>0</v>
      </c>
      <c r="P32" s="84"/>
      <c r="Q32" s="84"/>
      <c r="R32" s="84"/>
      <c r="S32" s="84"/>
      <c r="T32" s="84"/>
      <c r="U32" s="84"/>
      <c r="V32" s="84"/>
      <c r="W32" s="109">
        <f t="shared" si="13"/>
        <v>0</v>
      </c>
      <c r="X32" s="109">
        <f t="shared" si="14"/>
        <v>0</v>
      </c>
      <c r="Y32" s="109">
        <f t="shared" si="15"/>
        <v>0</v>
      </c>
      <c r="Z32" s="109">
        <f t="shared" si="16"/>
        <v>0</v>
      </c>
      <c r="AA32" s="109">
        <f t="shared" si="17"/>
        <v>0</v>
      </c>
      <c r="AB32" s="109">
        <f t="shared" si="18"/>
        <v>0</v>
      </c>
      <c r="AC32" s="109">
        <f t="shared" si="19"/>
        <v>0</v>
      </c>
      <c r="AD32" s="103"/>
      <c r="AE32" s="110" t="s">
        <v>60</v>
      </c>
      <c r="AF32" s="111" t="s">
        <v>60</v>
      </c>
      <c r="AG32" s="112" t="str">
        <f t="shared" si="20"/>
        <v>OK</v>
      </c>
      <c r="AI32" s="233"/>
      <c r="AJ32" s="234"/>
      <c r="AK32" s="234"/>
      <c r="AL32" s="234"/>
      <c r="AM32" s="234"/>
      <c r="AN32" s="234"/>
      <c r="AO32" s="234"/>
      <c r="AP32" s="234"/>
      <c r="AQ32" s="234"/>
      <c r="AR32" s="234"/>
      <c r="AS32" s="234"/>
      <c r="AT32" s="235"/>
    </row>
    <row r="33" spans="1:46" x14ac:dyDescent="0.45">
      <c r="A33" s="85" t="s">
        <v>8</v>
      </c>
      <c r="B33" s="80">
        <f>IFERROR(INDEX(Data!$A$5:$M$175,MATCH('Forecast drivers'!$A33&amp;RIGHT(B$29,2),Data!$A$5:$A$175,0), MATCH($A$26, Data!$A$5:$M$5,0)),"")</f>
        <v>0</v>
      </c>
      <c r="C33" s="80">
        <f>IFERROR(INDEX(Data!$A$5:$M$175,MATCH('Forecast drivers'!$A33&amp;RIGHT(C$29,2),Data!$A$5:$A$175,0), MATCH($A$26, Data!$A$5:$M$5,0)),"")</f>
        <v>0</v>
      </c>
      <c r="D33" s="80">
        <f>IFERROR(INDEX(Data!$A$5:$M$175,MATCH('Forecast drivers'!$A33&amp;RIGHT(D$29,2),Data!$A$5:$A$175,0), MATCH($A$26, Data!$A$5:$M$5,0)),"")</f>
        <v>0</v>
      </c>
      <c r="E33" s="80">
        <f>IFERROR(INDEX(Data!$A$5:$M$175,MATCH('Forecast drivers'!$A33&amp;RIGHT(E$29,2),Data!$A$5:$A$175,0), MATCH($A$26, Data!$A$5:$M$5,0)),"")</f>
        <v>0</v>
      </c>
      <c r="F33" s="80">
        <f>IFERROR(INDEX(Data!$A$5:$M$175,MATCH('Forecast drivers'!$A33&amp;RIGHT(F$29,2),Data!$A$5:$A$175,0), MATCH($A$26, Data!$A$5:$M$5,0)),"")</f>
        <v>0</v>
      </c>
      <c r="G33" s="80">
        <f>IFERROR(INDEX(Data!$A$5:$M$175,MATCH('Forecast drivers'!$A33&amp;RIGHT(G$29,2),Data!$A$5:$A$175,0), MATCH($A$26, Data!$A$5:$M$5,0)),"")</f>
        <v>0</v>
      </c>
      <c r="H33" s="80">
        <f>IFERROR(INDEX(Data!$A$5:$M$175,MATCH('Forecast drivers'!$A33&amp;RIGHT(H$29,2),Data!$A$5:$A$175,0), MATCH($A$26, Data!$A$5:$M$5,0)),"")</f>
        <v>1</v>
      </c>
      <c r="I33" s="81">
        <f>IFERROR(INDEX(Data!$A$5:$M$175,MATCH('Forecast drivers'!$A33&amp;RIGHT(I$29,2),Data!$A$5:$A$175,0), MATCH($A$26, Data!$A$5:$M$5,0)),"")</f>
        <v>1</v>
      </c>
      <c r="J33" s="81">
        <f>IFERROR(INDEX(Data!$A$5:$M$175,MATCH('Forecast drivers'!$A33&amp;RIGHT(J$29,2),Data!$A$5:$A$175,0), MATCH($A$26, Data!$A$5:$M$5,0)),"")</f>
        <v>1</v>
      </c>
      <c r="K33" s="81">
        <f>IFERROR(INDEX(Data!$A$5:$M$175,MATCH('Forecast drivers'!$A33&amp;RIGHT(K$29,2),Data!$A$5:$A$175,0), MATCH($A$26, Data!$A$5:$M$5,0)),"")</f>
        <v>1</v>
      </c>
      <c r="L33" s="81">
        <f>IFERROR(INDEX(Data!$A$5:$M$175,MATCH('Forecast drivers'!$A33&amp;RIGHT(L$29,2),Data!$A$5:$A$175,0), MATCH($A$26, Data!$A$5:$M$5,0)),"")</f>
        <v>1</v>
      </c>
      <c r="M33" s="81">
        <f>IFERROR(INDEX(Data!$A$5:$M$175,MATCH('Forecast drivers'!$A33&amp;RIGHT(M$29,2),Data!$A$5:$A$175,0), MATCH($A$26, Data!$A$5:$M$5,0)),"")</f>
        <v>1</v>
      </c>
      <c r="N33" s="81">
        <f>IFERROR(INDEX(Data!$A$5:$M$175,MATCH('Forecast drivers'!$A33&amp;RIGHT(N$29,2),Data!$A$5:$A$175,0), MATCH($A$26, Data!$A$5:$M$5,0)),"")</f>
        <v>1</v>
      </c>
      <c r="O33" s="81">
        <f>IFERROR(INDEX(Data!$A$5:$M$175,MATCH('Forecast drivers'!$A33&amp;RIGHT(O$29,2),Data!$A$5:$A$175,0), MATCH($A$26, Data!$A$5:$M$5,0)),"")</f>
        <v>1</v>
      </c>
      <c r="P33" s="82">
        <f>IFERROR(INTERCEPT($B33:$H33,$B$30:$H$30)+SLOPE($B33:$H33,$B$30:$H$30)*P$30,"")</f>
        <v>0.5714285714285714</v>
      </c>
      <c r="Q33" s="82">
        <f t="shared" ref="P33:V35" si="21">IFERROR(INTERCEPT($B33:$H33,$B$30:$H$30)+SLOPE($B33:$H33,$B$30:$H$30)*Q$30,"")</f>
        <v>0.67857142857142849</v>
      </c>
      <c r="R33" s="82">
        <f t="shared" si="21"/>
        <v>0.7857142857142857</v>
      </c>
      <c r="S33" s="82">
        <f t="shared" si="21"/>
        <v>0.8928571428571429</v>
      </c>
      <c r="T33" s="82">
        <f t="shared" si="21"/>
        <v>0.99999999999999989</v>
      </c>
      <c r="U33" s="82">
        <f t="shared" si="21"/>
        <v>1.1071428571428572</v>
      </c>
      <c r="V33" s="82">
        <f t="shared" si="21"/>
        <v>1.2142857142857144</v>
      </c>
      <c r="W33" s="109">
        <f t="shared" si="13"/>
        <v>1</v>
      </c>
      <c r="X33" s="109">
        <f t="shared" si="14"/>
        <v>1</v>
      </c>
      <c r="Y33" s="109">
        <f t="shared" si="15"/>
        <v>1</v>
      </c>
      <c r="Z33" s="109">
        <f t="shared" si="16"/>
        <v>1</v>
      </c>
      <c r="AA33" s="109">
        <f t="shared" si="17"/>
        <v>1</v>
      </c>
      <c r="AB33" s="109">
        <f t="shared" si="18"/>
        <v>1</v>
      </c>
      <c r="AC33" s="109">
        <f t="shared" si="19"/>
        <v>1</v>
      </c>
      <c r="AD33" s="103"/>
      <c r="AE33" s="110" t="s">
        <v>60</v>
      </c>
      <c r="AF33" s="111" t="s">
        <v>60</v>
      </c>
      <c r="AG33" s="112" t="str">
        <f t="shared" si="20"/>
        <v>OK</v>
      </c>
      <c r="AI33" s="233"/>
      <c r="AJ33" s="234"/>
      <c r="AK33" s="234"/>
      <c r="AL33" s="234"/>
      <c r="AM33" s="234"/>
      <c r="AN33" s="234"/>
      <c r="AO33" s="234"/>
      <c r="AP33" s="234"/>
      <c r="AQ33" s="234"/>
      <c r="AR33" s="234"/>
      <c r="AS33" s="234"/>
      <c r="AT33" s="235"/>
    </row>
    <row r="34" spans="1:46" x14ac:dyDescent="0.45">
      <c r="A34" s="85" t="s">
        <v>9</v>
      </c>
      <c r="B34" s="80">
        <f>IFERROR(INDEX(Data!$A$5:$M$175,MATCH('Forecast drivers'!$A34&amp;RIGHT(B$29,2),Data!$A$5:$A$175,0), MATCH($A$26, Data!$A$5:$M$5,0)),"")</f>
        <v>2</v>
      </c>
      <c r="C34" s="80">
        <f>IFERROR(INDEX(Data!$A$5:$M$175,MATCH('Forecast drivers'!$A34&amp;RIGHT(C$29,2),Data!$A$5:$A$175,0), MATCH($A$26, Data!$A$5:$M$5,0)),"")</f>
        <v>0</v>
      </c>
      <c r="D34" s="80">
        <f>IFERROR(INDEX(Data!$A$5:$M$175,MATCH('Forecast drivers'!$A34&amp;RIGHT(D$29,2),Data!$A$5:$A$175,0), MATCH($A$26, Data!$A$5:$M$5,0)),"")</f>
        <v>0</v>
      </c>
      <c r="E34" s="80">
        <f>IFERROR(INDEX(Data!$A$5:$M$175,MATCH('Forecast drivers'!$A34&amp;RIGHT(E$29,2),Data!$A$5:$A$175,0), MATCH($A$26, Data!$A$5:$M$5,0)),"")</f>
        <v>3</v>
      </c>
      <c r="F34" s="80">
        <f>IFERROR(INDEX(Data!$A$5:$M$175,MATCH('Forecast drivers'!$A34&amp;RIGHT(F$29,2),Data!$A$5:$A$175,0), MATCH($A$26, Data!$A$5:$M$5,0)),"")</f>
        <v>0</v>
      </c>
      <c r="G34" s="80">
        <f>IFERROR(INDEX(Data!$A$5:$M$175,MATCH('Forecast drivers'!$A34&amp;RIGHT(G$29,2),Data!$A$5:$A$175,0), MATCH($A$26, Data!$A$5:$M$5,0)),"")</f>
        <v>0</v>
      </c>
      <c r="H34" s="80">
        <f>IFERROR(INDEX(Data!$A$5:$M$175,MATCH('Forecast drivers'!$A34&amp;RIGHT(H$29,2),Data!$A$5:$A$175,0), MATCH($A$26, Data!$A$5:$M$5,0)),"")</f>
        <v>0</v>
      </c>
      <c r="I34" s="81">
        <f>IFERROR(INDEX(Data!$A$5:$M$175,MATCH('Forecast drivers'!$A34&amp;RIGHT(I$29,2),Data!$A$5:$A$175,0), MATCH($A$26, Data!$A$5:$M$5,0)),"")</f>
        <v>0</v>
      </c>
      <c r="J34" s="81">
        <f>IFERROR(INDEX(Data!$A$5:$M$175,MATCH('Forecast drivers'!$A34&amp;RIGHT(J$29,2),Data!$A$5:$A$175,0), MATCH($A$26, Data!$A$5:$M$5,0)),"")</f>
        <v>0</v>
      </c>
      <c r="K34" s="81">
        <f>IFERROR(INDEX(Data!$A$5:$M$175,MATCH('Forecast drivers'!$A34&amp;RIGHT(K$29,2),Data!$A$5:$A$175,0), MATCH($A$26, Data!$A$5:$M$5,0)),"")</f>
        <v>0</v>
      </c>
      <c r="L34" s="81">
        <f>IFERROR(INDEX(Data!$A$5:$M$175,MATCH('Forecast drivers'!$A34&amp;RIGHT(L$29,2),Data!$A$5:$A$175,0), MATCH($A$26, Data!$A$5:$M$5,0)),"")</f>
        <v>1</v>
      </c>
      <c r="M34" s="81">
        <f>IFERROR(INDEX(Data!$A$5:$M$175,MATCH('Forecast drivers'!$A34&amp;RIGHT(M$29,2),Data!$A$5:$A$175,0), MATCH($A$26, Data!$A$5:$M$5,0)),"")</f>
        <v>1</v>
      </c>
      <c r="N34" s="81">
        <f>IFERROR(INDEX(Data!$A$5:$M$175,MATCH('Forecast drivers'!$A34&amp;RIGHT(N$29,2),Data!$A$5:$A$175,0), MATCH($A$26, Data!$A$5:$M$5,0)),"")</f>
        <v>1</v>
      </c>
      <c r="O34" s="81">
        <f>IFERROR(INDEX(Data!$A$5:$M$175,MATCH('Forecast drivers'!$A34&amp;RIGHT(O$29,2),Data!$A$5:$A$175,0), MATCH($A$26, Data!$A$5:$M$5,0)),"")</f>
        <v>1</v>
      </c>
      <c r="P34" s="82">
        <f t="shared" si="21"/>
        <v>-0.14285714285714279</v>
      </c>
      <c r="Q34" s="82">
        <f t="shared" si="21"/>
        <v>-0.35714285714285698</v>
      </c>
      <c r="R34" s="82">
        <f t="shared" si="21"/>
        <v>-0.5714285714285714</v>
      </c>
      <c r="S34" s="82">
        <f t="shared" si="21"/>
        <v>-0.78571428571428581</v>
      </c>
      <c r="T34" s="82">
        <f t="shared" si="21"/>
        <v>-0.99999999999999978</v>
      </c>
      <c r="U34" s="82">
        <f t="shared" si="21"/>
        <v>-1.2142857142857142</v>
      </c>
      <c r="V34" s="82">
        <f t="shared" si="21"/>
        <v>-1.4285714285714286</v>
      </c>
      <c r="W34" s="109">
        <f t="shared" si="13"/>
        <v>0</v>
      </c>
      <c r="X34" s="109">
        <f t="shared" si="14"/>
        <v>0</v>
      </c>
      <c r="Y34" s="109">
        <f t="shared" si="15"/>
        <v>0</v>
      </c>
      <c r="Z34" s="109">
        <f t="shared" si="16"/>
        <v>1</v>
      </c>
      <c r="AA34" s="109">
        <f t="shared" si="17"/>
        <v>1</v>
      </c>
      <c r="AB34" s="109">
        <f t="shared" si="18"/>
        <v>1</v>
      </c>
      <c r="AC34" s="109">
        <f t="shared" si="19"/>
        <v>1</v>
      </c>
      <c r="AD34" s="103"/>
      <c r="AE34" s="110" t="s">
        <v>60</v>
      </c>
      <c r="AF34" s="111" t="s">
        <v>60</v>
      </c>
      <c r="AG34" s="112" t="str">
        <f t="shared" si="20"/>
        <v>OK</v>
      </c>
      <c r="AI34" s="207" t="s">
        <v>314</v>
      </c>
      <c r="AJ34" s="192"/>
      <c r="AK34" s="192"/>
      <c r="AL34" s="192"/>
      <c r="AM34" s="192"/>
      <c r="AN34" s="192"/>
      <c r="AO34" s="192"/>
      <c r="AP34" s="192"/>
      <c r="AQ34" s="192"/>
      <c r="AR34" s="192"/>
      <c r="AS34" s="208"/>
      <c r="AT34" s="209"/>
    </row>
    <row r="35" spans="1:46" x14ac:dyDescent="0.45">
      <c r="A35" s="85" t="s">
        <v>10</v>
      </c>
      <c r="B35" s="80">
        <f>IFERROR(INDEX(Data!$A$5:$M$175,MATCH('Forecast drivers'!$A35&amp;RIGHT(B$29,2),Data!$A$5:$A$175,0), MATCH($A$26, Data!$A$5:$M$5,0)),"")</f>
        <v>0</v>
      </c>
      <c r="C35" s="80">
        <f>IFERROR(INDEX(Data!$A$5:$M$175,MATCH('Forecast drivers'!$A35&amp;RIGHT(C$29,2),Data!$A$5:$A$175,0), MATCH($A$26, Data!$A$5:$M$5,0)),"")</f>
        <v>0</v>
      </c>
      <c r="D35" s="80">
        <f>IFERROR(INDEX(Data!$A$5:$M$175,MATCH('Forecast drivers'!$A35&amp;RIGHT(D$29,2),Data!$A$5:$A$175,0), MATCH($A$26, Data!$A$5:$M$5,0)),"")</f>
        <v>0</v>
      </c>
      <c r="E35" s="80">
        <f>IFERROR(INDEX(Data!$A$5:$M$175,MATCH('Forecast drivers'!$A35&amp;RIGHT(E$29,2),Data!$A$5:$A$175,0), MATCH($A$26, Data!$A$5:$M$5,0)),"")</f>
        <v>1</v>
      </c>
      <c r="F35" s="80">
        <f>IFERROR(INDEX(Data!$A$5:$M$175,MATCH('Forecast drivers'!$A35&amp;RIGHT(F$29,2),Data!$A$5:$A$175,0), MATCH($A$26, Data!$A$5:$M$5,0)),"")</f>
        <v>0</v>
      </c>
      <c r="G35" s="80">
        <f>IFERROR(INDEX(Data!$A$5:$M$175,MATCH('Forecast drivers'!$A35&amp;RIGHT(G$29,2),Data!$A$5:$A$175,0), MATCH($A$26, Data!$A$5:$M$5,0)),"")</f>
        <v>0</v>
      </c>
      <c r="H35" s="80">
        <f>IFERROR(INDEX(Data!$A$5:$M$175,MATCH('Forecast drivers'!$A35&amp;RIGHT(H$29,2),Data!$A$5:$A$175,0), MATCH($A$26, Data!$A$5:$M$5,0)),"")</f>
        <v>0</v>
      </c>
      <c r="I35" s="81">
        <f>IFERROR(INDEX(Data!$A$5:$M$175,MATCH('Forecast drivers'!$A35&amp;RIGHT(I$29,2),Data!$A$5:$A$175,0), MATCH($A$26, Data!$A$5:$M$5,0)),"")</f>
        <v>2</v>
      </c>
      <c r="J35" s="81">
        <f>IFERROR(INDEX(Data!$A$5:$M$175,MATCH('Forecast drivers'!$A35&amp;RIGHT(J$29,2),Data!$A$5:$A$175,0), MATCH($A$26, Data!$A$5:$M$5,0)),"")</f>
        <v>1</v>
      </c>
      <c r="K35" s="81">
        <f>IFERROR(INDEX(Data!$A$5:$M$175,MATCH('Forecast drivers'!$A35&amp;RIGHT(K$29,2),Data!$A$5:$A$175,0), MATCH($A$26, Data!$A$5:$M$5,0)),"")</f>
        <v>1</v>
      </c>
      <c r="L35" s="81">
        <f>IFERROR(INDEX(Data!$A$5:$M$175,MATCH('Forecast drivers'!$A35&amp;RIGHT(L$29,2),Data!$A$5:$A$175,0), MATCH($A$26, Data!$A$5:$M$5,0)),"")</f>
        <v>2</v>
      </c>
      <c r="M35" s="81">
        <f>IFERROR(INDEX(Data!$A$5:$M$175,MATCH('Forecast drivers'!$A35&amp;RIGHT(M$29,2),Data!$A$5:$A$175,0), MATCH($A$26, Data!$A$5:$M$5,0)),"")</f>
        <v>0</v>
      </c>
      <c r="N35" s="81">
        <f>IFERROR(INDEX(Data!$A$5:$M$175,MATCH('Forecast drivers'!$A35&amp;RIGHT(N$29,2),Data!$A$5:$A$175,0), MATCH($A$26, Data!$A$5:$M$5,0)),"")</f>
        <v>0</v>
      </c>
      <c r="O35" s="81">
        <f>IFERROR(INDEX(Data!$A$5:$M$175,MATCH('Forecast drivers'!$A35&amp;RIGHT(O$29,2),Data!$A$5:$A$175,0), MATCH($A$26, Data!$A$5:$M$5,0)),"")</f>
        <v>0</v>
      </c>
      <c r="P35" s="82">
        <f t="shared" si="21"/>
        <v>0.14285714285714282</v>
      </c>
      <c r="Q35" s="82">
        <f t="shared" si="21"/>
        <v>0.14285714285714282</v>
      </c>
      <c r="R35" s="82">
        <f t="shared" si="21"/>
        <v>0.14285714285714282</v>
      </c>
      <c r="S35" s="82">
        <f t="shared" si="21"/>
        <v>0.14285714285714282</v>
      </c>
      <c r="T35" s="82">
        <f t="shared" si="21"/>
        <v>0.14285714285714282</v>
      </c>
      <c r="U35" s="82">
        <f t="shared" si="21"/>
        <v>0.14285714285714282</v>
      </c>
      <c r="V35" s="82">
        <f t="shared" si="21"/>
        <v>0.14285714285714282</v>
      </c>
      <c r="W35" s="109">
        <f t="shared" si="13"/>
        <v>1</v>
      </c>
      <c r="X35" s="109">
        <f t="shared" si="14"/>
        <v>1</v>
      </c>
      <c r="Y35" s="109">
        <f t="shared" si="15"/>
        <v>1</v>
      </c>
      <c r="Z35" s="109">
        <f t="shared" si="16"/>
        <v>2</v>
      </c>
      <c r="AA35" s="109">
        <f t="shared" si="17"/>
        <v>0</v>
      </c>
      <c r="AB35" s="109">
        <f t="shared" si="18"/>
        <v>0</v>
      </c>
      <c r="AC35" s="109">
        <f t="shared" si="19"/>
        <v>0</v>
      </c>
      <c r="AD35" s="103"/>
      <c r="AE35" s="110" t="s">
        <v>60</v>
      </c>
      <c r="AF35" s="111" t="s">
        <v>60</v>
      </c>
      <c r="AG35" s="112" t="str">
        <f t="shared" si="20"/>
        <v>OK</v>
      </c>
      <c r="AI35" s="230" t="s">
        <v>319</v>
      </c>
      <c r="AJ35" s="231"/>
      <c r="AK35" s="231"/>
      <c r="AL35" s="231"/>
      <c r="AM35" s="231"/>
      <c r="AN35" s="231"/>
      <c r="AO35" s="231"/>
      <c r="AP35" s="231"/>
      <c r="AQ35" s="231"/>
      <c r="AR35" s="231"/>
      <c r="AS35" s="231"/>
      <c r="AT35" s="232"/>
    </row>
    <row r="36" spans="1:46" x14ac:dyDescent="0.45">
      <c r="A36" s="85" t="s">
        <v>18</v>
      </c>
      <c r="B36" s="83"/>
      <c r="C36" s="83"/>
      <c r="D36" s="83"/>
      <c r="E36" s="83"/>
      <c r="F36" s="83"/>
      <c r="G36" s="83"/>
      <c r="H36" s="80">
        <f>IFERROR(INDEX(Data!$A$5:$M$175,MATCH('Forecast drivers'!$A36&amp;RIGHT(H$29,2),Data!$A$5:$A$175,0), MATCH($A$26, Data!$A$5:$M$5,0)),"")</f>
        <v>4</v>
      </c>
      <c r="I36" s="81">
        <f>IFERROR(INDEX(Data!$A$5:$M$175,MATCH('Forecast drivers'!$A36&amp;RIGHT(I$29,2),Data!$A$5:$A$175,0), MATCH($A$26, Data!$A$5:$M$5,0)),"")</f>
        <v>8</v>
      </c>
      <c r="J36" s="81">
        <f>IFERROR(INDEX(Data!$A$5:$M$175,MATCH('Forecast drivers'!$A36&amp;RIGHT(J$29,2),Data!$A$5:$A$175,0), MATCH($A$26, Data!$A$5:$M$5,0)),"")</f>
        <v>7</v>
      </c>
      <c r="K36" s="81">
        <f>IFERROR(INDEX(Data!$A$5:$M$175,MATCH('Forecast drivers'!$A36&amp;RIGHT(K$29,2),Data!$A$5:$A$175,0), MATCH($A$26, Data!$A$5:$M$5,0)),"")</f>
        <v>4</v>
      </c>
      <c r="L36" s="81">
        <f>IFERROR(INDEX(Data!$A$5:$M$175,MATCH('Forecast drivers'!$A36&amp;RIGHT(L$29,2),Data!$A$5:$A$175,0), MATCH($A$26, Data!$A$5:$M$5,0)),"")</f>
        <v>2</v>
      </c>
      <c r="M36" s="81">
        <f>IFERROR(INDEX(Data!$A$5:$M$175,MATCH('Forecast drivers'!$A36&amp;RIGHT(M$29,2),Data!$A$5:$A$175,0), MATCH($A$26, Data!$A$5:$M$5,0)),"")</f>
        <v>2</v>
      </c>
      <c r="N36" s="81">
        <f>IFERROR(INDEX(Data!$A$5:$M$175,MATCH('Forecast drivers'!$A36&amp;RIGHT(N$29,2),Data!$A$5:$A$175,0), MATCH($A$26, Data!$A$5:$M$5,0)),"")</f>
        <v>4</v>
      </c>
      <c r="O36" s="81">
        <f>IFERROR(INDEX(Data!$A$5:$M$175,MATCH('Forecast drivers'!$A36&amp;RIGHT(O$29,2),Data!$A$5:$A$175,0), MATCH($A$26, Data!$A$5:$M$5,0)),"")</f>
        <v>4</v>
      </c>
      <c r="P36" s="84"/>
      <c r="Q36" s="84"/>
      <c r="R36" s="84"/>
      <c r="S36" s="84"/>
      <c r="T36" s="84"/>
      <c r="U36" s="84"/>
      <c r="V36" s="84"/>
      <c r="W36" s="109">
        <f t="shared" si="13"/>
        <v>7</v>
      </c>
      <c r="X36" s="109">
        <f t="shared" si="14"/>
        <v>7</v>
      </c>
      <c r="Y36" s="109">
        <f t="shared" si="15"/>
        <v>4</v>
      </c>
      <c r="Z36" s="109">
        <f t="shared" si="16"/>
        <v>2</v>
      </c>
      <c r="AA36" s="109">
        <f t="shared" si="17"/>
        <v>2</v>
      </c>
      <c r="AB36" s="109">
        <f t="shared" si="18"/>
        <v>4</v>
      </c>
      <c r="AC36" s="109">
        <f t="shared" si="19"/>
        <v>4</v>
      </c>
      <c r="AD36" s="103"/>
      <c r="AE36" s="110" t="s">
        <v>60</v>
      </c>
      <c r="AF36" s="111" t="s">
        <v>60</v>
      </c>
      <c r="AG36" s="112" t="str">
        <f t="shared" si="20"/>
        <v>OK</v>
      </c>
      <c r="AI36" s="230"/>
      <c r="AJ36" s="231"/>
      <c r="AK36" s="231"/>
      <c r="AL36" s="231"/>
      <c r="AM36" s="231"/>
      <c r="AN36" s="231"/>
      <c r="AO36" s="231"/>
      <c r="AP36" s="231"/>
      <c r="AQ36" s="231"/>
      <c r="AR36" s="231"/>
      <c r="AS36" s="231"/>
      <c r="AT36" s="232"/>
    </row>
    <row r="37" spans="1:46" x14ac:dyDescent="0.45">
      <c r="A37" s="85" t="s">
        <v>11</v>
      </c>
      <c r="B37" s="80">
        <f>IFERROR(INDEX(Data!$A$5:$M$175,MATCH('Forecast drivers'!$A37&amp;RIGHT(B$29,2),Data!$A$5:$A$175,0), MATCH($A$26, Data!$A$5:$M$5,0)),"")</f>
        <v>4</v>
      </c>
      <c r="C37" s="80">
        <f>IFERROR(INDEX(Data!$A$5:$M$175,MATCH('Forecast drivers'!$A37&amp;RIGHT(C$29,2),Data!$A$5:$A$175,0), MATCH($A$26, Data!$A$5:$M$5,0)),"")</f>
        <v>5</v>
      </c>
      <c r="D37" s="80">
        <f>IFERROR(INDEX(Data!$A$5:$M$175,MATCH('Forecast drivers'!$A37&amp;RIGHT(D$29,2),Data!$A$5:$A$175,0), MATCH($A$26, Data!$A$5:$M$5,0)),"")</f>
        <v>5</v>
      </c>
      <c r="E37" s="80">
        <f>IFERROR(INDEX(Data!$A$5:$M$175,MATCH('Forecast drivers'!$A37&amp;RIGHT(E$29,2),Data!$A$5:$A$175,0), MATCH($A$26, Data!$A$5:$M$5,0)),"")</f>
        <v>5</v>
      </c>
      <c r="F37" s="80">
        <f>IFERROR(INDEX(Data!$A$5:$M$175,MATCH('Forecast drivers'!$A37&amp;RIGHT(F$29,2),Data!$A$5:$A$175,0), MATCH($A$26, Data!$A$5:$M$5,0)),"")</f>
        <v>3</v>
      </c>
      <c r="G37" s="80">
        <f>IFERROR(INDEX(Data!$A$5:$M$175,MATCH('Forecast drivers'!$A37&amp;RIGHT(G$29,2),Data!$A$5:$A$175,0), MATCH($A$26, Data!$A$5:$M$5,0)),"")</f>
        <v>2</v>
      </c>
      <c r="H37" s="80">
        <f>IFERROR(INDEX(Data!$A$5:$M$175,MATCH('Forecast drivers'!$A37&amp;RIGHT(H$29,2),Data!$A$5:$A$175,0), MATCH($A$26, Data!$A$5:$M$5,0)),"")</f>
        <v>4</v>
      </c>
      <c r="I37" s="84"/>
      <c r="J37" s="84"/>
      <c r="K37" s="84"/>
      <c r="L37" s="84"/>
      <c r="M37" s="84"/>
      <c r="N37" s="84"/>
      <c r="O37" s="84"/>
      <c r="P37" s="82">
        <f t="shared" ref="P37:V42" si="22">IFERROR(INTERCEPT($B37:$H37,$B$30:$H$30)+SLOPE($B37:$H37,$B$30:$H$30)*P$30,"")</f>
        <v>2.8571428571428568</v>
      </c>
      <c r="Q37" s="82">
        <f t="shared" si="22"/>
        <v>2.5714285714285712</v>
      </c>
      <c r="R37" s="82">
        <f t="shared" si="22"/>
        <v>2.2857142857142856</v>
      </c>
      <c r="S37" s="82">
        <f t="shared" si="22"/>
        <v>1.9999999999999996</v>
      </c>
      <c r="T37" s="82">
        <f t="shared" si="22"/>
        <v>1.714285714285714</v>
      </c>
      <c r="U37" s="82">
        <f t="shared" si="22"/>
        <v>1.4285714285714284</v>
      </c>
      <c r="V37" s="82">
        <f t="shared" si="22"/>
        <v>1.1428571428571423</v>
      </c>
      <c r="W37" s="109">
        <f t="shared" si="13"/>
        <v>0</v>
      </c>
      <c r="X37" s="109">
        <f t="shared" si="14"/>
        <v>0</v>
      </c>
      <c r="Y37" s="109">
        <f t="shared" si="15"/>
        <v>0</v>
      </c>
      <c r="Z37" s="109">
        <f t="shared" si="16"/>
        <v>0</v>
      </c>
      <c r="AA37" s="109">
        <f t="shared" si="17"/>
        <v>0</v>
      </c>
      <c r="AB37" s="109">
        <f t="shared" si="18"/>
        <v>0</v>
      </c>
      <c r="AC37" s="109">
        <f t="shared" si="19"/>
        <v>0</v>
      </c>
      <c r="AD37" s="103"/>
      <c r="AE37" s="110" t="s">
        <v>60</v>
      </c>
      <c r="AF37" s="111" t="s">
        <v>60</v>
      </c>
      <c r="AG37" s="112" t="str">
        <f t="shared" si="20"/>
        <v>OK</v>
      </c>
      <c r="AI37" s="230" t="s">
        <v>320</v>
      </c>
      <c r="AJ37" s="231"/>
      <c r="AK37" s="231"/>
      <c r="AL37" s="231"/>
      <c r="AM37" s="231"/>
      <c r="AN37" s="231"/>
      <c r="AO37" s="231"/>
      <c r="AP37" s="231"/>
      <c r="AQ37" s="231"/>
      <c r="AR37" s="231"/>
      <c r="AS37" s="231"/>
      <c r="AT37" s="232"/>
    </row>
    <row r="38" spans="1:46" x14ac:dyDescent="0.45">
      <c r="A38" s="85" t="s">
        <v>13</v>
      </c>
      <c r="B38" s="80" t="str">
        <f>IFERROR(INDEX(Data!$A$5:$M$175,MATCH('Forecast drivers'!$A38&amp;RIGHT(B$29,2),Data!$A$5:$A$175,0), MATCH($A$26, Data!$A$5:$M$5,0)),"")</f>
        <v/>
      </c>
      <c r="C38" s="80" t="str">
        <f>IFERROR(INDEX(Data!$A$5:$M$175,MATCH('Forecast drivers'!$A38&amp;RIGHT(C$29,2),Data!$A$5:$A$175,0), MATCH($A$26, Data!$A$5:$M$5,0)),"")</f>
        <v/>
      </c>
      <c r="D38" s="80" t="str">
        <f>IFERROR(INDEX(Data!$A$5:$M$175,MATCH('Forecast drivers'!$A38&amp;RIGHT(D$29,2),Data!$A$5:$A$175,0), MATCH($A$26, Data!$A$5:$M$5,0)),"")</f>
        <v/>
      </c>
      <c r="E38" s="80" t="str">
        <f>IFERROR(INDEX(Data!$A$5:$M$175,MATCH('Forecast drivers'!$A38&amp;RIGHT(E$29,2),Data!$A$5:$A$175,0), MATCH($A$26, Data!$A$5:$M$5,0)),"")</f>
        <v/>
      </c>
      <c r="F38" s="80" t="str">
        <f>IFERROR(INDEX(Data!$A$5:$M$175,MATCH('Forecast drivers'!$A38&amp;RIGHT(F$29,2),Data!$A$5:$A$175,0), MATCH($A$26, Data!$A$5:$M$5,0)),"")</f>
        <v/>
      </c>
      <c r="G38" s="80" t="str">
        <f>IFERROR(INDEX(Data!$A$5:$M$175,MATCH('Forecast drivers'!$A38&amp;RIGHT(G$29,2),Data!$A$5:$A$175,0), MATCH($A$26, Data!$A$5:$M$5,0)),"")</f>
        <v/>
      </c>
      <c r="H38" s="80">
        <f>IFERROR(INDEX(Data!$A$5:$M$175,MATCH('Forecast drivers'!$A38&amp;RIGHT(H$29,2),Data!$A$5:$A$175,0), MATCH($A$26, Data!$A$5:$M$5,0)),"")</f>
        <v>1</v>
      </c>
      <c r="I38" s="81">
        <f>IFERROR(INDEX(Data!$A$5:$M$175,MATCH('Forecast drivers'!$A38&amp;RIGHT(I$29,2),Data!$A$5:$A$175,0), MATCH($A$26, Data!$A$5:$M$5,0)),"")</f>
        <v>3</v>
      </c>
      <c r="J38" s="81">
        <f>IFERROR(INDEX(Data!$A$5:$M$175,MATCH('Forecast drivers'!$A38&amp;RIGHT(J$29,2),Data!$A$5:$A$175,0), MATCH($A$26, Data!$A$5:$M$5,0)),"")</f>
        <v>4</v>
      </c>
      <c r="K38" s="81">
        <f>IFERROR(INDEX(Data!$A$5:$M$175,MATCH('Forecast drivers'!$A38&amp;RIGHT(K$29,2),Data!$A$5:$A$175,0), MATCH($A$26, Data!$A$5:$M$5,0)),"")</f>
        <v>1</v>
      </c>
      <c r="L38" s="81">
        <f>IFERROR(INDEX(Data!$A$5:$M$175,MATCH('Forecast drivers'!$A38&amp;RIGHT(L$29,2),Data!$A$5:$A$175,0), MATCH($A$26, Data!$A$5:$M$5,0)),"")</f>
        <v>1</v>
      </c>
      <c r="M38" s="81">
        <f>IFERROR(INDEX(Data!$A$5:$M$175,MATCH('Forecast drivers'!$A38&amp;RIGHT(M$29,2),Data!$A$5:$A$175,0), MATCH($A$26, Data!$A$5:$M$5,0)),"")</f>
        <v>2</v>
      </c>
      <c r="N38" s="81">
        <f>IFERROR(INDEX(Data!$A$5:$M$175,MATCH('Forecast drivers'!$A38&amp;RIGHT(N$29,2),Data!$A$5:$A$175,0), MATCH($A$26, Data!$A$5:$M$5,0)),"")</f>
        <v>2</v>
      </c>
      <c r="O38" s="81">
        <f>IFERROR(INDEX(Data!$A$5:$M$175,MATCH('Forecast drivers'!$A38&amp;RIGHT(O$29,2),Data!$A$5:$A$175,0), MATCH($A$26, Data!$A$5:$M$5,0)),"")</f>
        <v>1</v>
      </c>
      <c r="P38" s="82" t="str">
        <f t="shared" si="22"/>
        <v/>
      </c>
      <c r="Q38" s="82" t="str">
        <f t="shared" si="22"/>
        <v/>
      </c>
      <c r="R38" s="82" t="str">
        <f t="shared" si="22"/>
        <v/>
      </c>
      <c r="S38" s="82" t="str">
        <f t="shared" si="22"/>
        <v/>
      </c>
      <c r="T38" s="82" t="str">
        <f t="shared" si="22"/>
        <v/>
      </c>
      <c r="U38" s="82" t="str">
        <f t="shared" si="22"/>
        <v/>
      </c>
      <c r="V38" s="82" t="str">
        <f t="shared" si="22"/>
        <v/>
      </c>
      <c r="W38" s="109">
        <f t="shared" si="13"/>
        <v>4</v>
      </c>
      <c r="X38" s="109">
        <f t="shared" si="14"/>
        <v>4</v>
      </c>
      <c r="Y38" s="109">
        <f t="shared" si="15"/>
        <v>1</v>
      </c>
      <c r="Z38" s="109">
        <f t="shared" si="16"/>
        <v>1</v>
      </c>
      <c r="AA38" s="109">
        <f t="shared" si="17"/>
        <v>2</v>
      </c>
      <c r="AB38" s="109">
        <f t="shared" si="18"/>
        <v>2</v>
      </c>
      <c r="AC38" s="109">
        <f t="shared" si="19"/>
        <v>1</v>
      </c>
      <c r="AD38" s="103"/>
      <c r="AE38" s="110" t="s">
        <v>60</v>
      </c>
      <c r="AF38" s="111" t="s">
        <v>60</v>
      </c>
      <c r="AG38" s="112" t="str">
        <f t="shared" si="20"/>
        <v>OK</v>
      </c>
      <c r="AI38" s="230"/>
      <c r="AJ38" s="231"/>
      <c r="AK38" s="231"/>
      <c r="AL38" s="231"/>
      <c r="AM38" s="231"/>
      <c r="AN38" s="231"/>
      <c r="AO38" s="231"/>
      <c r="AP38" s="231"/>
      <c r="AQ38" s="231"/>
      <c r="AR38" s="231"/>
      <c r="AS38" s="231"/>
      <c r="AT38" s="232"/>
    </row>
    <row r="39" spans="1:46" x14ac:dyDescent="0.45">
      <c r="A39" s="85" t="s">
        <v>14</v>
      </c>
      <c r="B39" s="80">
        <f>IFERROR(INDEX(Data!$A$5:$M$175,MATCH('Forecast drivers'!$A39&amp;RIGHT(B$29,2),Data!$A$5:$A$175,0), MATCH($A$26, Data!$A$5:$M$5,0)),"")</f>
        <v>0</v>
      </c>
      <c r="C39" s="80">
        <f>IFERROR(INDEX(Data!$A$5:$M$175,MATCH('Forecast drivers'!$A39&amp;RIGHT(C$29,2),Data!$A$5:$A$175,0), MATCH($A$26, Data!$A$5:$M$5,0)),"")</f>
        <v>1</v>
      </c>
      <c r="D39" s="80">
        <f>IFERROR(INDEX(Data!$A$5:$M$175,MATCH('Forecast drivers'!$A39&amp;RIGHT(D$29,2),Data!$A$5:$A$175,0), MATCH($A$26, Data!$A$5:$M$5,0)),"")</f>
        <v>0</v>
      </c>
      <c r="E39" s="80">
        <f>IFERROR(INDEX(Data!$A$5:$M$175,MATCH('Forecast drivers'!$A39&amp;RIGHT(E$29,2),Data!$A$5:$A$175,0), MATCH($A$26, Data!$A$5:$M$5,0)),"")</f>
        <v>0</v>
      </c>
      <c r="F39" s="80">
        <f>IFERROR(INDEX(Data!$A$5:$M$175,MATCH('Forecast drivers'!$A39&amp;RIGHT(F$29,2),Data!$A$5:$A$175,0), MATCH($A$26, Data!$A$5:$M$5,0)),"")</f>
        <v>0</v>
      </c>
      <c r="G39" s="80">
        <f>IFERROR(INDEX(Data!$A$5:$M$175,MATCH('Forecast drivers'!$A39&amp;RIGHT(G$29,2),Data!$A$5:$A$175,0), MATCH($A$26, Data!$A$5:$M$5,0)),"")</f>
        <v>0</v>
      </c>
      <c r="H39" s="80">
        <f>IFERROR(INDEX(Data!$A$5:$M$175,MATCH('Forecast drivers'!$A39&amp;RIGHT(H$29,2),Data!$A$5:$A$175,0), MATCH($A$26, Data!$A$5:$M$5,0)),"")</f>
        <v>0</v>
      </c>
      <c r="I39" s="81">
        <f>IFERROR(INDEX(Data!$A$5:$M$175,MATCH('Forecast drivers'!$A39&amp;RIGHT(I$29,2),Data!$A$5:$A$175,0), MATCH($A$26, Data!$A$5:$M$5,0)),"")</f>
        <v>1</v>
      </c>
      <c r="J39" s="81">
        <f>IFERROR(INDEX(Data!$A$5:$M$175,MATCH('Forecast drivers'!$A39&amp;RIGHT(J$29,2),Data!$A$5:$A$175,0), MATCH($A$26, Data!$A$5:$M$5,0)),"")</f>
        <v>1</v>
      </c>
      <c r="K39" s="81">
        <f>IFERROR(INDEX(Data!$A$5:$M$175,MATCH('Forecast drivers'!$A39&amp;RIGHT(K$29,2),Data!$A$5:$A$175,0), MATCH($A$26, Data!$A$5:$M$5,0)),"")</f>
        <v>0</v>
      </c>
      <c r="L39" s="81">
        <f>IFERROR(INDEX(Data!$A$5:$M$175,MATCH('Forecast drivers'!$A39&amp;RIGHT(L$29,2),Data!$A$5:$A$175,0), MATCH($A$26, Data!$A$5:$M$5,0)),"")</f>
        <v>0</v>
      </c>
      <c r="M39" s="81">
        <f>IFERROR(INDEX(Data!$A$5:$M$175,MATCH('Forecast drivers'!$A39&amp;RIGHT(M$29,2),Data!$A$5:$A$175,0), MATCH($A$26, Data!$A$5:$M$5,0)),"")</f>
        <v>0</v>
      </c>
      <c r="N39" s="81">
        <f>IFERROR(INDEX(Data!$A$5:$M$175,MATCH('Forecast drivers'!$A39&amp;RIGHT(N$29,2),Data!$A$5:$A$175,0), MATCH($A$26, Data!$A$5:$M$5,0)),"")</f>
        <v>1</v>
      </c>
      <c r="O39" s="81">
        <f>IFERROR(INDEX(Data!$A$5:$M$175,MATCH('Forecast drivers'!$A39&amp;RIGHT(O$29,2),Data!$A$5:$A$175,0), MATCH($A$26, Data!$A$5:$M$5,0)),"")</f>
        <v>1</v>
      </c>
      <c r="P39" s="82">
        <f t="shared" si="22"/>
        <v>-0.14285714285714285</v>
      </c>
      <c r="Q39" s="82">
        <f t="shared" si="22"/>
        <v>-0.21428571428571425</v>
      </c>
      <c r="R39" s="82">
        <f t="shared" si="22"/>
        <v>-0.28571428571428564</v>
      </c>
      <c r="S39" s="82">
        <f t="shared" si="22"/>
        <v>-0.35714285714285715</v>
      </c>
      <c r="T39" s="82">
        <f t="shared" si="22"/>
        <v>-0.42857142857142855</v>
      </c>
      <c r="U39" s="82">
        <f t="shared" si="22"/>
        <v>-0.49999999999999994</v>
      </c>
      <c r="V39" s="82">
        <f t="shared" si="22"/>
        <v>-0.5714285714285714</v>
      </c>
      <c r="W39" s="109">
        <f t="shared" si="13"/>
        <v>1</v>
      </c>
      <c r="X39" s="109">
        <f t="shared" si="14"/>
        <v>1</v>
      </c>
      <c r="Y39" s="109">
        <f t="shared" si="15"/>
        <v>0</v>
      </c>
      <c r="Z39" s="109">
        <f t="shared" si="16"/>
        <v>0</v>
      </c>
      <c r="AA39" s="109">
        <f t="shared" si="17"/>
        <v>0</v>
      </c>
      <c r="AB39" s="109">
        <f t="shared" si="18"/>
        <v>1</v>
      </c>
      <c r="AC39" s="109">
        <f t="shared" si="19"/>
        <v>1</v>
      </c>
      <c r="AD39" s="103"/>
      <c r="AE39" s="110" t="s">
        <v>60</v>
      </c>
      <c r="AF39" s="111" t="s">
        <v>60</v>
      </c>
      <c r="AG39" s="112" t="str">
        <f t="shared" si="20"/>
        <v>OK</v>
      </c>
      <c r="AI39" s="207" t="s">
        <v>302</v>
      </c>
      <c r="AJ39" s="192"/>
      <c r="AK39" s="192"/>
      <c r="AL39" s="192"/>
      <c r="AM39" s="192"/>
      <c r="AN39" s="192"/>
      <c r="AO39" s="192"/>
      <c r="AP39" s="192"/>
      <c r="AQ39" s="192"/>
      <c r="AR39" s="192"/>
      <c r="AS39" s="208"/>
      <c r="AT39" s="209"/>
    </row>
    <row r="40" spans="1:46" x14ac:dyDescent="0.45">
      <c r="A40" s="85" t="s">
        <v>15</v>
      </c>
      <c r="B40" s="80">
        <f>IFERROR(INDEX(Data!$A$5:$M$175,MATCH('Forecast drivers'!$A40&amp;RIGHT(B$29,2),Data!$A$5:$A$175,0), MATCH($A$26, Data!$A$5:$M$5,0)),"")</f>
        <v>0</v>
      </c>
      <c r="C40" s="80">
        <f>IFERROR(INDEX(Data!$A$5:$M$175,MATCH('Forecast drivers'!$A40&amp;RIGHT(C$29,2),Data!$A$5:$A$175,0), MATCH($A$26, Data!$A$5:$M$5,0)),"")</f>
        <v>1</v>
      </c>
      <c r="D40" s="80">
        <f>IFERROR(INDEX(Data!$A$5:$M$175,MATCH('Forecast drivers'!$A40&amp;RIGHT(D$29,2),Data!$A$5:$A$175,0), MATCH($A$26, Data!$A$5:$M$5,0)),"")</f>
        <v>2</v>
      </c>
      <c r="E40" s="80">
        <f>IFERROR(INDEX(Data!$A$5:$M$175,MATCH('Forecast drivers'!$A40&amp;RIGHT(E$29,2),Data!$A$5:$A$175,0), MATCH($A$26, Data!$A$5:$M$5,0)),"")</f>
        <v>1</v>
      </c>
      <c r="F40" s="80">
        <f>IFERROR(INDEX(Data!$A$5:$M$175,MATCH('Forecast drivers'!$A40&amp;RIGHT(F$29,2),Data!$A$5:$A$175,0), MATCH($A$26, Data!$A$5:$M$5,0)),"")</f>
        <v>0</v>
      </c>
      <c r="G40" s="80">
        <f>IFERROR(INDEX(Data!$A$5:$M$175,MATCH('Forecast drivers'!$A40&amp;RIGHT(G$29,2),Data!$A$5:$A$175,0), MATCH($A$26, Data!$A$5:$M$5,0)),"")</f>
        <v>2</v>
      </c>
      <c r="H40" s="80">
        <f>IFERROR(INDEX(Data!$A$5:$M$175,MATCH('Forecast drivers'!$A40&amp;RIGHT(H$29,2),Data!$A$5:$A$175,0), MATCH($A$26, Data!$A$5:$M$5,0)),"")</f>
        <v>1</v>
      </c>
      <c r="I40" s="81">
        <f>IFERROR(INDEX(Data!$A$5:$M$175,MATCH('Forecast drivers'!$A40&amp;RIGHT(I$29,2),Data!$A$5:$A$175,0), MATCH($A$26, Data!$A$5:$M$5,0)),"")</f>
        <v>1</v>
      </c>
      <c r="J40" s="81">
        <f>IFERROR(INDEX(Data!$A$5:$M$175,MATCH('Forecast drivers'!$A40&amp;RIGHT(J$29,2),Data!$A$5:$A$175,0), MATCH($A$26, Data!$A$5:$M$5,0)),"")</f>
        <v>1</v>
      </c>
      <c r="K40" s="81">
        <f>IFERROR(INDEX(Data!$A$5:$M$175,MATCH('Forecast drivers'!$A40&amp;RIGHT(K$29,2),Data!$A$5:$A$175,0), MATCH($A$26, Data!$A$5:$M$5,0)),"")</f>
        <v>0</v>
      </c>
      <c r="L40" s="81">
        <f>IFERROR(INDEX(Data!$A$5:$M$175,MATCH('Forecast drivers'!$A40&amp;RIGHT(L$29,2),Data!$A$5:$A$175,0), MATCH($A$26, Data!$A$5:$M$5,0)),"")</f>
        <v>2</v>
      </c>
      <c r="M40" s="81">
        <f>IFERROR(INDEX(Data!$A$5:$M$175,MATCH('Forecast drivers'!$A40&amp;RIGHT(M$29,2),Data!$A$5:$A$175,0), MATCH($A$26, Data!$A$5:$M$5,0)),"")</f>
        <v>2</v>
      </c>
      <c r="N40" s="81">
        <f>IFERROR(INDEX(Data!$A$5:$M$175,MATCH('Forecast drivers'!$A40&amp;RIGHT(N$29,2),Data!$A$5:$A$175,0), MATCH($A$26, Data!$A$5:$M$5,0)),"")</f>
        <v>1</v>
      </c>
      <c r="O40" s="81">
        <f>IFERROR(INDEX(Data!$A$5:$M$175,MATCH('Forecast drivers'!$A40&amp;RIGHT(O$29,2),Data!$A$5:$A$175,0), MATCH($A$26, Data!$A$5:$M$5,0)),"")</f>
        <v>1</v>
      </c>
      <c r="P40" s="82">
        <f t="shared" si="22"/>
        <v>1.4285714285714284</v>
      </c>
      <c r="Q40" s="82">
        <f t="shared" si="22"/>
        <v>1.5357142857142856</v>
      </c>
      <c r="R40" s="82">
        <f t="shared" si="22"/>
        <v>1.6428571428571428</v>
      </c>
      <c r="S40" s="82">
        <f t="shared" si="22"/>
        <v>1.75</v>
      </c>
      <c r="T40" s="82">
        <f t="shared" si="22"/>
        <v>1.857142857142857</v>
      </c>
      <c r="U40" s="82">
        <f t="shared" si="22"/>
        <v>1.9642857142857142</v>
      </c>
      <c r="V40" s="82">
        <f t="shared" si="22"/>
        <v>2.0714285714285712</v>
      </c>
      <c r="W40" s="109">
        <f t="shared" si="13"/>
        <v>1</v>
      </c>
      <c r="X40" s="109">
        <f t="shared" si="14"/>
        <v>1</v>
      </c>
      <c r="Y40" s="109">
        <f t="shared" si="15"/>
        <v>0</v>
      </c>
      <c r="Z40" s="109">
        <f t="shared" si="16"/>
        <v>2</v>
      </c>
      <c r="AA40" s="109">
        <f t="shared" si="17"/>
        <v>2</v>
      </c>
      <c r="AB40" s="109">
        <f t="shared" si="18"/>
        <v>1</v>
      </c>
      <c r="AC40" s="109">
        <f t="shared" si="19"/>
        <v>1</v>
      </c>
      <c r="AD40" s="103"/>
      <c r="AE40" s="110" t="s">
        <v>60</v>
      </c>
      <c r="AF40" s="111" t="s">
        <v>60</v>
      </c>
      <c r="AG40" s="112" t="str">
        <f t="shared" si="20"/>
        <v>OK</v>
      </c>
      <c r="AI40" s="207" t="s">
        <v>321</v>
      </c>
      <c r="AJ40" s="192"/>
      <c r="AK40" s="192"/>
      <c r="AL40" s="192"/>
      <c r="AM40" s="192"/>
      <c r="AN40" s="192"/>
      <c r="AO40" s="192"/>
      <c r="AP40" s="192"/>
      <c r="AQ40" s="192"/>
      <c r="AR40" s="192"/>
      <c r="AS40" s="208"/>
      <c r="AT40" s="209"/>
    </row>
    <row r="41" spans="1:46" x14ac:dyDescent="0.45">
      <c r="A41" s="85" t="s">
        <v>16</v>
      </c>
      <c r="B41" s="80">
        <f>IFERROR(INDEX(Data!$A$5:$M$175,MATCH('Forecast drivers'!$A41&amp;RIGHT(B$29,2),Data!$A$5:$A$175,0), MATCH($A$26, Data!$A$5:$M$5,0)),"")</f>
        <v>1</v>
      </c>
      <c r="C41" s="80">
        <f>IFERROR(INDEX(Data!$A$5:$M$175,MATCH('Forecast drivers'!$A41&amp;RIGHT(C$29,2),Data!$A$5:$A$175,0), MATCH($A$26, Data!$A$5:$M$5,0)),"")</f>
        <v>1</v>
      </c>
      <c r="D41" s="80">
        <f>IFERROR(INDEX(Data!$A$5:$M$175,MATCH('Forecast drivers'!$A41&amp;RIGHT(D$29,2),Data!$A$5:$A$175,0), MATCH($A$26, Data!$A$5:$M$5,0)),"")</f>
        <v>2</v>
      </c>
      <c r="E41" s="80">
        <f>IFERROR(INDEX(Data!$A$5:$M$175,MATCH('Forecast drivers'!$A41&amp;RIGHT(E$29,2),Data!$A$5:$A$175,0), MATCH($A$26, Data!$A$5:$M$5,0)),"")</f>
        <v>0</v>
      </c>
      <c r="F41" s="80">
        <f>IFERROR(INDEX(Data!$A$5:$M$175,MATCH('Forecast drivers'!$A41&amp;RIGHT(F$29,2),Data!$A$5:$A$175,0), MATCH($A$26, Data!$A$5:$M$5,0)),"")</f>
        <v>1</v>
      </c>
      <c r="G41" s="80">
        <f>IFERROR(INDEX(Data!$A$5:$M$175,MATCH('Forecast drivers'!$A41&amp;RIGHT(G$29,2),Data!$A$5:$A$175,0), MATCH($A$26, Data!$A$5:$M$5,0)),"")</f>
        <v>0</v>
      </c>
      <c r="H41" s="80">
        <f>IFERROR(INDEX(Data!$A$5:$M$175,MATCH('Forecast drivers'!$A41&amp;RIGHT(H$29,2),Data!$A$5:$A$175,0), MATCH($A$26, Data!$A$5:$M$5,0)),"")</f>
        <v>1</v>
      </c>
      <c r="I41" s="81">
        <f>IFERROR(INDEX(Data!$A$5:$M$175,MATCH('Forecast drivers'!$A41&amp;RIGHT(I$29,2),Data!$A$5:$A$175,0), MATCH($A$26, Data!$A$5:$M$5,0)),"")</f>
        <v>0</v>
      </c>
      <c r="J41" s="81">
        <f>IFERROR(INDEX(Data!$A$5:$M$175,MATCH('Forecast drivers'!$A41&amp;RIGHT(J$29,2),Data!$A$5:$A$175,0), MATCH($A$26, Data!$A$5:$M$5,0)),"")</f>
        <v>1</v>
      </c>
      <c r="K41" s="81">
        <f>IFERROR(INDEX(Data!$A$5:$M$175,MATCH('Forecast drivers'!$A41&amp;RIGHT(K$29,2),Data!$A$5:$A$175,0), MATCH($A$26, Data!$A$5:$M$5,0)),"")</f>
        <v>1</v>
      </c>
      <c r="L41" s="81">
        <f>IFERROR(INDEX(Data!$A$5:$M$175,MATCH('Forecast drivers'!$A41&amp;RIGHT(L$29,2),Data!$A$5:$A$175,0), MATCH($A$26, Data!$A$5:$M$5,0)),"")</f>
        <v>1</v>
      </c>
      <c r="M41" s="81">
        <f>IFERROR(INDEX(Data!$A$5:$M$175,MATCH('Forecast drivers'!$A41&amp;RIGHT(M$29,2),Data!$A$5:$A$175,0), MATCH($A$26, Data!$A$5:$M$5,0)),"")</f>
        <v>0</v>
      </c>
      <c r="N41" s="81">
        <f>IFERROR(INDEX(Data!$A$5:$M$175,MATCH('Forecast drivers'!$A41&amp;RIGHT(N$29,2),Data!$A$5:$A$175,0), MATCH($A$26, Data!$A$5:$M$5,0)),"")</f>
        <v>1</v>
      </c>
      <c r="O41" s="81">
        <f>IFERROR(INDEX(Data!$A$5:$M$175,MATCH('Forecast drivers'!$A41&amp;RIGHT(O$29,2),Data!$A$5:$A$175,0), MATCH($A$26, Data!$A$5:$M$5,0)),"")</f>
        <v>1</v>
      </c>
      <c r="P41" s="82">
        <f t="shared" si="22"/>
        <v>0.42857142857142849</v>
      </c>
      <c r="Q41" s="82">
        <f t="shared" si="22"/>
        <v>0.3214285714285714</v>
      </c>
      <c r="R41" s="82">
        <f t="shared" si="22"/>
        <v>0.21428571428571419</v>
      </c>
      <c r="S41" s="82">
        <f t="shared" si="22"/>
        <v>0.10714285714285698</v>
      </c>
      <c r="T41" s="82">
        <f t="shared" si="22"/>
        <v>0</v>
      </c>
      <c r="U41" s="82">
        <f t="shared" si="22"/>
        <v>-0.10714285714285721</v>
      </c>
      <c r="V41" s="82">
        <f t="shared" si="22"/>
        <v>-0.21428571428571441</v>
      </c>
      <c r="W41" s="109">
        <f t="shared" si="13"/>
        <v>1</v>
      </c>
      <c r="X41" s="109">
        <f t="shared" si="14"/>
        <v>1</v>
      </c>
      <c r="Y41" s="109">
        <f t="shared" si="15"/>
        <v>1</v>
      </c>
      <c r="Z41" s="109">
        <f t="shared" si="16"/>
        <v>1</v>
      </c>
      <c r="AA41" s="109">
        <f t="shared" si="17"/>
        <v>0</v>
      </c>
      <c r="AB41" s="109">
        <f t="shared" si="18"/>
        <v>1</v>
      </c>
      <c r="AC41" s="109">
        <f t="shared" si="19"/>
        <v>1</v>
      </c>
      <c r="AD41" s="103"/>
      <c r="AE41" s="110" t="s">
        <v>60</v>
      </c>
      <c r="AF41" s="111" t="s">
        <v>60</v>
      </c>
      <c r="AG41" s="112" t="str">
        <f t="shared" si="20"/>
        <v>OK</v>
      </c>
      <c r="AI41" s="207" t="s">
        <v>304</v>
      </c>
      <c r="AJ41" s="192"/>
      <c r="AK41" s="192"/>
      <c r="AL41" s="192"/>
      <c r="AM41" s="192"/>
      <c r="AN41" s="192"/>
      <c r="AO41" s="192"/>
      <c r="AP41" s="192"/>
      <c r="AQ41" s="192"/>
      <c r="AR41" s="192"/>
      <c r="AS41" s="208"/>
      <c r="AT41" s="209"/>
    </row>
    <row r="42" spans="1:46" x14ac:dyDescent="0.45">
      <c r="A42" s="85" t="s">
        <v>17</v>
      </c>
      <c r="B42" s="80">
        <f>IFERROR(INDEX(Data!$A$5:$M$175,MATCH('Forecast drivers'!$A42&amp;RIGHT(B$29,2),Data!$A$5:$A$175,0), MATCH($A$26, Data!$A$5:$M$5,0)),"")</f>
        <v>0</v>
      </c>
      <c r="C42" s="80">
        <f>IFERROR(INDEX(Data!$A$5:$M$175,MATCH('Forecast drivers'!$A42&amp;RIGHT(C$29,2),Data!$A$5:$A$175,0), MATCH($A$26, Data!$A$5:$M$5,0)),"")</f>
        <v>0</v>
      </c>
      <c r="D42" s="80">
        <f>IFERROR(INDEX(Data!$A$5:$M$175,MATCH('Forecast drivers'!$A42&amp;RIGHT(D$29,2),Data!$A$5:$A$175,0), MATCH($A$26, Data!$A$5:$M$5,0)),"")</f>
        <v>0</v>
      </c>
      <c r="E42" s="80">
        <f>IFERROR(INDEX(Data!$A$5:$M$175,MATCH('Forecast drivers'!$A42&amp;RIGHT(E$29,2),Data!$A$5:$A$175,0), MATCH($A$26, Data!$A$5:$M$5,0)),"")</f>
        <v>2</v>
      </c>
      <c r="F42" s="80">
        <f>IFERROR(INDEX(Data!$A$5:$M$175,MATCH('Forecast drivers'!$A42&amp;RIGHT(F$29,2),Data!$A$5:$A$175,0), MATCH($A$26, Data!$A$5:$M$5,0)),"")</f>
        <v>0</v>
      </c>
      <c r="G42" s="80">
        <f>IFERROR(INDEX(Data!$A$5:$M$175,MATCH('Forecast drivers'!$A42&amp;RIGHT(G$29,2),Data!$A$5:$A$175,0), MATCH($A$26, Data!$A$5:$M$5,0)),"")</f>
        <v>0</v>
      </c>
      <c r="H42" s="80">
        <f>IFERROR(INDEX(Data!$A$5:$M$175,MATCH('Forecast drivers'!$A42&amp;RIGHT(H$29,2),Data!$A$5:$A$175,0), MATCH($A$26, Data!$A$5:$M$5,0)),"")</f>
        <v>1</v>
      </c>
      <c r="I42" s="81">
        <f>IFERROR(INDEX(Data!$A$5:$M$175,MATCH('Forecast drivers'!$A42&amp;RIGHT(I$29,2),Data!$A$5:$A$175,0), MATCH($A$26, Data!$A$5:$M$5,0)),"")</f>
        <v>0</v>
      </c>
      <c r="J42" s="81">
        <f>IFERROR(INDEX(Data!$A$5:$M$175,MATCH('Forecast drivers'!$A42&amp;RIGHT(J$29,2),Data!$A$5:$A$175,0), MATCH($A$26, Data!$A$5:$M$5,0)),"")</f>
        <v>0</v>
      </c>
      <c r="K42" s="81">
        <f>IFERROR(INDEX(Data!$A$5:$M$175,MATCH('Forecast drivers'!$A42&amp;RIGHT(K$29,2),Data!$A$5:$A$175,0), MATCH($A$26, Data!$A$5:$M$5,0)),"")</f>
        <v>1</v>
      </c>
      <c r="L42" s="81">
        <f>IFERROR(INDEX(Data!$A$5:$M$175,MATCH('Forecast drivers'!$A42&amp;RIGHT(L$29,2),Data!$A$5:$A$175,0), MATCH($A$26, Data!$A$5:$M$5,0)),"")</f>
        <v>1</v>
      </c>
      <c r="M42" s="81">
        <f>IFERROR(INDEX(Data!$A$5:$M$175,MATCH('Forecast drivers'!$A42&amp;RIGHT(M$29,2),Data!$A$5:$A$175,0), MATCH($A$26, Data!$A$5:$M$5,0)),"")</f>
        <v>1</v>
      </c>
      <c r="N42" s="81">
        <f>IFERROR(INDEX(Data!$A$5:$M$175,MATCH('Forecast drivers'!$A42&amp;RIGHT(N$29,2),Data!$A$5:$A$175,0), MATCH($A$26, Data!$A$5:$M$5,0)),"")</f>
        <v>1</v>
      </c>
      <c r="O42" s="81">
        <f>IFERROR(INDEX(Data!$A$5:$M$175,MATCH('Forecast drivers'!$A42&amp;RIGHT(O$29,2),Data!$A$5:$A$175,0), MATCH($A$26, Data!$A$5:$M$5,0)),"")</f>
        <v>1</v>
      </c>
      <c r="P42" s="82">
        <f t="shared" si="22"/>
        <v>0.8571428571428571</v>
      </c>
      <c r="Q42" s="82">
        <f t="shared" si="22"/>
        <v>0.96428571428571419</v>
      </c>
      <c r="R42" s="82">
        <f t="shared" si="22"/>
        <v>1.0714285714285714</v>
      </c>
      <c r="S42" s="82">
        <f t="shared" si="22"/>
        <v>1.1785714285714286</v>
      </c>
      <c r="T42" s="82">
        <f t="shared" si="22"/>
        <v>1.2857142857142856</v>
      </c>
      <c r="U42" s="82">
        <f t="shared" si="22"/>
        <v>1.3928571428571428</v>
      </c>
      <c r="V42" s="82">
        <f t="shared" si="22"/>
        <v>1.5</v>
      </c>
      <c r="W42" s="109">
        <f t="shared" si="13"/>
        <v>0</v>
      </c>
      <c r="X42" s="109">
        <f t="shared" si="14"/>
        <v>0</v>
      </c>
      <c r="Y42" s="109">
        <f t="shared" si="15"/>
        <v>1</v>
      </c>
      <c r="Z42" s="109">
        <f t="shared" si="16"/>
        <v>1</v>
      </c>
      <c r="AA42" s="109">
        <f t="shared" si="17"/>
        <v>1</v>
      </c>
      <c r="AB42" s="109">
        <f t="shared" si="18"/>
        <v>1</v>
      </c>
      <c r="AC42" s="109">
        <f t="shared" si="19"/>
        <v>1</v>
      </c>
      <c r="AD42" s="103"/>
      <c r="AE42" s="110" t="s">
        <v>60</v>
      </c>
      <c r="AF42" s="111" t="s">
        <v>60</v>
      </c>
      <c r="AG42" s="112" t="str">
        <f t="shared" si="20"/>
        <v>OK</v>
      </c>
      <c r="AI42" s="210"/>
      <c r="AJ42" s="192"/>
      <c r="AK42" s="192"/>
      <c r="AL42" s="192"/>
      <c r="AM42" s="192"/>
      <c r="AN42" s="192"/>
      <c r="AO42" s="192"/>
      <c r="AP42" s="192"/>
      <c r="AQ42" s="192"/>
      <c r="AR42" s="192"/>
      <c r="AS42" s="208"/>
      <c r="AT42" s="209"/>
    </row>
    <row r="43" spans="1:46" x14ac:dyDescent="0.45">
      <c r="A43" s="86" t="s">
        <v>76</v>
      </c>
      <c r="B43" s="76">
        <f t="shared" ref="B43:H43" si="23">SUM(B$31:B$42)</f>
        <v>19</v>
      </c>
      <c r="C43" s="76">
        <f t="shared" si="23"/>
        <v>16</v>
      </c>
      <c r="D43" s="76">
        <f t="shared" si="23"/>
        <v>11</v>
      </c>
      <c r="E43" s="76">
        <f t="shared" si="23"/>
        <v>19</v>
      </c>
      <c r="F43" s="76">
        <f t="shared" si="23"/>
        <v>8</v>
      </c>
      <c r="G43" s="76">
        <f t="shared" si="23"/>
        <v>7</v>
      </c>
      <c r="H43" s="76">
        <f t="shared" si="23"/>
        <v>15</v>
      </c>
      <c r="I43" s="87">
        <f t="shared" ref="I43:V43" si="24">SUM(I31:I42)</f>
        <v>23</v>
      </c>
      <c r="J43" s="87">
        <f t="shared" si="24"/>
        <v>20</v>
      </c>
      <c r="K43" s="87">
        <f t="shared" si="24"/>
        <v>9</v>
      </c>
      <c r="L43" s="87">
        <f t="shared" si="24"/>
        <v>11</v>
      </c>
      <c r="M43" s="87">
        <f t="shared" si="24"/>
        <v>14</v>
      </c>
      <c r="N43" s="87">
        <f t="shared" si="24"/>
        <v>13</v>
      </c>
      <c r="O43" s="87">
        <f t="shared" si="24"/>
        <v>15</v>
      </c>
      <c r="P43" s="88">
        <f t="shared" si="24"/>
        <v>5.9999999999999973</v>
      </c>
      <c r="Q43" s="88">
        <f t="shared" si="24"/>
        <v>4.2857142857142829</v>
      </c>
      <c r="R43" s="88">
        <f t="shared" si="24"/>
        <v>2.5714285714285685</v>
      </c>
      <c r="S43" s="88">
        <f t="shared" si="24"/>
        <v>0.85714285714285277</v>
      </c>
      <c r="T43" s="88">
        <f t="shared" si="24"/>
        <v>-0.85714285714285943</v>
      </c>
      <c r="U43" s="88">
        <f t="shared" si="24"/>
        <v>-2.571428571428573</v>
      </c>
      <c r="V43" s="88">
        <f t="shared" si="24"/>
        <v>-4.2857142857142891</v>
      </c>
      <c r="W43" s="89">
        <f t="shared" ref="W43:AC43" si="25">SUM(W$31:W$42)</f>
        <v>20</v>
      </c>
      <c r="X43" s="89">
        <f t="shared" si="25"/>
        <v>20</v>
      </c>
      <c r="Y43" s="89">
        <f t="shared" si="25"/>
        <v>9</v>
      </c>
      <c r="Z43" s="89">
        <f t="shared" si="25"/>
        <v>11</v>
      </c>
      <c r="AA43" s="89">
        <f t="shared" si="25"/>
        <v>14</v>
      </c>
      <c r="AB43" s="89">
        <f t="shared" si="25"/>
        <v>13</v>
      </c>
      <c r="AC43" s="90">
        <f t="shared" si="25"/>
        <v>15</v>
      </c>
      <c r="AE43" s="110" t="s">
        <v>60</v>
      </c>
      <c r="AF43" s="111" t="s">
        <v>60</v>
      </c>
      <c r="AG43" s="112" t="str">
        <f t="shared" si="20"/>
        <v>OK</v>
      </c>
      <c r="AI43" s="211"/>
      <c r="AJ43" s="212"/>
      <c r="AK43" s="212"/>
      <c r="AL43" s="212"/>
      <c r="AM43" s="212"/>
      <c r="AN43" s="212"/>
      <c r="AO43" s="212"/>
      <c r="AP43" s="212"/>
      <c r="AQ43" s="212"/>
      <c r="AR43" s="212"/>
      <c r="AS43" s="213"/>
      <c r="AT43" s="214"/>
    </row>
  </sheetData>
  <mergeCells count="11">
    <mergeCell ref="AE29:AE30"/>
    <mergeCell ref="AF29:AF30"/>
    <mergeCell ref="AG29:AG30"/>
    <mergeCell ref="AE8:AE9"/>
    <mergeCell ref="AF8:AF9"/>
    <mergeCell ref="AG8:AG9"/>
    <mergeCell ref="AI37:AT38"/>
    <mergeCell ref="AI9:AT12"/>
    <mergeCell ref="AI15:AT16"/>
    <mergeCell ref="AI30:AT33"/>
    <mergeCell ref="AI35:AT36"/>
  </mergeCells>
  <conditionalFormatting sqref="X43:AC43 X22:AB24 A10:A24 AE11:AG24 A31:A43 AE32:AG43">
    <cfRule type="cellIs" dxfId="12" priority="50" operator="equal">
      <formula>0</formula>
    </cfRule>
  </conditionalFormatting>
  <conditionalFormatting sqref="V22:V24">
    <cfRule type="cellIs" dxfId="11" priority="46" operator="equal">
      <formula>0</formula>
    </cfRule>
  </conditionalFormatting>
  <conditionalFormatting sqref="V22:V24">
    <cfRule type="cellIs" dxfId="10" priority="45" operator="equal">
      <formula>0</formula>
    </cfRule>
  </conditionalFormatting>
  <conditionalFormatting sqref="P22:U24">
    <cfRule type="cellIs" dxfId="9" priority="44" operator="equal">
      <formula>0</formula>
    </cfRule>
  </conditionalFormatting>
  <conditionalFormatting sqref="P22:U24">
    <cfRule type="cellIs" dxfId="8" priority="43" operator="equal">
      <formula>0</formula>
    </cfRule>
  </conditionalFormatting>
  <conditionalFormatting sqref="AF11:AG24 AF31:AG43">
    <cfRule type="expression" dxfId="7" priority="29">
      <formula>AF11="error"</formula>
    </cfRule>
    <cfRule type="expression" dxfId="6" priority="30">
      <formula>AF11="OK"</formula>
    </cfRule>
  </conditionalFormatting>
  <conditionalFormatting sqref="AE31:AG31">
    <cfRule type="cellIs" dxfId="5" priority="31" operator="equal">
      <formula>0</formula>
    </cfRule>
  </conditionalFormatting>
  <conditionalFormatting sqref="AC22:AC24">
    <cfRule type="cellIs" dxfId="4" priority="24" operator="equal">
      <formula>0</formula>
    </cfRule>
  </conditionalFormatting>
  <conditionalFormatting sqref="AE10:AG10">
    <cfRule type="cellIs" dxfId="3" priority="19" operator="equal">
      <formula>0</formula>
    </cfRule>
  </conditionalFormatting>
  <conditionalFormatting sqref="AF10:AG10">
    <cfRule type="expression" dxfId="2" priority="17">
      <formula>AF10="error"</formula>
    </cfRule>
    <cfRule type="expression" dxfId="1" priority="18">
      <formula>AF10="OK"</formula>
    </cfRule>
  </conditionalFormatting>
  <conditionalFormatting sqref="W22:W24 W43">
    <cfRule type="cellIs" dxfId="0" priority="1" operator="equal">
      <formula>0</formula>
    </cfRule>
  </conditionalFormatting>
  <dataValidations count="1">
    <dataValidation type="list" allowBlank="1" showInputMessage="1" showErrorMessage="1" promptTitle="Ofwat forecast" prompt="Please choose a forecasting approach. The decision will be used to populate the block &quot;Final decision&quot;." sqref="AE10:AE24 AE31:AE43">
      <formula1>"Company forecast, Ofwat forecast"</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61"/>
  <sheetViews>
    <sheetView showGridLines="0" zoomScaleNormal="100" workbookViewId="0"/>
  </sheetViews>
  <sheetFormatPr defaultColWidth="9" defaultRowHeight="13.15" x14ac:dyDescent="0.4"/>
  <cols>
    <col min="1" max="4" width="9" style="1"/>
    <col min="5" max="8" width="15.375" style="1" customWidth="1"/>
    <col min="9" max="16384" width="9" style="1"/>
  </cols>
  <sheetData>
    <row r="1" spans="1:8" ht="15.75" x14ac:dyDescent="0.5">
      <c r="A1" s="10" t="s">
        <v>26</v>
      </c>
    </row>
    <row r="2" spans="1:8" x14ac:dyDescent="0.4">
      <c r="A2" s="14" t="s">
        <v>27</v>
      </c>
    </row>
    <row r="4" spans="1:8" x14ac:dyDescent="0.4">
      <c r="E4" s="4"/>
      <c r="F4" s="4"/>
      <c r="G4" s="4"/>
      <c r="H4" s="4"/>
    </row>
    <row r="5" spans="1:8" x14ac:dyDescent="0.4">
      <c r="E5" s="129" t="s">
        <v>83</v>
      </c>
      <c r="F5" s="129"/>
      <c r="G5" s="131" t="s">
        <v>82</v>
      </c>
      <c r="H5" s="131"/>
    </row>
    <row r="6" spans="1:8" ht="65.650000000000006" x14ac:dyDescent="0.4">
      <c r="A6" s="31" t="s">
        <v>20</v>
      </c>
      <c r="B6" s="31" t="s">
        <v>5</v>
      </c>
      <c r="C6" s="31" t="s">
        <v>84</v>
      </c>
      <c r="D6" s="31" t="s">
        <v>85</v>
      </c>
      <c r="E6" s="46" t="s">
        <v>278</v>
      </c>
      <c r="F6" s="46" t="s">
        <v>286</v>
      </c>
      <c r="G6" s="46" t="s">
        <v>271</v>
      </c>
      <c r="H6" s="46" t="s">
        <v>287</v>
      </c>
    </row>
    <row r="7" spans="1:8" x14ac:dyDescent="0.4">
      <c r="A7" s="8" t="str">
        <f>B7&amp;RIGHT(D7,2)</f>
        <v>ANH21</v>
      </c>
      <c r="B7" s="8" t="s">
        <v>7</v>
      </c>
      <c r="C7" s="8" t="s">
        <v>71</v>
      </c>
      <c r="D7" s="8">
        <v>2021</v>
      </c>
      <c r="E7" s="130">
        <f>INDEX(Data!H$8:H$175,MATCH($A7,Data!$A$8:$A$175,0))</f>
        <v>0</v>
      </c>
      <c r="F7" s="130">
        <f>IFERROR(E7^2,"")</f>
        <v>0</v>
      </c>
      <c r="G7" s="140">
        <f>INDEX('Forecast drivers'!$W$10:$AC$22,MATCH('Selected forecast drivers'!B7,'Forecast drivers'!$A$10:$A$22,0),MATCH('Selected forecast drivers'!C7,'Forecast drivers'!$W$8:$AC$8))</f>
        <v>0</v>
      </c>
      <c r="H7" s="130">
        <f>IFERROR(G7^2,"")</f>
        <v>0</v>
      </c>
    </row>
    <row r="8" spans="1:8" x14ac:dyDescent="0.4">
      <c r="A8" s="8" t="str">
        <f t="shared" ref="A8:A61" si="0">B8&amp;RIGHT(D8,2)</f>
        <v>ANH22</v>
      </c>
      <c r="B8" s="8" t="s">
        <v>7</v>
      </c>
      <c r="C8" s="8" t="s">
        <v>72</v>
      </c>
      <c r="D8" s="8">
        <v>2022</v>
      </c>
      <c r="E8" s="130">
        <f>INDEX(Data!H$8:H$175,MATCH($A8,Data!$A$8:$A$175,0))</f>
        <v>0</v>
      </c>
      <c r="F8" s="130">
        <f t="shared" ref="F8:F61" si="1">IFERROR(E8^2,"")</f>
        <v>0</v>
      </c>
      <c r="G8" s="140">
        <f>INDEX('Forecast drivers'!$W$10:$AC$22,MATCH('Selected forecast drivers'!B8,'Forecast drivers'!$A$10:$A$22,0),MATCH('Selected forecast drivers'!C8,'Forecast drivers'!$W$8:$AC$8))</f>
        <v>0</v>
      </c>
      <c r="H8" s="130">
        <f t="shared" ref="H8:H61" si="2">IFERROR(G8^2,"")</f>
        <v>0</v>
      </c>
    </row>
    <row r="9" spans="1:8" x14ac:dyDescent="0.4">
      <c r="A9" s="8" t="str">
        <f t="shared" si="0"/>
        <v>ANH23</v>
      </c>
      <c r="B9" s="9" t="s">
        <v>7</v>
      </c>
      <c r="C9" s="9" t="s">
        <v>73</v>
      </c>
      <c r="D9" s="9">
        <v>2023</v>
      </c>
      <c r="E9" s="130">
        <f>INDEX(Data!H$8:H$175,MATCH($A9,Data!$A$8:$A$175,0))</f>
        <v>284</v>
      </c>
      <c r="F9" s="130">
        <f t="shared" si="1"/>
        <v>80656</v>
      </c>
      <c r="G9" s="140">
        <f>INDEX('Forecast drivers'!$W$10:$AC$22,MATCH('Selected forecast drivers'!B9,'Forecast drivers'!$A$10:$A$22,0),MATCH('Selected forecast drivers'!C9,'Forecast drivers'!$W$8:$AC$8))</f>
        <v>284</v>
      </c>
      <c r="H9" s="130">
        <f t="shared" si="2"/>
        <v>80656</v>
      </c>
    </row>
    <row r="10" spans="1:8" x14ac:dyDescent="0.4">
      <c r="A10" s="9" t="str">
        <f t="shared" si="0"/>
        <v>ANH24</v>
      </c>
      <c r="B10" s="9" t="s">
        <v>7</v>
      </c>
      <c r="C10" s="9" t="s">
        <v>74</v>
      </c>
      <c r="D10" s="9">
        <v>2024</v>
      </c>
      <c r="E10" s="130">
        <f>INDEX(Data!H$8:H$175,MATCH($A10,Data!$A$8:$A$175,0))</f>
        <v>68</v>
      </c>
      <c r="F10" s="130">
        <f t="shared" si="1"/>
        <v>4624</v>
      </c>
      <c r="G10" s="140">
        <f>INDEX('Forecast drivers'!$W$10:$AC$22,MATCH('Selected forecast drivers'!B10,'Forecast drivers'!$A$10:$A$22,0),MATCH('Selected forecast drivers'!C10,'Forecast drivers'!$W$8:$AC$8))</f>
        <v>68</v>
      </c>
      <c r="H10" s="130">
        <f t="shared" si="2"/>
        <v>4624</v>
      </c>
    </row>
    <row r="11" spans="1:8" x14ac:dyDescent="0.4">
      <c r="A11" s="9" t="str">
        <f t="shared" si="0"/>
        <v>ANH25</v>
      </c>
      <c r="B11" s="9" t="s">
        <v>7</v>
      </c>
      <c r="C11" s="9" t="s">
        <v>75</v>
      </c>
      <c r="D11" s="9">
        <v>2025</v>
      </c>
      <c r="E11" s="130">
        <f>INDEX(Data!H$8:H$175,MATCH($A11,Data!$A$8:$A$175,0))</f>
        <v>200</v>
      </c>
      <c r="F11" s="130">
        <f t="shared" si="1"/>
        <v>40000</v>
      </c>
      <c r="G11" s="140">
        <f>INDEX('Forecast drivers'!$W$10:$AC$22,MATCH('Selected forecast drivers'!B11,'Forecast drivers'!$A$10:$A$22,0),MATCH('Selected forecast drivers'!C11,'Forecast drivers'!$W$8:$AC$8))</f>
        <v>200</v>
      </c>
      <c r="H11" s="130">
        <f t="shared" si="2"/>
        <v>40000</v>
      </c>
    </row>
    <row r="12" spans="1:8" x14ac:dyDescent="0.4">
      <c r="A12" s="9" t="str">
        <f t="shared" si="0"/>
        <v>HDD21</v>
      </c>
      <c r="B12" s="9" t="s">
        <v>19</v>
      </c>
      <c r="C12" s="8" t="s">
        <v>71</v>
      </c>
      <c r="D12" s="9">
        <v>2021</v>
      </c>
      <c r="E12" s="130">
        <f>INDEX(Data!H$8:H$175,MATCH($A12,Data!$A$8:$A$175,0))</f>
        <v>0</v>
      </c>
      <c r="F12" s="130">
        <f t="shared" si="1"/>
        <v>0</v>
      </c>
      <c r="G12" s="140">
        <f>INDEX('Forecast drivers'!$W$10:$AC$22,MATCH('Selected forecast drivers'!B12,'Forecast drivers'!$A$10:$A$22,0),MATCH('Selected forecast drivers'!C12,'Forecast drivers'!$W$8:$AC$8))</f>
        <v>0</v>
      </c>
      <c r="H12" s="130">
        <f t="shared" si="2"/>
        <v>0</v>
      </c>
    </row>
    <row r="13" spans="1:8" x14ac:dyDescent="0.4">
      <c r="A13" s="9" t="str">
        <f t="shared" si="0"/>
        <v>HDD22</v>
      </c>
      <c r="B13" s="9" t="s">
        <v>19</v>
      </c>
      <c r="C13" s="8" t="s">
        <v>72</v>
      </c>
      <c r="D13" s="9">
        <v>2022</v>
      </c>
      <c r="E13" s="130">
        <f>INDEX(Data!H$8:H$175,MATCH($A13,Data!$A$8:$A$175,0))</f>
        <v>0</v>
      </c>
      <c r="F13" s="130">
        <f t="shared" si="1"/>
        <v>0</v>
      </c>
      <c r="G13" s="140">
        <f>INDEX('Forecast drivers'!$W$10:$AC$22,MATCH('Selected forecast drivers'!B13,'Forecast drivers'!$A$10:$A$22,0),MATCH('Selected forecast drivers'!C13,'Forecast drivers'!$W$8:$AC$8))</f>
        <v>0</v>
      </c>
      <c r="H13" s="130">
        <f t="shared" si="2"/>
        <v>0</v>
      </c>
    </row>
    <row r="14" spans="1:8" x14ac:dyDescent="0.4">
      <c r="A14" s="9" t="str">
        <f t="shared" si="0"/>
        <v>HDD23</v>
      </c>
      <c r="B14" s="9" t="s">
        <v>19</v>
      </c>
      <c r="C14" s="9" t="s">
        <v>73</v>
      </c>
      <c r="D14" s="9">
        <v>2023</v>
      </c>
      <c r="E14" s="130">
        <f>INDEX(Data!H$8:H$175,MATCH($A14,Data!$A$8:$A$175,0))</f>
        <v>0</v>
      </c>
      <c r="F14" s="130">
        <f t="shared" si="1"/>
        <v>0</v>
      </c>
      <c r="G14" s="140">
        <f>INDEX('Forecast drivers'!$W$10:$AC$22,MATCH('Selected forecast drivers'!B14,'Forecast drivers'!$A$10:$A$22,0),MATCH('Selected forecast drivers'!C14,'Forecast drivers'!$W$8:$AC$8))</f>
        <v>0</v>
      </c>
      <c r="H14" s="130">
        <f t="shared" si="2"/>
        <v>0</v>
      </c>
    </row>
    <row r="15" spans="1:8" x14ac:dyDescent="0.4">
      <c r="A15" s="9" t="str">
        <f t="shared" si="0"/>
        <v>HDD24</v>
      </c>
      <c r="B15" s="9" t="s">
        <v>19</v>
      </c>
      <c r="C15" s="9" t="s">
        <v>74</v>
      </c>
      <c r="D15" s="9">
        <v>2024</v>
      </c>
      <c r="E15" s="130">
        <f>INDEX(Data!H$8:H$175,MATCH($A15,Data!$A$8:$A$175,0))</f>
        <v>0</v>
      </c>
      <c r="F15" s="130">
        <f t="shared" si="1"/>
        <v>0</v>
      </c>
      <c r="G15" s="140">
        <f>INDEX('Forecast drivers'!$W$10:$AC$22,MATCH('Selected forecast drivers'!B15,'Forecast drivers'!$A$10:$A$22,0),MATCH('Selected forecast drivers'!C15,'Forecast drivers'!$W$8:$AC$8))</f>
        <v>0</v>
      </c>
      <c r="H15" s="130">
        <f t="shared" si="2"/>
        <v>0</v>
      </c>
    </row>
    <row r="16" spans="1:8" x14ac:dyDescent="0.4">
      <c r="A16" s="9" t="str">
        <f t="shared" si="0"/>
        <v>HDD25</v>
      </c>
      <c r="B16" s="9" t="s">
        <v>19</v>
      </c>
      <c r="C16" s="9" t="s">
        <v>75</v>
      </c>
      <c r="D16" s="9">
        <v>2025</v>
      </c>
      <c r="E16" s="130">
        <f>INDEX(Data!H$8:H$175,MATCH($A16,Data!$A$8:$A$175,0))</f>
        <v>0</v>
      </c>
      <c r="F16" s="130">
        <f t="shared" si="1"/>
        <v>0</v>
      </c>
      <c r="G16" s="140">
        <f>INDEX('Forecast drivers'!$W$10:$AC$22,MATCH('Selected forecast drivers'!B16,'Forecast drivers'!$A$10:$A$22,0),MATCH('Selected forecast drivers'!C16,'Forecast drivers'!$W$8:$AC$8))</f>
        <v>0</v>
      </c>
      <c r="H16" s="130">
        <f t="shared" si="2"/>
        <v>0</v>
      </c>
    </row>
    <row r="17" spans="1:8" x14ac:dyDescent="0.4">
      <c r="A17" s="9" t="str">
        <f t="shared" si="0"/>
        <v>NES21</v>
      </c>
      <c r="B17" s="9" t="s">
        <v>8</v>
      </c>
      <c r="C17" s="8" t="s">
        <v>71</v>
      </c>
      <c r="D17" s="9">
        <v>2021</v>
      </c>
      <c r="E17" s="130">
        <f>INDEX(Data!H$8:H$175,MATCH($A17,Data!$A$8:$A$175,0))</f>
        <v>3</v>
      </c>
      <c r="F17" s="130">
        <f t="shared" si="1"/>
        <v>9</v>
      </c>
      <c r="G17" s="140">
        <f>INDEX('Forecast drivers'!$W$10:$AC$22,MATCH('Selected forecast drivers'!B17,'Forecast drivers'!$A$10:$A$22,0),MATCH('Selected forecast drivers'!C17,'Forecast drivers'!$W$8:$AC$8))</f>
        <v>3</v>
      </c>
      <c r="H17" s="130">
        <f t="shared" si="2"/>
        <v>9</v>
      </c>
    </row>
    <row r="18" spans="1:8" x14ac:dyDescent="0.4">
      <c r="A18" s="9" t="str">
        <f t="shared" si="0"/>
        <v>NES22</v>
      </c>
      <c r="B18" s="9" t="s">
        <v>8</v>
      </c>
      <c r="C18" s="8" t="s">
        <v>72</v>
      </c>
      <c r="D18" s="9">
        <v>2022</v>
      </c>
      <c r="E18" s="130">
        <f>INDEX(Data!H$8:H$175,MATCH($A18,Data!$A$8:$A$175,0))</f>
        <v>3</v>
      </c>
      <c r="F18" s="130">
        <f t="shared" si="1"/>
        <v>9</v>
      </c>
      <c r="G18" s="140">
        <f>INDEX('Forecast drivers'!$W$10:$AC$22,MATCH('Selected forecast drivers'!B18,'Forecast drivers'!$A$10:$A$22,0),MATCH('Selected forecast drivers'!C18,'Forecast drivers'!$W$8:$AC$8))</f>
        <v>3</v>
      </c>
      <c r="H18" s="130">
        <f t="shared" si="2"/>
        <v>9</v>
      </c>
    </row>
    <row r="19" spans="1:8" x14ac:dyDescent="0.4">
      <c r="A19" s="9" t="str">
        <f t="shared" si="0"/>
        <v>NES23</v>
      </c>
      <c r="B19" s="9" t="s">
        <v>8</v>
      </c>
      <c r="C19" s="9" t="s">
        <v>73</v>
      </c>
      <c r="D19" s="9">
        <v>2023</v>
      </c>
      <c r="E19" s="130">
        <f>INDEX(Data!H$8:H$175,MATCH($A19,Data!$A$8:$A$175,0))</f>
        <v>3</v>
      </c>
      <c r="F19" s="130">
        <f t="shared" si="1"/>
        <v>9</v>
      </c>
      <c r="G19" s="140">
        <f>INDEX('Forecast drivers'!$W$10:$AC$22,MATCH('Selected forecast drivers'!B19,'Forecast drivers'!$A$10:$A$22,0),MATCH('Selected forecast drivers'!C19,'Forecast drivers'!$W$8:$AC$8))</f>
        <v>3</v>
      </c>
      <c r="H19" s="130">
        <f t="shared" si="2"/>
        <v>9</v>
      </c>
    </row>
    <row r="20" spans="1:8" x14ac:dyDescent="0.4">
      <c r="A20" s="9" t="str">
        <f t="shared" si="0"/>
        <v>NES24</v>
      </c>
      <c r="B20" s="9" t="s">
        <v>8</v>
      </c>
      <c r="C20" s="9" t="s">
        <v>74</v>
      </c>
      <c r="D20" s="9">
        <v>2024</v>
      </c>
      <c r="E20" s="130">
        <f>INDEX(Data!H$8:H$175,MATCH($A20,Data!$A$8:$A$175,0))</f>
        <v>3</v>
      </c>
      <c r="F20" s="130">
        <f t="shared" si="1"/>
        <v>9</v>
      </c>
      <c r="G20" s="140">
        <f>INDEX('Forecast drivers'!$W$10:$AC$22,MATCH('Selected forecast drivers'!B20,'Forecast drivers'!$A$10:$A$22,0),MATCH('Selected forecast drivers'!C20,'Forecast drivers'!$W$8:$AC$8))</f>
        <v>3</v>
      </c>
      <c r="H20" s="130">
        <f t="shared" si="2"/>
        <v>9</v>
      </c>
    </row>
    <row r="21" spans="1:8" x14ac:dyDescent="0.4">
      <c r="A21" s="9" t="str">
        <f t="shared" si="0"/>
        <v>NES25</v>
      </c>
      <c r="B21" s="9" t="s">
        <v>8</v>
      </c>
      <c r="C21" s="9" t="s">
        <v>75</v>
      </c>
      <c r="D21" s="9">
        <v>2025</v>
      </c>
      <c r="E21" s="130">
        <f>INDEX(Data!H$8:H$175,MATCH($A21,Data!$A$8:$A$175,0))</f>
        <v>3</v>
      </c>
      <c r="F21" s="130">
        <f t="shared" si="1"/>
        <v>9</v>
      </c>
      <c r="G21" s="140">
        <f>INDEX('Forecast drivers'!$W$10:$AC$22,MATCH('Selected forecast drivers'!B21,'Forecast drivers'!$A$10:$A$22,0),MATCH('Selected forecast drivers'!C21,'Forecast drivers'!$W$8:$AC$8))</f>
        <v>3</v>
      </c>
      <c r="H21" s="130">
        <f t="shared" si="2"/>
        <v>9</v>
      </c>
    </row>
    <row r="22" spans="1:8" x14ac:dyDescent="0.4">
      <c r="A22" s="9" t="str">
        <f t="shared" si="0"/>
        <v>NWT21</v>
      </c>
      <c r="B22" s="9" t="s">
        <v>9</v>
      </c>
      <c r="C22" s="8" t="s">
        <v>71</v>
      </c>
      <c r="D22" s="9">
        <v>2021</v>
      </c>
      <c r="E22" s="130">
        <f>INDEX(Data!H$8:H$175,MATCH($A22,Data!$A$8:$A$175,0))</f>
        <v>0</v>
      </c>
      <c r="F22" s="130">
        <f t="shared" si="1"/>
        <v>0</v>
      </c>
      <c r="G22" s="140">
        <f>INDEX('Forecast drivers'!$W$10:$AC$22,MATCH('Selected forecast drivers'!B22,'Forecast drivers'!$A$10:$A$22,0),MATCH('Selected forecast drivers'!C22,'Forecast drivers'!$W$8:$AC$8))</f>
        <v>0</v>
      </c>
      <c r="H22" s="130">
        <f t="shared" si="2"/>
        <v>0</v>
      </c>
    </row>
    <row r="23" spans="1:8" x14ac:dyDescent="0.4">
      <c r="A23" s="9" t="str">
        <f t="shared" si="0"/>
        <v>NWT22</v>
      </c>
      <c r="B23" s="9" t="s">
        <v>9</v>
      </c>
      <c r="C23" s="8" t="s">
        <v>72</v>
      </c>
      <c r="D23" s="9">
        <v>2022</v>
      </c>
      <c r="E23" s="130">
        <f>INDEX(Data!H$8:H$175,MATCH($A23,Data!$A$8:$A$175,0))</f>
        <v>8</v>
      </c>
      <c r="F23" s="130">
        <f t="shared" si="1"/>
        <v>64</v>
      </c>
      <c r="G23" s="140">
        <f>INDEX('Forecast drivers'!$W$10:$AC$22,MATCH('Selected forecast drivers'!B23,'Forecast drivers'!$A$10:$A$22,0),MATCH('Selected forecast drivers'!C23,'Forecast drivers'!$W$8:$AC$8))</f>
        <v>8</v>
      </c>
      <c r="H23" s="130">
        <f t="shared" si="2"/>
        <v>64</v>
      </c>
    </row>
    <row r="24" spans="1:8" x14ac:dyDescent="0.4">
      <c r="A24" s="9" t="str">
        <f t="shared" si="0"/>
        <v>NWT23</v>
      </c>
      <c r="B24" s="9" t="s">
        <v>9</v>
      </c>
      <c r="C24" s="9" t="s">
        <v>73</v>
      </c>
      <c r="D24" s="9">
        <v>2023</v>
      </c>
      <c r="E24" s="130">
        <f>INDEX(Data!H$8:H$175,MATCH($A24,Data!$A$8:$A$175,0))</f>
        <v>8</v>
      </c>
      <c r="F24" s="130">
        <f t="shared" si="1"/>
        <v>64</v>
      </c>
      <c r="G24" s="140">
        <f>INDEX('Forecast drivers'!$W$10:$AC$22,MATCH('Selected forecast drivers'!B24,'Forecast drivers'!$A$10:$A$22,0),MATCH('Selected forecast drivers'!C24,'Forecast drivers'!$W$8:$AC$8))</f>
        <v>8</v>
      </c>
      <c r="H24" s="130">
        <f t="shared" si="2"/>
        <v>64</v>
      </c>
    </row>
    <row r="25" spans="1:8" x14ac:dyDescent="0.4">
      <c r="A25" s="9" t="str">
        <f t="shared" si="0"/>
        <v>NWT24</v>
      </c>
      <c r="B25" s="9" t="s">
        <v>9</v>
      </c>
      <c r="C25" s="9" t="s">
        <v>74</v>
      </c>
      <c r="D25" s="9">
        <v>2024</v>
      </c>
      <c r="E25" s="130">
        <f>INDEX(Data!H$8:H$175,MATCH($A25,Data!$A$8:$A$175,0))</f>
        <v>8</v>
      </c>
      <c r="F25" s="130">
        <f t="shared" si="1"/>
        <v>64</v>
      </c>
      <c r="G25" s="140">
        <f>INDEX('Forecast drivers'!$W$10:$AC$22,MATCH('Selected forecast drivers'!B25,'Forecast drivers'!$A$10:$A$22,0),MATCH('Selected forecast drivers'!C25,'Forecast drivers'!$W$8:$AC$8))</f>
        <v>8</v>
      </c>
      <c r="H25" s="130">
        <f t="shared" si="2"/>
        <v>64</v>
      </c>
    </row>
    <row r="26" spans="1:8" x14ac:dyDescent="0.4">
      <c r="A26" s="9" t="str">
        <f t="shared" si="0"/>
        <v>NWT25</v>
      </c>
      <c r="B26" s="9" t="s">
        <v>9</v>
      </c>
      <c r="C26" s="9" t="s">
        <v>75</v>
      </c>
      <c r="D26" s="9">
        <v>2025</v>
      </c>
      <c r="E26" s="130">
        <f>INDEX(Data!H$8:H$175,MATCH($A26,Data!$A$8:$A$175,0))</f>
        <v>8</v>
      </c>
      <c r="F26" s="130">
        <f t="shared" si="1"/>
        <v>64</v>
      </c>
      <c r="G26" s="140">
        <f>INDEX('Forecast drivers'!$W$10:$AC$22,MATCH('Selected forecast drivers'!B26,'Forecast drivers'!$A$10:$A$22,0),MATCH('Selected forecast drivers'!C26,'Forecast drivers'!$W$8:$AC$8))</f>
        <v>8</v>
      </c>
      <c r="H26" s="130">
        <f t="shared" si="2"/>
        <v>64</v>
      </c>
    </row>
    <row r="27" spans="1:8" x14ac:dyDescent="0.4">
      <c r="A27" s="9" t="str">
        <f t="shared" si="0"/>
        <v>SRN21</v>
      </c>
      <c r="B27" s="9" t="s">
        <v>10</v>
      </c>
      <c r="C27" s="8" t="s">
        <v>71</v>
      </c>
      <c r="D27" s="9">
        <v>2021</v>
      </c>
      <c r="E27" s="130">
        <f>INDEX(Data!H$8:H$175,MATCH($A27,Data!$A$8:$A$175,0))</f>
        <v>17</v>
      </c>
      <c r="F27" s="130">
        <f t="shared" si="1"/>
        <v>289</v>
      </c>
      <c r="G27" s="140">
        <f>INDEX('Forecast drivers'!$W$10:$AC$22,MATCH('Selected forecast drivers'!B27,'Forecast drivers'!$A$10:$A$22,0),MATCH('Selected forecast drivers'!C27,'Forecast drivers'!$W$8:$AC$8))</f>
        <v>17</v>
      </c>
      <c r="H27" s="130">
        <f t="shared" si="2"/>
        <v>289</v>
      </c>
    </row>
    <row r="28" spans="1:8" x14ac:dyDescent="0.4">
      <c r="A28" s="9" t="str">
        <f t="shared" si="0"/>
        <v>SRN22</v>
      </c>
      <c r="B28" s="9" t="s">
        <v>10</v>
      </c>
      <c r="C28" s="8" t="s">
        <v>72</v>
      </c>
      <c r="D28" s="9">
        <v>2022</v>
      </c>
      <c r="E28" s="130">
        <f>INDEX(Data!H$8:H$175,MATCH($A28,Data!$A$8:$A$175,0))</f>
        <v>57</v>
      </c>
      <c r="F28" s="130">
        <f t="shared" si="1"/>
        <v>3249</v>
      </c>
      <c r="G28" s="140">
        <f>INDEX('Forecast drivers'!$W$10:$AC$22,MATCH('Selected forecast drivers'!B28,'Forecast drivers'!$A$10:$A$22,0),MATCH('Selected forecast drivers'!C28,'Forecast drivers'!$W$8:$AC$8))</f>
        <v>57</v>
      </c>
      <c r="H28" s="130">
        <f t="shared" si="2"/>
        <v>3249</v>
      </c>
    </row>
    <row r="29" spans="1:8" x14ac:dyDescent="0.4">
      <c r="A29" s="9" t="str">
        <f t="shared" si="0"/>
        <v>SRN23</v>
      </c>
      <c r="B29" s="9" t="s">
        <v>10</v>
      </c>
      <c r="C29" s="9" t="s">
        <v>73</v>
      </c>
      <c r="D29" s="9">
        <v>2023</v>
      </c>
      <c r="E29" s="130">
        <f>INDEX(Data!H$8:H$175,MATCH($A29,Data!$A$8:$A$175,0))</f>
        <v>0</v>
      </c>
      <c r="F29" s="130">
        <f t="shared" si="1"/>
        <v>0</v>
      </c>
      <c r="G29" s="140">
        <f>INDEX('Forecast drivers'!$W$10:$AC$22,MATCH('Selected forecast drivers'!B29,'Forecast drivers'!$A$10:$A$22,0),MATCH('Selected forecast drivers'!C29,'Forecast drivers'!$W$8:$AC$8))</f>
        <v>0</v>
      </c>
      <c r="H29" s="130">
        <f t="shared" si="2"/>
        <v>0</v>
      </c>
    </row>
    <row r="30" spans="1:8" x14ac:dyDescent="0.4">
      <c r="A30" s="9" t="str">
        <f t="shared" si="0"/>
        <v>SRN24</v>
      </c>
      <c r="B30" s="9" t="s">
        <v>10</v>
      </c>
      <c r="C30" s="9" t="s">
        <v>74</v>
      </c>
      <c r="D30" s="9">
        <v>2024</v>
      </c>
      <c r="E30" s="130">
        <f>INDEX(Data!H$8:H$175,MATCH($A30,Data!$A$8:$A$175,0))</f>
        <v>0</v>
      </c>
      <c r="F30" s="130">
        <f t="shared" si="1"/>
        <v>0</v>
      </c>
      <c r="G30" s="140">
        <f>INDEX('Forecast drivers'!$W$10:$AC$22,MATCH('Selected forecast drivers'!B30,'Forecast drivers'!$A$10:$A$22,0),MATCH('Selected forecast drivers'!C30,'Forecast drivers'!$W$8:$AC$8))</f>
        <v>0</v>
      </c>
      <c r="H30" s="130">
        <f t="shared" si="2"/>
        <v>0</v>
      </c>
    </row>
    <row r="31" spans="1:8" x14ac:dyDescent="0.4">
      <c r="A31" s="9" t="str">
        <f t="shared" si="0"/>
        <v>SRN25</v>
      </c>
      <c r="B31" s="9" t="s">
        <v>10</v>
      </c>
      <c r="C31" s="9" t="s">
        <v>75</v>
      </c>
      <c r="D31" s="9">
        <v>2025</v>
      </c>
      <c r="E31" s="130">
        <f>INDEX(Data!H$8:H$175,MATCH($A31,Data!$A$8:$A$175,0))</f>
        <v>0</v>
      </c>
      <c r="F31" s="130">
        <f t="shared" si="1"/>
        <v>0</v>
      </c>
      <c r="G31" s="140">
        <f>INDEX('Forecast drivers'!$W$10:$AC$22,MATCH('Selected forecast drivers'!B31,'Forecast drivers'!$A$10:$A$22,0),MATCH('Selected forecast drivers'!C31,'Forecast drivers'!$W$8:$AC$8))</f>
        <v>0</v>
      </c>
      <c r="H31" s="130">
        <f t="shared" si="2"/>
        <v>0</v>
      </c>
    </row>
    <row r="32" spans="1:8" x14ac:dyDescent="0.4">
      <c r="A32" s="9" t="str">
        <f t="shared" si="0"/>
        <v>SVE21</v>
      </c>
      <c r="B32" s="9" t="s">
        <v>18</v>
      </c>
      <c r="C32" s="8" t="s">
        <v>71</v>
      </c>
      <c r="D32" s="9">
        <v>2021</v>
      </c>
      <c r="E32" s="130">
        <f>INDEX(Data!H$8:H$175,MATCH($A32,Data!$A$8:$A$175,0))</f>
        <v>35</v>
      </c>
      <c r="F32" s="130">
        <f t="shared" si="1"/>
        <v>1225</v>
      </c>
      <c r="G32" s="140">
        <f>INDEX('Forecast drivers'!$W$10:$AC$22,MATCH('Selected forecast drivers'!B32,'Forecast drivers'!$A$10:$A$22,0),MATCH('Selected forecast drivers'!C32,'Forecast drivers'!$W$8:$AC$8))</f>
        <v>35</v>
      </c>
      <c r="H32" s="130">
        <f t="shared" si="2"/>
        <v>1225</v>
      </c>
    </row>
    <row r="33" spans="1:8" x14ac:dyDescent="0.4">
      <c r="A33" s="9" t="str">
        <f t="shared" si="0"/>
        <v>SVE22</v>
      </c>
      <c r="B33" s="9" t="s">
        <v>18</v>
      </c>
      <c r="C33" s="8" t="s">
        <v>72</v>
      </c>
      <c r="D33" s="9">
        <v>2022</v>
      </c>
      <c r="E33" s="130">
        <f>INDEX(Data!H$8:H$175,MATCH($A33,Data!$A$8:$A$175,0))</f>
        <v>100</v>
      </c>
      <c r="F33" s="130">
        <f t="shared" si="1"/>
        <v>10000</v>
      </c>
      <c r="G33" s="140">
        <f>INDEX('Forecast drivers'!$W$10:$AC$22,MATCH('Selected forecast drivers'!B33,'Forecast drivers'!$A$10:$A$22,0),MATCH('Selected forecast drivers'!C33,'Forecast drivers'!$W$8:$AC$8))</f>
        <v>100</v>
      </c>
      <c r="H33" s="130">
        <f t="shared" si="2"/>
        <v>10000</v>
      </c>
    </row>
    <row r="34" spans="1:8" x14ac:dyDescent="0.4">
      <c r="A34" s="9" t="str">
        <f t="shared" si="0"/>
        <v>SVE23</v>
      </c>
      <c r="B34" s="9" t="s">
        <v>18</v>
      </c>
      <c r="C34" s="9" t="s">
        <v>73</v>
      </c>
      <c r="D34" s="9">
        <v>2023</v>
      </c>
      <c r="E34" s="130">
        <f>INDEX(Data!H$8:H$175,MATCH($A34,Data!$A$8:$A$175,0))</f>
        <v>83</v>
      </c>
      <c r="F34" s="130">
        <f t="shared" si="1"/>
        <v>6889</v>
      </c>
      <c r="G34" s="140">
        <f>INDEX('Forecast drivers'!$W$10:$AC$22,MATCH('Selected forecast drivers'!B34,'Forecast drivers'!$A$10:$A$22,0),MATCH('Selected forecast drivers'!C34,'Forecast drivers'!$W$8:$AC$8))</f>
        <v>83</v>
      </c>
      <c r="H34" s="130">
        <f t="shared" si="2"/>
        <v>6889</v>
      </c>
    </row>
    <row r="35" spans="1:8" x14ac:dyDescent="0.4">
      <c r="A35" s="9" t="str">
        <f t="shared" si="0"/>
        <v>SVE24</v>
      </c>
      <c r="B35" s="9" t="s">
        <v>18</v>
      </c>
      <c r="C35" s="9" t="s">
        <v>74</v>
      </c>
      <c r="D35" s="9">
        <v>2024</v>
      </c>
      <c r="E35" s="130">
        <f>INDEX(Data!H$8:H$175,MATCH($A35,Data!$A$8:$A$175,0))</f>
        <v>40</v>
      </c>
      <c r="F35" s="130">
        <f t="shared" si="1"/>
        <v>1600</v>
      </c>
      <c r="G35" s="140">
        <f>INDEX('Forecast drivers'!$W$10:$AC$22,MATCH('Selected forecast drivers'!B35,'Forecast drivers'!$A$10:$A$22,0),MATCH('Selected forecast drivers'!C35,'Forecast drivers'!$W$8:$AC$8))</f>
        <v>40</v>
      </c>
      <c r="H35" s="130">
        <f t="shared" si="2"/>
        <v>1600</v>
      </c>
    </row>
    <row r="36" spans="1:8" x14ac:dyDescent="0.4">
      <c r="A36" s="9" t="str">
        <f t="shared" si="0"/>
        <v>SVE25</v>
      </c>
      <c r="B36" s="9" t="s">
        <v>18</v>
      </c>
      <c r="C36" s="9" t="s">
        <v>75</v>
      </c>
      <c r="D36" s="9">
        <v>2025</v>
      </c>
      <c r="E36" s="130">
        <f>INDEX(Data!H$8:H$175,MATCH($A36,Data!$A$8:$A$175,0))</f>
        <v>35</v>
      </c>
      <c r="F36" s="130">
        <f t="shared" si="1"/>
        <v>1225</v>
      </c>
      <c r="G36" s="140">
        <f>INDEX('Forecast drivers'!$W$10:$AC$22,MATCH('Selected forecast drivers'!B36,'Forecast drivers'!$A$10:$A$22,0),MATCH('Selected forecast drivers'!C36,'Forecast drivers'!$W$8:$AC$8))</f>
        <v>35</v>
      </c>
      <c r="H36" s="130">
        <f t="shared" si="2"/>
        <v>1225</v>
      </c>
    </row>
    <row r="37" spans="1:8" x14ac:dyDescent="0.4">
      <c r="A37" s="9" t="str">
        <f t="shared" si="0"/>
        <v>SWB21</v>
      </c>
      <c r="B37" s="9" t="s">
        <v>13</v>
      </c>
      <c r="C37" s="8" t="s">
        <v>71</v>
      </c>
      <c r="D37" s="9">
        <v>2021</v>
      </c>
      <c r="E37" s="130">
        <f>INDEX(Data!H$8:H$175,MATCH($A37,Data!$A$8:$A$175,0))</f>
        <v>8</v>
      </c>
      <c r="F37" s="130">
        <f t="shared" si="1"/>
        <v>64</v>
      </c>
      <c r="G37" s="140">
        <f>INDEX('Forecast drivers'!$W$10:$AC$22,MATCH('Selected forecast drivers'!B37,'Forecast drivers'!$A$10:$A$22,0),MATCH('Selected forecast drivers'!C37,'Forecast drivers'!$W$8:$AC$8))</f>
        <v>8</v>
      </c>
      <c r="H37" s="130">
        <f t="shared" si="2"/>
        <v>64</v>
      </c>
    </row>
    <row r="38" spans="1:8" x14ac:dyDescent="0.4">
      <c r="A38" s="9" t="str">
        <f t="shared" si="0"/>
        <v>SWB22</v>
      </c>
      <c r="B38" s="9" t="s">
        <v>13</v>
      </c>
      <c r="C38" s="8" t="s">
        <v>72</v>
      </c>
      <c r="D38" s="9">
        <v>2022</v>
      </c>
      <c r="E38" s="130">
        <f>INDEX(Data!H$8:H$175,MATCH($A38,Data!$A$8:$A$175,0))</f>
        <v>9</v>
      </c>
      <c r="F38" s="130">
        <f t="shared" si="1"/>
        <v>81</v>
      </c>
      <c r="G38" s="140">
        <f>INDEX('Forecast drivers'!$W$10:$AC$22,MATCH('Selected forecast drivers'!B38,'Forecast drivers'!$A$10:$A$22,0),MATCH('Selected forecast drivers'!C38,'Forecast drivers'!$W$8:$AC$8))</f>
        <v>9</v>
      </c>
      <c r="H38" s="130">
        <f t="shared" si="2"/>
        <v>81</v>
      </c>
    </row>
    <row r="39" spans="1:8" x14ac:dyDescent="0.4">
      <c r="A39" s="9" t="str">
        <f t="shared" si="0"/>
        <v>SWB23</v>
      </c>
      <c r="B39" s="9" t="s">
        <v>13</v>
      </c>
      <c r="C39" s="9" t="s">
        <v>73</v>
      </c>
      <c r="D39" s="9">
        <v>2023</v>
      </c>
      <c r="E39" s="130">
        <f>INDEX(Data!H$8:H$175,MATCH($A39,Data!$A$8:$A$175,0))</f>
        <v>11</v>
      </c>
      <c r="F39" s="130">
        <f t="shared" si="1"/>
        <v>121</v>
      </c>
      <c r="G39" s="140">
        <f>INDEX('Forecast drivers'!$W$10:$AC$22,MATCH('Selected forecast drivers'!B39,'Forecast drivers'!$A$10:$A$22,0),MATCH('Selected forecast drivers'!C39,'Forecast drivers'!$W$8:$AC$8))</f>
        <v>11</v>
      </c>
      <c r="H39" s="130">
        <f t="shared" si="2"/>
        <v>121</v>
      </c>
    </row>
    <row r="40" spans="1:8" x14ac:dyDescent="0.4">
      <c r="A40" s="9" t="str">
        <f t="shared" si="0"/>
        <v>SWB24</v>
      </c>
      <c r="B40" s="9" t="s">
        <v>13</v>
      </c>
      <c r="C40" s="9" t="s">
        <v>74</v>
      </c>
      <c r="D40" s="9">
        <v>2024</v>
      </c>
      <c r="E40" s="130">
        <f>INDEX(Data!H$8:H$175,MATCH($A40,Data!$A$8:$A$175,0))</f>
        <v>8</v>
      </c>
      <c r="F40" s="130">
        <f t="shared" si="1"/>
        <v>64</v>
      </c>
      <c r="G40" s="140">
        <f>INDEX('Forecast drivers'!$W$10:$AC$22,MATCH('Selected forecast drivers'!B40,'Forecast drivers'!$A$10:$A$22,0),MATCH('Selected forecast drivers'!C40,'Forecast drivers'!$W$8:$AC$8))</f>
        <v>8</v>
      </c>
      <c r="H40" s="130">
        <f t="shared" si="2"/>
        <v>64</v>
      </c>
    </row>
    <row r="41" spans="1:8" x14ac:dyDescent="0.4">
      <c r="A41" s="9" t="str">
        <f t="shared" si="0"/>
        <v>SWB25</v>
      </c>
      <c r="B41" s="9" t="s">
        <v>13</v>
      </c>
      <c r="C41" s="9" t="s">
        <v>75</v>
      </c>
      <c r="D41" s="9">
        <v>2025</v>
      </c>
      <c r="E41" s="130">
        <f>INDEX(Data!H$8:H$175,MATCH($A41,Data!$A$8:$A$175,0))</f>
        <v>13</v>
      </c>
      <c r="F41" s="130">
        <f t="shared" si="1"/>
        <v>169</v>
      </c>
      <c r="G41" s="140">
        <f>INDEX('Forecast drivers'!$W$10:$AC$22,MATCH('Selected forecast drivers'!B41,'Forecast drivers'!$A$10:$A$22,0),MATCH('Selected forecast drivers'!C41,'Forecast drivers'!$W$8:$AC$8))</f>
        <v>13</v>
      </c>
      <c r="H41" s="130">
        <f t="shared" si="2"/>
        <v>169</v>
      </c>
    </row>
    <row r="42" spans="1:8" x14ac:dyDescent="0.4">
      <c r="A42" s="9" t="str">
        <f t="shared" si="0"/>
        <v>TMS21</v>
      </c>
      <c r="B42" s="9" t="s">
        <v>14</v>
      </c>
      <c r="C42" s="8" t="s">
        <v>71</v>
      </c>
      <c r="D42" s="9">
        <v>2021</v>
      </c>
      <c r="E42" s="130">
        <f>INDEX(Data!H$8:H$175,MATCH($A42,Data!$A$8:$A$175,0))</f>
        <v>0</v>
      </c>
      <c r="F42" s="130">
        <f t="shared" si="1"/>
        <v>0</v>
      </c>
      <c r="G42" s="140">
        <f>INDEX('Forecast drivers'!$W$10:$AC$22,MATCH('Selected forecast drivers'!B42,'Forecast drivers'!$A$10:$A$22,0),MATCH('Selected forecast drivers'!C42,'Forecast drivers'!$W$8:$AC$8))</f>
        <v>0</v>
      </c>
      <c r="H42" s="130">
        <f t="shared" si="2"/>
        <v>0</v>
      </c>
    </row>
    <row r="43" spans="1:8" x14ac:dyDescent="0.4">
      <c r="A43" s="9" t="str">
        <f t="shared" si="0"/>
        <v>TMS22</v>
      </c>
      <c r="B43" s="9" t="s">
        <v>14</v>
      </c>
      <c r="C43" s="8" t="s">
        <v>72</v>
      </c>
      <c r="D43" s="9">
        <v>2022</v>
      </c>
      <c r="E43" s="130">
        <f>INDEX(Data!H$8:H$175,MATCH($A43,Data!$A$8:$A$175,0))</f>
        <v>0</v>
      </c>
      <c r="F43" s="130">
        <f t="shared" si="1"/>
        <v>0</v>
      </c>
      <c r="G43" s="140">
        <f>INDEX('Forecast drivers'!$W$10:$AC$22,MATCH('Selected forecast drivers'!B43,'Forecast drivers'!$A$10:$A$22,0),MATCH('Selected forecast drivers'!C43,'Forecast drivers'!$W$8:$AC$8))</f>
        <v>0</v>
      </c>
      <c r="H43" s="130">
        <f t="shared" si="2"/>
        <v>0</v>
      </c>
    </row>
    <row r="44" spans="1:8" x14ac:dyDescent="0.4">
      <c r="A44" s="9" t="str">
        <f t="shared" si="0"/>
        <v>TMS23</v>
      </c>
      <c r="B44" s="9" t="s">
        <v>14</v>
      </c>
      <c r="C44" s="9" t="s">
        <v>73</v>
      </c>
      <c r="D44" s="9">
        <v>2023</v>
      </c>
      <c r="E44" s="130">
        <f>INDEX(Data!H$8:H$175,MATCH($A44,Data!$A$8:$A$175,0))</f>
        <v>0</v>
      </c>
      <c r="F44" s="130">
        <f t="shared" si="1"/>
        <v>0</v>
      </c>
      <c r="G44" s="140">
        <f>INDEX('Forecast drivers'!$W$10:$AC$22,MATCH('Selected forecast drivers'!B44,'Forecast drivers'!$A$10:$A$22,0),MATCH('Selected forecast drivers'!C44,'Forecast drivers'!$W$8:$AC$8))</f>
        <v>0</v>
      </c>
      <c r="H44" s="130">
        <f t="shared" si="2"/>
        <v>0</v>
      </c>
    </row>
    <row r="45" spans="1:8" x14ac:dyDescent="0.4">
      <c r="A45" s="9" t="str">
        <f t="shared" si="0"/>
        <v>TMS24</v>
      </c>
      <c r="B45" s="9" t="s">
        <v>14</v>
      </c>
      <c r="C45" s="9" t="s">
        <v>74</v>
      </c>
      <c r="D45" s="9">
        <v>2024</v>
      </c>
      <c r="E45" s="130">
        <f>INDEX(Data!H$8:H$175,MATCH($A45,Data!$A$8:$A$175,0))</f>
        <v>16</v>
      </c>
      <c r="F45" s="130">
        <f t="shared" si="1"/>
        <v>256</v>
      </c>
      <c r="G45" s="140">
        <f>INDEX('Forecast drivers'!$W$10:$AC$22,MATCH('Selected forecast drivers'!B45,'Forecast drivers'!$A$10:$A$22,0),MATCH('Selected forecast drivers'!C45,'Forecast drivers'!$W$8:$AC$8))</f>
        <v>16</v>
      </c>
      <c r="H45" s="130">
        <f t="shared" si="2"/>
        <v>256</v>
      </c>
    </row>
    <row r="46" spans="1:8" x14ac:dyDescent="0.4">
      <c r="A46" s="9" t="str">
        <f t="shared" si="0"/>
        <v>TMS25</v>
      </c>
      <c r="B46" s="9" t="s">
        <v>14</v>
      </c>
      <c r="C46" s="9" t="s">
        <v>75</v>
      </c>
      <c r="D46" s="9">
        <v>2025</v>
      </c>
      <c r="E46" s="130">
        <f>INDEX(Data!H$8:H$175,MATCH($A46,Data!$A$8:$A$175,0))</f>
        <v>12</v>
      </c>
      <c r="F46" s="130">
        <f t="shared" si="1"/>
        <v>144</v>
      </c>
      <c r="G46" s="140">
        <f>INDEX('Forecast drivers'!$W$10:$AC$22,MATCH('Selected forecast drivers'!B46,'Forecast drivers'!$A$10:$A$22,0),MATCH('Selected forecast drivers'!C46,'Forecast drivers'!$W$8:$AC$8))</f>
        <v>12</v>
      </c>
      <c r="H46" s="130">
        <f t="shared" si="2"/>
        <v>144</v>
      </c>
    </row>
    <row r="47" spans="1:8" x14ac:dyDescent="0.4">
      <c r="A47" s="9" t="str">
        <f t="shared" si="0"/>
        <v>WSH21</v>
      </c>
      <c r="B47" s="9" t="s">
        <v>15</v>
      </c>
      <c r="C47" s="8" t="s">
        <v>71</v>
      </c>
      <c r="D47" s="9">
        <v>2021</v>
      </c>
      <c r="E47" s="130">
        <f>INDEX(Data!H$8:H$175,MATCH($A47,Data!$A$8:$A$175,0))</f>
        <v>0</v>
      </c>
      <c r="F47" s="130">
        <f t="shared" si="1"/>
        <v>0</v>
      </c>
      <c r="G47" s="140">
        <f>INDEX('Forecast drivers'!$W$10:$AC$22,MATCH('Selected forecast drivers'!B47,'Forecast drivers'!$A$10:$A$22,0),MATCH('Selected forecast drivers'!C47,'Forecast drivers'!$W$8:$AC$8))</f>
        <v>0</v>
      </c>
      <c r="H47" s="130">
        <f t="shared" si="2"/>
        <v>0</v>
      </c>
    </row>
    <row r="48" spans="1:8" x14ac:dyDescent="0.4">
      <c r="A48" s="9" t="str">
        <f t="shared" si="0"/>
        <v>WSH22</v>
      </c>
      <c r="B48" s="9" t="s">
        <v>15</v>
      </c>
      <c r="C48" s="8" t="s">
        <v>72</v>
      </c>
      <c r="D48" s="9">
        <v>2022</v>
      </c>
      <c r="E48" s="130">
        <f>INDEX(Data!H$8:H$175,MATCH($A48,Data!$A$8:$A$175,0))</f>
        <v>9</v>
      </c>
      <c r="F48" s="130">
        <f t="shared" si="1"/>
        <v>81</v>
      </c>
      <c r="G48" s="140">
        <f>INDEX('Forecast drivers'!$W$10:$AC$22,MATCH('Selected forecast drivers'!B48,'Forecast drivers'!$A$10:$A$22,0),MATCH('Selected forecast drivers'!C48,'Forecast drivers'!$W$8:$AC$8))</f>
        <v>9</v>
      </c>
      <c r="H48" s="130">
        <f t="shared" si="2"/>
        <v>81</v>
      </c>
    </row>
    <row r="49" spans="1:8" x14ac:dyDescent="0.4">
      <c r="A49" s="9" t="str">
        <f t="shared" si="0"/>
        <v>WSH23</v>
      </c>
      <c r="B49" s="9" t="s">
        <v>15</v>
      </c>
      <c r="C49" s="9" t="s">
        <v>73</v>
      </c>
      <c r="D49" s="9">
        <v>2023</v>
      </c>
      <c r="E49" s="130">
        <f>INDEX(Data!H$8:H$175,MATCH($A49,Data!$A$8:$A$175,0))</f>
        <v>27</v>
      </c>
      <c r="F49" s="130">
        <f t="shared" si="1"/>
        <v>729</v>
      </c>
      <c r="G49" s="140">
        <f>INDEX('Forecast drivers'!$W$10:$AC$22,MATCH('Selected forecast drivers'!B49,'Forecast drivers'!$A$10:$A$22,0),MATCH('Selected forecast drivers'!C49,'Forecast drivers'!$W$8:$AC$8))</f>
        <v>27</v>
      </c>
      <c r="H49" s="130">
        <f t="shared" si="2"/>
        <v>729</v>
      </c>
    </row>
    <row r="50" spans="1:8" x14ac:dyDescent="0.4">
      <c r="A50" s="9" t="str">
        <f t="shared" si="0"/>
        <v>WSH24</v>
      </c>
      <c r="B50" s="9" t="s">
        <v>15</v>
      </c>
      <c r="C50" s="9" t="s">
        <v>74</v>
      </c>
      <c r="D50" s="9">
        <v>2024</v>
      </c>
      <c r="E50" s="130">
        <f>INDEX(Data!H$8:H$175,MATCH($A50,Data!$A$8:$A$175,0))</f>
        <v>11</v>
      </c>
      <c r="F50" s="130">
        <f t="shared" si="1"/>
        <v>121</v>
      </c>
      <c r="G50" s="140">
        <f>INDEX('Forecast drivers'!$W$10:$AC$22,MATCH('Selected forecast drivers'!B50,'Forecast drivers'!$A$10:$A$22,0),MATCH('Selected forecast drivers'!C50,'Forecast drivers'!$W$8:$AC$8))</f>
        <v>11</v>
      </c>
      <c r="H50" s="130">
        <f t="shared" si="2"/>
        <v>121</v>
      </c>
    </row>
    <row r="51" spans="1:8" x14ac:dyDescent="0.4">
      <c r="A51" s="9" t="str">
        <f t="shared" si="0"/>
        <v>WSH25</v>
      </c>
      <c r="B51" s="9" t="s">
        <v>15</v>
      </c>
      <c r="C51" s="9" t="s">
        <v>75</v>
      </c>
      <c r="D51" s="9">
        <v>2025</v>
      </c>
      <c r="E51" s="130">
        <f>INDEX(Data!H$8:H$175,MATCH($A51,Data!$A$8:$A$175,0))</f>
        <v>11</v>
      </c>
      <c r="F51" s="130">
        <f t="shared" si="1"/>
        <v>121</v>
      </c>
      <c r="G51" s="140">
        <f>INDEX('Forecast drivers'!$W$10:$AC$22,MATCH('Selected forecast drivers'!B51,'Forecast drivers'!$A$10:$A$22,0),MATCH('Selected forecast drivers'!C51,'Forecast drivers'!$W$8:$AC$8))</f>
        <v>11</v>
      </c>
      <c r="H51" s="130">
        <f t="shared" si="2"/>
        <v>121</v>
      </c>
    </row>
    <row r="52" spans="1:8" x14ac:dyDescent="0.4">
      <c r="A52" s="9" t="str">
        <f t="shared" si="0"/>
        <v>WSX21</v>
      </c>
      <c r="B52" s="9" t="s">
        <v>16</v>
      </c>
      <c r="C52" s="8" t="s">
        <v>71</v>
      </c>
      <c r="D52" s="9">
        <v>2021</v>
      </c>
      <c r="E52" s="130">
        <f>INDEX(Data!H$8:H$175,MATCH($A52,Data!$A$8:$A$175,0))</f>
        <v>19</v>
      </c>
      <c r="F52" s="130">
        <f t="shared" si="1"/>
        <v>361</v>
      </c>
      <c r="G52" s="140">
        <f>INDEX('Forecast drivers'!$W$10:$AC$22,MATCH('Selected forecast drivers'!B52,'Forecast drivers'!$A$10:$A$22,0),MATCH('Selected forecast drivers'!C52,'Forecast drivers'!$W$8:$AC$8))</f>
        <v>19</v>
      </c>
      <c r="H52" s="130">
        <f t="shared" si="2"/>
        <v>361</v>
      </c>
    </row>
    <row r="53" spans="1:8" x14ac:dyDescent="0.4">
      <c r="A53" s="9" t="str">
        <f t="shared" si="0"/>
        <v>WSX22</v>
      </c>
      <c r="B53" s="9" t="s">
        <v>16</v>
      </c>
      <c r="C53" s="8" t="s">
        <v>72</v>
      </c>
      <c r="D53" s="9">
        <v>2022</v>
      </c>
      <c r="E53" s="130">
        <f>INDEX(Data!H$8:H$175,MATCH($A53,Data!$A$8:$A$175,0))</f>
        <v>6</v>
      </c>
      <c r="F53" s="130">
        <f t="shared" si="1"/>
        <v>36</v>
      </c>
      <c r="G53" s="140">
        <f>INDEX('Forecast drivers'!$W$10:$AC$22,MATCH('Selected forecast drivers'!B53,'Forecast drivers'!$A$10:$A$22,0),MATCH('Selected forecast drivers'!C53,'Forecast drivers'!$W$8:$AC$8))</f>
        <v>6</v>
      </c>
      <c r="H53" s="130">
        <f t="shared" si="2"/>
        <v>36</v>
      </c>
    </row>
    <row r="54" spans="1:8" x14ac:dyDescent="0.4">
      <c r="A54" s="9" t="str">
        <f t="shared" si="0"/>
        <v>WSX23</v>
      </c>
      <c r="B54" s="9" t="s">
        <v>16</v>
      </c>
      <c r="C54" s="9" t="s">
        <v>73</v>
      </c>
      <c r="D54" s="9">
        <v>2023</v>
      </c>
      <c r="E54" s="130">
        <f>INDEX(Data!H$8:H$175,MATCH($A54,Data!$A$8:$A$175,0))</f>
        <v>0</v>
      </c>
      <c r="F54" s="130">
        <f t="shared" si="1"/>
        <v>0</v>
      </c>
      <c r="G54" s="140">
        <f>INDEX('Forecast drivers'!$W$10:$AC$22,MATCH('Selected forecast drivers'!B54,'Forecast drivers'!$A$10:$A$22,0),MATCH('Selected forecast drivers'!C54,'Forecast drivers'!$W$8:$AC$8))</f>
        <v>0</v>
      </c>
      <c r="H54" s="130">
        <f t="shared" si="2"/>
        <v>0</v>
      </c>
    </row>
    <row r="55" spans="1:8" x14ac:dyDescent="0.4">
      <c r="A55" s="9" t="str">
        <f t="shared" si="0"/>
        <v>WSX24</v>
      </c>
      <c r="B55" s="9" t="s">
        <v>16</v>
      </c>
      <c r="C55" s="9" t="s">
        <v>74</v>
      </c>
      <c r="D55" s="9">
        <v>2024</v>
      </c>
      <c r="E55" s="130">
        <f>INDEX(Data!H$8:H$175,MATCH($A55,Data!$A$8:$A$175,0))</f>
        <v>10</v>
      </c>
      <c r="F55" s="130">
        <f t="shared" si="1"/>
        <v>100</v>
      </c>
      <c r="G55" s="140">
        <f>INDEX('Forecast drivers'!$W$10:$AC$22,MATCH('Selected forecast drivers'!B55,'Forecast drivers'!$A$10:$A$22,0),MATCH('Selected forecast drivers'!C55,'Forecast drivers'!$W$8:$AC$8))</f>
        <v>10</v>
      </c>
      <c r="H55" s="130">
        <f t="shared" si="2"/>
        <v>100</v>
      </c>
    </row>
    <row r="56" spans="1:8" x14ac:dyDescent="0.4">
      <c r="A56" s="9" t="str">
        <f t="shared" si="0"/>
        <v>WSX25</v>
      </c>
      <c r="B56" s="9" t="s">
        <v>16</v>
      </c>
      <c r="C56" s="9" t="s">
        <v>75</v>
      </c>
      <c r="D56" s="9">
        <v>2025</v>
      </c>
      <c r="E56" s="130">
        <f>INDEX(Data!H$8:H$175,MATCH($A56,Data!$A$8:$A$175,0))</f>
        <v>10</v>
      </c>
      <c r="F56" s="130">
        <f t="shared" si="1"/>
        <v>100</v>
      </c>
      <c r="G56" s="140">
        <f>INDEX('Forecast drivers'!$W$10:$AC$22,MATCH('Selected forecast drivers'!B56,'Forecast drivers'!$A$10:$A$22,0),MATCH('Selected forecast drivers'!C56,'Forecast drivers'!$W$8:$AC$8))</f>
        <v>10</v>
      </c>
      <c r="H56" s="130">
        <f t="shared" si="2"/>
        <v>100</v>
      </c>
    </row>
    <row r="57" spans="1:8" x14ac:dyDescent="0.4">
      <c r="A57" s="9" t="str">
        <f t="shared" si="0"/>
        <v>YKY21</v>
      </c>
      <c r="B57" s="9" t="s">
        <v>17</v>
      </c>
      <c r="C57" s="8" t="s">
        <v>71</v>
      </c>
      <c r="D57" s="9">
        <v>2021</v>
      </c>
      <c r="E57" s="130">
        <f>INDEX(Data!H$8:H$175,MATCH($A57,Data!$A$8:$A$175,0))</f>
        <v>5</v>
      </c>
      <c r="F57" s="130">
        <f t="shared" si="1"/>
        <v>25</v>
      </c>
      <c r="G57" s="140">
        <f>INDEX('Forecast drivers'!$W$10:$AC$22,MATCH('Selected forecast drivers'!B57,'Forecast drivers'!$A$10:$A$22,0),MATCH('Selected forecast drivers'!C57,'Forecast drivers'!$W$8:$AC$8))</f>
        <v>5</v>
      </c>
      <c r="H57" s="130">
        <f t="shared" si="2"/>
        <v>25</v>
      </c>
    </row>
    <row r="58" spans="1:8" x14ac:dyDescent="0.4">
      <c r="A58" s="9" t="str">
        <f t="shared" si="0"/>
        <v>YKY22</v>
      </c>
      <c r="B58" s="9" t="s">
        <v>17</v>
      </c>
      <c r="C58" s="8" t="s">
        <v>72</v>
      </c>
      <c r="D58" s="9">
        <v>2022</v>
      </c>
      <c r="E58" s="130">
        <f>INDEX(Data!H$8:H$175,MATCH($A58,Data!$A$8:$A$175,0))</f>
        <v>5</v>
      </c>
      <c r="F58" s="130">
        <f t="shared" si="1"/>
        <v>25</v>
      </c>
      <c r="G58" s="140">
        <f>INDEX('Forecast drivers'!$W$10:$AC$22,MATCH('Selected forecast drivers'!B58,'Forecast drivers'!$A$10:$A$22,0),MATCH('Selected forecast drivers'!C58,'Forecast drivers'!$W$8:$AC$8))</f>
        <v>5</v>
      </c>
      <c r="H58" s="130">
        <f t="shared" si="2"/>
        <v>25</v>
      </c>
    </row>
    <row r="59" spans="1:8" x14ac:dyDescent="0.4">
      <c r="A59" s="9" t="str">
        <f t="shared" si="0"/>
        <v>YKY23</v>
      </c>
      <c r="B59" s="9" t="s">
        <v>17</v>
      </c>
      <c r="C59" s="9" t="s">
        <v>73</v>
      </c>
      <c r="D59" s="9">
        <v>2023</v>
      </c>
      <c r="E59" s="130">
        <f>INDEX(Data!H$8:H$175,MATCH($A59,Data!$A$8:$A$175,0))</f>
        <v>5</v>
      </c>
      <c r="F59" s="130">
        <f t="shared" si="1"/>
        <v>25</v>
      </c>
      <c r="G59" s="140">
        <f>INDEX('Forecast drivers'!$W$10:$AC$22,MATCH('Selected forecast drivers'!B59,'Forecast drivers'!$A$10:$A$22,0),MATCH('Selected forecast drivers'!C59,'Forecast drivers'!$W$8:$AC$8))</f>
        <v>5</v>
      </c>
      <c r="H59" s="130">
        <f t="shared" si="2"/>
        <v>25</v>
      </c>
    </row>
    <row r="60" spans="1:8" x14ac:dyDescent="0.4">
      <c r="A60" s="9" t="str">
        <f t="shared" si="0"/>
        <v>YKY24</v>
      </c>
      <c r="B60" s="9" t="s">
        <v>17</v>
      </c>
      <c r="C60" s="9" t="s">
        <v>74</v>
      </c>
      <c r="D60" s="9">
        <v>2024</v>
      </c>
      <c r="E60" s="130">
        <f>INDEX(Data!H$8:H$175,MATCH($A60,Data!$A$8:$A$175,0))</f>
        <v>5</v>
      </c>
      <c r="F60" s="130">
        <f t="shared" si="1"/>
        <v>25</v>
      </c>
      <c r="G60" s="140">
        <f>INDEX('Forecast drivers'!$W$10:$AC$22,MATCH('Selected forecast drivers'!B60,'Forecast drivers'!$A$10:$A$22,0),MATCH('Selected forecast drivers'!C60,'Forecast drivers'!$W$8:$AC$8))</f>
        <v>5</v>
      </c>
      <c r="H60" s="130">
        <f t="shared" si="2"/>
        <v>25</v>
      </c>
    </row>
    <row r="61" spans="1:8" x14ac:dyDescent="0.4">
      <c r="A61" s="9" t="str">
        <f t="shared" si="0"/>
        <v>YKY25</v>
      </c>
      <c r="B61" s="9" t="s">
        <v>17</v>
      </c>
      <c r="C61" s="9" t="s">
        <v>75</v>
      </c>
      <c r="D61" s="9">
        <v>2025</v>
      </c>
      <c r="E61" s="130">
        <f>INDEX(Data!H$8:H$175,MATCH($A61,Data!$A$8:$A$175,0))</f>
        <v>5</v>
      </c>
      <c r="F61" s="130">
        <f t="shared" si="1"/>
        <v>25</v>
      </c>
      <c r="G61" s="140">
        <f>INDEX('Forecast drivers'!$W$10:$AC$22,MATCH('Selected forecast drivers'!B61,'Forecast drivers'!$A$10:$A$22,0),MATCH('Selected forecast drivers'!C61,'Forecast drivers'!$W$8:$AC$8))</f>
        <v>5</v>
      </c>
      <c r="H61" s="130">
        <f t="shared" si="2"/>
        <v>25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3:N239"/>
  <sheetViews>
    <sheetView showGridLines="0" zoomScale="85" zoomScaleNormal="85" workbookViewId="0"/>
  </sheetViews>
  <sheetFormatPr defaultColWidth="9" defaultRowHeight="13.15" x14ac:dyDescent="0.4"/>
  <cols>
    <col min="1" max="1" width="14.375" style="1" customWidth="1"/>
    <col min="2" max="2" width="16.875" style="1" customWidth="1"/>
    <col min="3" max="3" width="20.625" style="1" customWidth="1"/>
    <col min="4" max="4" width="22.75" style="1" customWidth="1"/>
    <col min="5" max="5" width="21.625" style="1" customWidth="1"/>
    <col min="6" max="6" width="25.75" style="1" customWidth="1"/>
    <col min="7" max="8" width="9.125" style="1" bestFit="1" customWidth="1"/>
    <col min="9" max="9" width="9" style="1"/>
    <col min="10" max="10" width="9.75" style="1" bestFit="1" customWidth="1"/>
    <col min="11" max="11" width="9.125" style="1" bestFit="1" customWidth="1"/>
    <col min="12" max="12" width="9.625" style="1" customWidth="1"/>
    <col min="13" max="16384" width="9" style="1"/>
  </cols>
  <sheetData>
    <row r="3" spans="1:14" x14ac:dyDescent="0.4">
      <c r="B3" s="145"/>
      <c r="F3" s="5"/>
    </row>
    <row r="4" spans="1:14" ht="14.25" customHeight="1" x14ac:dyDescent="0.4">
      <c r="A4" s="34"/>
      <c r="B4" s="57"/>
      <c r="C4" s="34"/>
      <c r="D4" s="34"/>
      <c r="E4" s="34"/>
      <c r="F4" s="5"/>
      <c r="G4" s="34"/>
      <c r="H4" s="34"/>
      <c r="I4" s="34"/>
      <c r="J4" s="141" t="s">
        <v>4</v>
      </c>
      <c r="K4" s="142"/>
      <c r="L4" s="237" t="s">
        <v>56</v>
      </c>
    </row>
    <row r="5" spans="1:14" ht="13.5" customHeight="1" x14ac:dyDescent="0.4">
      <c r="A5" s="34"/>
      <c r="B5" s="57"/>
      <c r="C5" s="34"/>
      <c r="D5" s="34"/>
      <c r="E5" s="34"/>
      <c r="F5" s="5"/>
      <c r="G5" s="240" t="s">
        <v>57</v>
      </c>
      <c r="H5" s="240" t="s">
        <v>58</v>
      </c>
      <c r="I5" s="34"/>
      <c r="J5" s="143">
        <f>Controls!B20</f>
        <v>0.5</v>
      </c>
      <c r="K5" s="143">
        <f>Controls!C20</f>
        <v>0.5</v>
      </c>
      <c r="L5" s="238"/>
    </row>
    <row r="6" spans="1:14" ht="77.849999999999994" customHeight="1" x14ac:dyDescent="0.4">
      <c r="A6" s="58" t="s">
        <v>5</v>
      </c>
      <c r="B6" s="51" t="s">
        <v>275</v>
      </c>
      <c r="C6" s="51" t="s">
        <v>274</v>
      </c>
      <c r="D6" s="52" t="s">
        <v>277</v>
      </c>
      <c r="E6" s="52" t="s">
        <v>276</v>
      </c>
      <c r="F6" s="34"/>
      <c r="G6" s="240"/>
      <c r="H6" s="240"/>
      <c r="I6" s="59"/>
      <c r="J6" s="60" t="s">
        <v>54</v>
      </c>
      <c r="K6" s="60" t="s">
        <v>55</v>
      </c>
      <c r="L6" s="239"/>
    </row>
    <row r="7" spans="1:14" x14ac:dyDescent="0.4">
      <c r="A7" s="2" t="s">
        <v>7</v>
      </c>
      <c r="B7" s="53">
        <f>IFERROR(SUMIFS(Data!$F$8:$F$175,Data!$B$8:$B$175,'Modelled unit costs'!$A7,Data!$C$8:$C$175,"&lt;=2018",Data!$C$8:$C$175,"&gt;=2012"),"")</f>
        <v>90.692285005690906</v>
      </c>
      <c r="C7" s="53">
        <f>IFERROR(SUMIFS(Data!$F$8:$F$175,Data!$B$8:$B$175,'Modelled unit costs'!$A7,Data!$C$8:$C$175,"&gt;2020"),"")</f>
        <v>23.367451944924319</v>
      </c>
      <c r="D7" s="53">
        <f>IFERROR(SUMIFS(Data!$H$8:$H$175,Data!$B$8:$B$175,'Modelled unit costs'!$A7,Data!$C$8:$C$175,"&lt;=2018",Data!$C$8:$C$175,"&gt;=2012"),"")</f>
        <v>3285</v>
      </c>
      <c r="E7" s="53">
        <f>IFERROR(SUMIFS(Data!$H$8:$H$175,Data!$B$8:$B$175,'Modelled unit costs'!$A7,Data!$C$8:$C$175,"&gt;2020"),"")</f>
        <v>552</v>
      </c>
      <c r="F7" s="54" t="str">
        <f>IF(OR(Q45=0,Q73=0),"",IFERROR((Q45*10^6/Q73),""))</f>
        <v/>
      </c>
      <c r="G7" s="53">
        <f>IF(OR(B7=0,D7=0),"",IFERROR((B7*10^6/D7),""))</f>
        <v>27608.001523802406</v>
      </c>
      <c r="H7" s="53">
        <f>IF(OR(C7=0,E7=0),"",IFERROR((C7*10^6/E7),""))</f>
        <v>42332.340479935367</v>
      </c>
      <c r="I7" s="54"/>
      <c r="J7" s="222">
        <f>($G$18*D7)/10^6</f>
        <v>161.5542352119777</v>
      </c>
      <c r="K7" s="222">
        <f t="shared" ref="K7:K17" si="0">($H$18*E7)/10^6</f>
        <v>35.470972972972973</v>
      </c>
      <c r="L7" s="222">
        <f>SUMPRODUCT($J$5:$K$5,$J7:$K7)</f>
        <v>98.512604092475328</v>
      </c>
    </row>
    <row r="8" spans="1:14" x14ac:dyDescent="0.4">
      <c r="A8" s="2" t="s">
        <v>19</v>
      </c>
      <c r="B8" s="61"/>
      <c r="C8" s="53">
        <f>IFERROR(SUMIFS(Data!$F$8:$F$175,Data!$B$8:$B$175,'Modelled unit costs'!$A8,Data!$C$8:$C$175,"&gt;2020"),"")</f>
        <v>2.7442999999999999E-3</v>
      </c>
      <c r="D8" s="61"/>
      <c r="E8" s="53">
        <f>IFERROR(SUMIFS(Data!$H$8:$H$175,Data!$B$8:$B$175,'Modelled unit costs'!$A8,Data!$C$8:$C$175,"&gt;2020"),"")</f>
        <v>0</v>
      </c>
      <c r="F8" s="54"/>
      <c r="G8" s="53" t="str">
        <f t="shared" ref="G8:G17" si="1">IF(OR(B8=0,D8=0),"",IFERROR((B8*10^6/D8),""))</f>
        <v/>
      </c>
      <c r="H8" s="53" t="str">
        <f t="shared" ref="H8:H17" si="2">IF(OR(C8=0,E8=0),"",IFERROR((C8*10^6/E8),""))</f>
        <v/>
      </c>
      <c r="I8" s="54"/>
      <c r="J8" s="222">
        <f t="shared" ref="J8:J17" si="3">($G$18*D8)/1000000</f>
        <v>0</v>
      </c>
      <c r="K8" s="222">
        <f t="shared" si="0"/>
        <v>0</v>
      </c>
      <c r="L8" s="222">
        <f>SUMPRODUCT($J$5:$K$5,$J8:$K8)</f>
        <v>0</v>
      </c>
      <c r="N8" s="54"/>
    </row>
    <row r="9" spans="1:14" x14ac:dyDescent="0.4">
      <c r="A9" s="2" t="s">
        <v>8</v>
      </c>
      <c r="B9" s="53">
        <f>IFERROR(SUMIFS(Data!$F$8:$F$175,Data!$B$8:$B$175,'Modelled unit costs'!$A9,Data!$C$8:$C$175,"&lt;=2018",Data!$C$8:$C$175,"&gt;=2012"),"")</f>
        <v>0.31286374174605891</v>
      </c>
      <c r="C9" s="53">
        <f>IFERROR(SUMIFS(Data!$F$8:$F$175,Data!$B$8:$B$175,'Modelled unit costs'!$A9,Data!$C$8:$C$175,"&gt;2020"),"")</f>
        <v>1</v>
      </c>
      <c r="D9" s="53">
        <f>IFERROR(SUMIFS(Data!$H$8:$H$175,Data!$B$8:$B$175,'Modelled unit costs'!$A9,Data!$C$8:$C$175,"&lt;=2018",Data!$C$8:$C$175,"&gt;=2012"),"")</f>
        <v>3</v>
      </c>
      <c r="E9" s="53">
        <f>IFERROR(SUMIFS(Data!$H$8:$H$175,Data!$B$8:$B$175,'Modelled unit costs'!$A9,Data!$C$8:$C$175,"&gt;2020"),"")</f>
        <v>15</v>
      </c>
      <c r="F9" s="54"/>
      <c r="G9" s="53">
        <f t="shared" si="1"/>
        <v>104287.91391535297</v>
      </c>
      <c r="H9" s="53">
        <f t="shared" si="2"/>
        <v>66666.666666666672</v>
      </c>
      <c r="I9" s="54"/>
      <c r="J9" s="222">
        <f t="shared" si="3"/>
        <v>0.14753811434883807</v>
      </c>
      <c r="K9" s="222">
        <f t="shared" si="0"/>
        <v>0.96388513513513518</v>
      </c>
      <c r="L9" s="222">
        <f t="shared" ref="L9:L17" si="4">SUMPRODUCT($J$5:$K$5,$J9:$K9)</f>
        <v>0.55571162474198665</v>
      </c>
    </row>
    <row r="10" spans="1:14" x14ac:dyDescent="0.4">
      <c r="A10" s="2" t="s">
        <v>9</v>
      </c>
      <c r="B10" s="53">
        <f>IFERROR(SUMIFS(Data!$F$8:$F$175,Data!$B$8:$B$175,'Modelled unit costs'!$A10,Data!$C$8:$C$175,"&lt;=2018",Data!$C$8:$C$175,"&gt;=2012"),"")</f>
        <v>21.162147532914535</v>
      </c>
      <c r="C10" s="53">
        <f>IFERROR(SUMIFS(Data!$F$8:$F$175,Data!$B$8:$B$175,'Modelled unit costs'!$A10,Data!$C$8:$C$175,"&gt;2020"),"")</f>
        <v>4.9999999980040002</v>
      </c>
      <c r="D10" s="53">
        <f>IFERROR(SUMIFS(Data!$H$8:$H$175,Data!$B$8:$B$175,'Modelled unit costs'!$A10,Data!$C$8:$C$175,"&lt;=2018",Data!$C$8:$C$175,"&gt;=2012"),"")</f>
        <v>219</v>
      </c>
      <c r="E10" s="53">
        <f>IFERROR(SUMIFS(Data!$H$8:$H$175,Data!$B$8:$B$175,'Modelled unit costs'!$A10,Data!$C$8:$C$175,"&gt;2020"),"")</f>
        <v>32</v>
      </c>
      <c r="F10" s="54"/>
      <c r="G10" s="53">
        <f t="shared" si="1"/>
        <v>96630.810652577784</v>
      </c>
      <c r="H10" s="53">
        <f t="shared" si="2"/>
        <v>156249.99993762502</v>
      </c>
      <c r="I10" s="54"/>
      <c r="J10" s="222">
        <f t="shared" si="3"/>
        <v>10.77028234746518</v>
      </c>
      <c r="K10" s="222">
        <f t="shared" si="0"/>
        <v>2.0562882882882882</v>
      </c>
      <c r="L10" s="222">
        <f t="shared" si="4"/>
        <v>6.4132853178767339</v>
      </c>
    </row>
    <row r="11" spans="1:14" x14ac:dyDescent="0.4">
      <c r="A11" s="2" t="s">
        <v>10</v>
      </c>
      <c r="B11" s="53">
        <f>IFERROR(SUMIFS(Data!$F$8:$F$175,Data!$B$8:$B$175,'Modelled unit costs'!$A11,Data!$C$8:$C$175,"&lt;=2018",Data!$C$8:$C$175,"&gt;=2012"),"")</f>
        <v>14.521713061487013</v>
      </c>
      <c r="C11" s="53">
        <f>IFERROR(SUMIFS(Data!$F$8:$F$175,Data!$B$8:$B$175,'Modelled unit costs'!$A11,Data!$C$8:$C$175,"&gt;2020"),"")</f>
        <v>4.577</v>
      </c>
      <c r="D11" s="53">
        <f>IFERROR(SUMIFS(Data!$H$8:$H$175,Data!$B$8:$B$175,'Modelled unit costs'!$A11,Data!$C$8:$C$175,"&lt;=2018",Data!$C$8:$C$175,"&gt;=2012"),"")</f>
        <v>123</v>
      </c>
      <c r="E11" s="53">
        <f>IFERROR(SUMIFS(Data!$H$8:$H$175,Data!$B$8:$B$175,'Modelled unit costs'!$A11,Data!$C$8:$C$175,"&gt;2020"),"")</f>
        <v>74</v>
      </c>
      <c r="F11" s="54"/>
      <c r="G11" s="53">
        <f t="shared" si="1"/>
        <v>118062.7078169676</v>
      </c>
      <c r="H11" s="53">
        <f t="shared" si="2"/>
        <v>61851.351351351354</v>
      </c>
      <c r="I11" s="54"/>
      <c r="J11" s="222">
        <f t="shared" si="3"/>
        <v>6.049062688302361</v>
      </c>
      <c r="K11" s="222">
        <f t="shared" si="0"/>
        <v>4.7551666666666668</v>
      </c>
      <c r="L11" s="222">
        <f t="shared" si="4"/>
        <v>5.4021146774845139</v>
      </c>
    </row>
    <row r="12" spans="1:14" x14ac:dyDescent="0.4">
      <c r="A12" s="2" t="s">
        <v>18</v>
      </c>
      <c r="B12" s="61"/>
      <c r="C12" s="53">
        <f>IFERROR(SUMIFS(Data!$F$8:$F$175,Data!$B$8:$B$175,'Modelled unit costs'!$A12,Data!$C$8:$C$175,"&gt;2020"),"")</f>
        <v>16.91</v>
      </c>
      <c r="D12" s="61"/>
      <c r="E12" s="53">
        <f>IFERROR(SUMIFS(Data!$H$8:$H$175,Data!$B$8:$B$175,'Modelled unit costs'!$A12,Data!$C$8:$C$175,"&gt;2020"),"")</f>
        <v>293</v>
      </c>
      <c r="F12" s="54"/>
      <c r="G12" s="53" t="str">
        <f t="shared" si="1"/>
        <v/>
      </c>
      <c r="H12" s="53">
        <f t="shared" si="2"/>
        <v>57713.310580204779</v>
      </c>
      <c r="I12" s="54"/>
      <c r="J12" s="222">
        <f t="shared" si="3"/>
        <v>0</v>
      </c>
      <c r="K12" s="222">
        <f t="shared" si="0"/>
        <v>18.82788963963964</v>
      </c>
      <c r="L12" s="222">
        <f>SUMPRODUCT($J$5:$K$5,$J12:$K12)</f>
        <v>9.4139448198198199</v>
      </c>
    </row>
    <row r="13" spans="1:14" x14ac:dyDescent="0.4">
      <c r="A13" s="2" t="s">
        <v>13</v>
      </c>
      <c r="B13" s="53">
        <f>IFERROR(SUMIFS(Data!$F$8:$F$175,Data!$B$8:$B$175,'Modelled unit costs'!$A13,Data!$C$8:$C$175,"&lt;=2018",Data!$C$8:$C$175,"&gt;=2012"),"")</f>
        <v>3.2000000000000001E-2</v>
      </c>
      <c r="C13" s="53">
        <f>IFERROR(SUMIFS(Data!$F$8:$F$175,Data!$B$8:$B$175,'Modelled unit costs'!$A13,Data!$C$8:$C$175,"&gt;2020"),"")</f>
        <v>0.99199999999999999</v>
      </c>
      <c r="D13" s="53">
        <f>IFERROR(SUMIFS(Data!$H$8:$H$175,Data!$B$8:$B$175,'Modelled unit costs'!$A13,Data!$C$8:$C$175,"&lt;=2018",Data!$C$8:$C$175,"&gt;=2012"),"")</f>
        <v>7</v>
      </c>
      <c r="E13" s="53">
        <f>IFERROR(SUMIFS(Data!$H$8:$H$175,Data!$B$8:$B$175,'Modelled unit costs'!$A13,Data!$C$8:$C$175,"&gt;2020"),"")</f>
        <v>49</v>
      </c>
      <c r="F13" s="54"/>
      <c r="G13" s="53">
        <f t="shared" si="1"/>
        <v>4571.4285714285716</v>
      </c>
      <c r="H13" s="53">
        <f t="shared" si="2"/>
        <v>20244.897959183672</v>
      </c>
      <c r="I13" s="54"/>
      <c r="J13" s="222">
        <f t="shared" si="3"/>
        <v>0.3442556001472889</v>
      </c>
      <c r="K13" s="222">
        <f t="shared" si="0"/>
        <v>3.1486914414414415</v>
      </c>
      <c r="L13" s="222">
        <f>SUMPRODUCT($J$5:$K$5,$J13:$K13)</f>
        <v>1.7464735207943651</v>
      </c>
    </row>
    <row r="14" spans="1:14" x14ac:dyDescent="0.4">
      <c r="A14" s="2" t="s">
        <v>14</v>
      </c>
      <c r="B14" s="53">
        <f>IFERROR(SUMIFS(Data!$F$8:$F$175,Data!$B$8:$B$175,'Modelled unit costs'!$A14,Data!$C$8:$C$175,"&lt;=2018",Data!$C$8:$C$175,"&gt;=2012"),"")</f>
        <v>0.6430181572566982</v>
      </c>
      <c r="C14" s="53">
        <f>IFERROR(SUMIFS(Data!$F$8:$F$175,Data!$B$8:$B$175,'Modelled unit costs'!$A14,Data!$C$8:$C$175,"&gt;2020"),"")</f>
        <v>8.6707624001999992</v>
      </c>
      <c r="D14" s="53">
        <f>IFERROR(SUMIFS(Data!$H$8:$H$175,Data!$B$8:$B$175,'Modelled unit costs'!$A14,Data!$C$8:$C$175,"&lt;=2018",Data!$C$8:$C$175,"&gt;=2012"),"")</f>
        <v>2</v>
      </c>
      <c r="E14" s="53">
        <f>IFERROR(SUMIFS(Data!$H$8:$H$175,Data!$B$8:$B$175,'Modelled unit costs'!$A14,Data!$C$8:$C$175,"&gt;2020"),"")</f>
        <v>28</v>
      </c>
      <c r="F14" s="54"/>
      <c r="G14" s="53">
        <f t="shared" si="1"/>
        <v>321509.07862834912</v>
      </c>
      <c r="H14" s="53">
        <f t="shared" si="2"/>
        <v>309670.08572142856</v>
      </c>
      <c r="I14" s="54"/>
      <c r="J14" s="222">
        <f t="shared" si="3"/>
        <v>9.8358742899225388E-2</v>
      </c>
      <c r="K14" s="222">
        <f t="shared" si="0"/>
        <v>1.7992522522522523</v>
      </c>
      <c r="L14" s="222">
        <f t="shared" si="4"/>
        <v>0.94880549757573884</v>
      </c>
    </row>
    <row r="15" spans="1:14" x14ac:dyDescent="0.4">
      <c r="A15" s="2" t="s">
        <v>15</v>
      </c>
      <c r="B15" s="53">
        <f>IFERROR(SUMIFS(Data!$F$8:$F$175,Data!$B$8:$B$175,'Modelled unit costs'!$A15,Data!$C$8:$C$175,"&lt;=2018",Data!$C$8:$C$175,"&gt;=2012"),"")</f>
        <v>7.1154219744487328</v>
      </c>
      <c r="C15" s="53">
        <f>IFERROR(SUMIFS(Data!$F$8:$F$175,Data!$B$8:$B$175,'Modelled unit costs'!$A15,Data!$C$8:$C$175,"&gt;2020"),"")</f>
        <v>5.8720000000000008</v>
      </c>
      <c r="D15" s="53">
        <f>IFERROR(SUMIFS(Data!$H$8:$H$175,Data!$B$8:$B$175,'Modelled unit costs'!$A15,Data!$C$8:$C$175,"&lt;=2018",Data!$C$8:$C$175,"&gt;=2012"),"")</f>
        <v>169</v>
      </c>
      <c r="E15" s="53">
        <f>IFERROR(SUMIFS(Data!$H$8:$H$175,Data!$B$8:$B$175,'Modelled unit costs'!$A15,Data!$C$8:$C$175,"&gt;2020"),"")</f>
        <v>58</v>
      </c>
      <c r="F15" s="54"/>
      <c r="G15" s="53">
        <f t="shared" si="1"/>
        <v>42103.088606205522</v>
      </c>
      <c r="H15" s="53">
        <f t="shared" si="2"/>
        <v>101241.37931034484</v>
      </c>
      <c r="I15" s="54"/>
      <c r="J15" s="222">
        <f t="shared" si="3"/>
        <v>8.3113137749845443</v>
      </c>
      <c r="K15" s="222">
        <f t="shared" si="0"/>
        <v>3.7270225225225224</v>
      </c>
      <c r="L15" s="222">
        <f t="shared" si="4"/>
        <v>6.0191681487535336</v>
      </c>
    </row>
    <row r="16" spans="1:14" x14ac:dyDescent="0.4">
      <c r="A16" s="2" t="s">
        <v>16</v>
      </c>
      <c r="B16" s="53">
        <f>IFERROR(SUMIFS(Data!$F$8:$F$175,Data!$B$8:$B$175,'Modelled unit costs'!$A16,Data!$C$8:$C$175,"&lt;=2018",Data!$C$8:$C$175,"&gt;=2012"),"")</f>
        <v>9.3687742360867503</v>
      </c>
      <c r="C16" s="53">
        <f>IFERROR(SUMIFS(Data!$F$8:$F$175,Data!$B$8:$B$175,'Modelled unit costs'!$A16,Data!$C$8:$C$175,"&gt;2020"),"")</f>
        <v>5.2788461538461497</v>
      </c>
      <c r="D16" s="53">
        <f>IFERROR(SUMIFS(Data!$H$8:$H$175,Data!$B$8:$B$175,'Modelled unit costs'!$A16,Data!$C$8:$C$175,"&lt;=2018",Data!$C$8:$C$175,"&gt;=2012"),"")</f>
        <v>416</v>
      </c>
      <c r="E16" s="53">
        <f>IFERROR(SUMIFS(Data!$H$8:$H$175,Data!$B$8:$B$175,'Modelled unit costs'!$A16,Data!$C$8:$C$175,"&gt;2020"),"")</f>
        <v>45</v>
      </c>
      <c r="F16" s="54"/>
      <c r="G16" s="53">
        <f t="shared" si="1"/>
        <v>22521.091913670072</v>
      </c>
      <c r="H16" s="53">
        <f t="shared" si="2"/>
        <v>117307.69230769221</v>
      </c>
      <c r="I16" s="54"/>
      <c r="J16" s="222">
        <f t="shared" si="3"/>
        <v>20.458618523038879</v>
      </c>
      <c r="K16" s="222">
        <f t="shared" si="0"/>
        <v>2.8916554054054053</v>
      </c>
      <c r="L16" s="222">
        <f t="shared" si="4"/>
        <v>11.675136964222142</v>
      </c>
    </row>
    <row r="17" spans="1:12" x14ac:dyDescent="0.4">
      <c r="A17" s="2" t="s">
        <v>17</v>
      </c>
      <c r="B17" s="53">
        <f>IFERROR(SUMIFS(Data!$F$8:$F$175,Data!$B$8:$B$175,'Modelled unit costs'!$A17,Data!$C$8:$C$175,"&lt;=2018",Data!$C$8:$C$175,"&gt;=2012"),"")</f>
        <v>1.0819461718914793</v>
      </c>
      <c r="C17" s="53">
        <f>IFERROR(SUMIFS(Data!$F$8:$F$175,Data!$B$8:$B$175,'Modelled unit costs'!$A17,Data!$C$8:$C$175,"&gt;2020"),"")</f>
        <v>0.96800000000000019</v>
      </c>
      <c r="D17" s="53">
        <f>IFERROR(SUMIFS(Data!$H$8:$H$175,Data!$B$8:$B$175,'Modelled unit costs'!$A17,Data!$C$8:$C$175,"&lt;=2018",Data!$C$8:$C$175,"&gt;=2012"),"")</f>
        <v>22</v>
      </c>
      <c r="E17" s="53">
        <f>IFERROR(SUMIFS(Data!$H$8:$H$175,Data!$B$8:$B$175,'Modelled unit costs'!$A17,Data!$C$8:$C$175,"&gt;2020"),"")</f>
        <v>25</v>
      </c>
      <c r="F17" s="54"/>
      <c r="G17" s="53">
        <f t="shared" si="1"/>
        <v>49179.371449612692</v>
      </c>
      <c r="H17" s="53">
        <f t="shared" si="2"/>
        <v>38720.000000000007</v>
      </c>
      <c r="I17" s="54"/>
      <c r="J17" s="222">
        <f t="shared" si="3"/>
        <v>1.0819461718914793</v>
      </c>
      <c r="K17" s="222">
        <f t="shared" si="0"/>
        <v>1.6064752252252252</v>
      </c>
      <c r="L17" s="222">
        <f t="shared" si="4"/>
        <v>1.3442106985583524</v>
      </c>
    </row>
    <row r="18" spans="1:12" x14ac:dyDescent="0.4">
      <c r="B18" s="54"/>
      <c r="C18" s="54"/>
      <c r="D18" s="54"/>
      <c r="E18" s="54"/>
      <c r="F18" s="62" t="s">
        <v>59</v>
      </c>
      <c r="G18" s="53">
        <f>IF(Controls!C24="Median",PERCENTILE(G$7:G$17,0.5),AVERAGE('Modelled unit costs'!G$7:G$17))</f>
        <v>49179.371449612692</v>
      </c>
      <c r="H18" s="53">
        <f>IF(Controls!C24="Median",PERCENTILE(H$7:H$17,0.5),AVERAGE('Modelled unit costs'!H$7:H$17))</f>
        <v>64259.009009009009</v>
      </c>
      <c r="I18" s="54"/>
      <c r="J18" s="54"/>
      <c r="K18" s="54"/>
      <c r="L18" s="54"/>
    </row>
    <row r="20" spans="1:12" x14ac:dyDescent="0.4">
      <c r="G20" s="54"/>
      <c r="H20" s="54"/>
    </row>
    <row r="21" spans="1:12" ht="14.25" x14ac:dyDescent="0.45">
      <c r="A21" s="144"/>
    </row>
    <row r="22" spans="1:12" ht="14.25" x14ac:dyDescent="0.45">
      <c r="A22" s="144"/>
    </row>
    <row r="23" spans="1:12" ht="14.25" x14ac:dyDescent="0.45">
      <c r="A23" s="144"/>
    </row>
    <row r="24" spans="1:12" ht="14.25" x14ac:dyDescent="0.45">
      <c r="A24" s="144"/>
    </row>
    <row r="25" spans="1:12" ht="14.25" x14ac:dyDescent="0.45">
      <c r="A25" s="144"/>
    </row>
    <row r="26" spans="1:12" ht="14.25" x14ac:dyDescent="0.45">
      <c r="A26" s="144"/>
    </row>
    <row r="27" spans="1:12" ht="14.25" x14ac:dyDescent="0.45">
      <c r="A27" s="144"/>
    </row>
    <row r="28" spans="1:12" ht="14.25" x14ac:dyDescent="0.45">
      <c r="A28" s="144"/>
    </row>
    <row r="29" spans="1:12" ht="14.25" x14ac:dyDescent="0.45">
      <c r="A29" s="144"/>
    </row>
    <row r="30" spans="1:12" ht="14.25" x14ac:dyDescent="0.45">
      <c r="A30" s="144"/>
    </row>
    <row r="31" spans="1:12" ht="14.25" x14ac:dyDescent="0.45">
      <c r="A31" s="144"/>
    </row>
    <row r="32" spans="1:12" ht="14.25" x14ac:dyDescent="0.45">
      <c r="A32" s="144"/>
    </row>
    <row r="33" spans="1:1" ht="14.25" x14ac:dyDescent="0.45">
      <c r="A33" s="144"/>
    </row>
    <row r="34" spans="1:1" ht="14.25" x14ac:dyDescent="0.45">
      <c r="A34" s="144"/>
    </row>
    <row r="35" spans="1:1" ht="14.25" x14ac:dyDescent="0.45">
      <c r="A35" s="144"/>
    </row>
    <row r="36" spans="1:1" ht="14.25" x14ac:dyDescent="0.45">
      <c r="A36" s="144"/>
    </row>
    <row r="37" spans="1:1" ht="14.25" x14ac:dyDescent="0.45">
      <c r="A37" s="144"/>
    </row>
    <row r="38" spans="1:1" ht="14.25" x14ac:dyDescent="0.45">
      <c r="A38" s="144"/>
    </row>
    <row r="39" spans="1:1" ht="14.25" x14ac:dyDescent="0.45">
      <c r="A39" s="144"/>
    </row>
    <row r="40" spans="1:1" ht="14.25" x14ac:dyDescent="0.45">
      <c r="A40" s="144"/>
    </row>
    <row r="41" spans="1:1" ht="14.25" x14ac:dyDescent="0.45">
      <c r="A41" s="144"/>
    </row>
    <row r="42" spans="1:1" ht="14.25" x14ac:dyDescent="0.45">
      <c r="A42" s="144"/>
    </row>
    <row r="43" spans="1:1" ht="14.25" x14ac:dyDescent="0.45">
      <c r="A43" s="144"/>
    </row>
    <row r="44" spans="1:1" ht="14.25" x14ac:dyDescent="0.45">
      <c r="A44" s="144"/>
    </row>
    <row r="45" spans="1:1" ht="14.25" x14ac:dyDescent="0.45">
      <c r="A45" s="144"/>
    </row>
    <row r="46" spans="1:1" ht="14.25" x14ac:dyDescent="0.45">
      <c r="A46" s="144"/>
    </row>
    <row r="47" spans="1:1" ht="14.25" x14ac:dyDescent="0.45">
      <c r="A47" s="144"/>
    </row>
    <row r="48" spans="1:1" ht="14.25" x14ac:dyDescent="0.45">
      <c r="A48" s="144"/>
    </row>
    <row r="49" spans="1:1" ht="14.25" x14ac:dyDescent="0.45">
      <c r="A49" s="144"/>
    </row>
    <row r="50" spans="1:1" ht="14.25" x14ac:dyDescent="0.45">
      <c r="A50" s="144"/>
    </row>
    <row r="51" spans="1:1" ht="14.25" x14ac:dyDescent="0.45">
      <c r="A51" s="144"/>
    </row>
    <row r="52" spans="1:1" ht="14.25" x14ac:dyDescent="0.45">
      <c r="A52" s="144"/>
    </row>
    <row r="53" spans="1:1" ht="14.25" x14ac:dyDescent="0.45">
      <c r="A53" s="144"/>
    </row>
    <row r="54" spans="1:1" ht="14.25" x14ac:dyDescent="0.45">
      <c r="A54" s="144"/>
    </row>
    <row r="55" spans="1:1" ht="14.25" x14ac:dyDescent="0.45">
      <c r="A55" s="144"/>
    </row>
    <row r="56" spans="1:1" ht="14.25" x14ac:dyDescent="0.45">
      <c r="A56" s="144"/>
    </row>
    <row r="57" spans="1:1" ht="14.25" x14ac:dyDescent="0.45">
      <c r="A57" s="144"/>
    </row>
    <row r="58" spans="1:1" ht="14.25" x14ac:dyDescent="0.45">
      <c r="A58" s="144"/>
    </row>
    <row r="59" spans="1:1" ht="14.25" x14ac:dyDescent="0.45">
      <c r="A59" s="144"/>
    </row>
    <row r="60" spans="1:1" ht="14.25" x14ac:dyDescent="0.45">
      <c r="A60" s="144"/>
    </row>
    <row r="61" spans="1:1" ht="14.25" x14ac:dyDescent="0.45">
      <c r="A61" s="144"/>
    </row>
    <row r="62" spans="1:1" ht="14.25" x14ac:dyDescent="0.45">
      <c r="A62" s="144"/>
    </row>
    <row r="63" spans="1:1" ht="14.25" x14ac:dyDescent="0.45">
      <c r="A63" s="144"/>
    </row>
    <row r="64" spans="1:1" ht="14.25" x14ac:dyDescent="0.45">
      <c r="A64" s="144"/>
    </row>
    <row r="65" spans="1:1" ht="14.25" x14ac:dyDescent="0.45">
      <c r="A65" s="144"/>
    </row>
    <row r="66" spans="1:1" ht="14.25" x14ac:dyDescent="0.45">
      <c r="A66" s="144"/>
    </row>
    <row r="67" spans="1:1" ht="14.25" x14ac:dyDescent="0.45">
      <c r="A67" s="144"/>
    </row>
    <row r="68" spans="1:1" ht="14.25" x14ac:dyDescent="0.45">
      <c r="A68" s="144"/>
    </row>
    <row r="69" spans="1:1" ht="14.25" x14ac:dyDescent="0.45">
      <c r="A69" s="144"/>
    </row>
    <row r="70" spans="1:1" ht="14.25" x14ac:dyDescent="0.45">
      <c r="A70" s="144"/>
    </row>
    <row r="71" spans="1:1" ht="14.25" x14ac:dyDescent="0.45">
      <c r="A71" s="144"/>
    </row>
    <row r="72" spans="1:1" ht="14.25" x14ac:dyDescent="0.45">
      <c r="A72" s="144"/>
    </row>
    <row r="73" spans="1:1" ht="14.25" x14ac:dyDescent="0.45">
      <c r="A73" s="144"/>
    </row>
    <row r="74" spans="1:1" ht="14.25" x14ac:dyDescent="0.45">
      <c r="A74" s="144"/>
    </row>
    <row r="75" spans="1:1" ht="14.25" x14ac:dyDescent="0.45">
      <c r="A75" s="144"/>
    </row>
    <row r="76" spans="1:1" ht="14.25" x14ac:dyDescent="0.45">
      <c r="A76" s="144"/>
    </row>
    <row r="77" spans="1:1" ht="14.25" x14ac:dyDescent="0.45">
      <c r="A77" s="144"/>
    </row>
    <row r="78" spans="1:1" ht="14.25" x14ac:dyDescent="0.45">
      <c r="A78" s="144"/>
    </row>
    <row r="79" spans="1:1" ht="14.25" x14ac:dyDescent="0.45">
      <c r="A79" s="144"/>
    </row>
    <row r="80" spans="1:1" ht="14.25" x14ac:dyDescent="0.45">
      <c r="A80" s="144"/>
    </row>
    <row r="81" spans="1:1" ht="14.25" x14ac:dyDescent="0.45">
      <c r="A81" s="144"/>
    </row>
    <row r="82" spans="1:1" ht="14.25" x14ac:dyDescent="0.45">
      <c r="A82" s="144"/>
    </row>
    <row r="83" spans="1:1" ht="14.25" x14ac:dyDescent="0.45">
      <c r="A83" s="144"/>
    </row>
    <row r="84" spans="1:1" ht="14.25" x14ac:dyDescent="0.45">
      <c r="A84" s="144"/>
    </row>
    <row r="85" spans="1:1" ht="14.25" x14ac:dyDescent="0.45">
      <c r="A85" s="144"/>
    </row>
    <row r="86" spans="1:1" ht="14.25" x14ac:dyDescent="0.45">
      <c r="A86" s="144"/>
    </row>
    <row r="87" spans="1:1" ht="14.25" x14ac:dyDescent="0.45">
      <c r="A87" s="144"/>
    </row>
    <row r="88" spans="1:1" ht="14.25" x14ac:dyDescent="0.45">
      <c r="A88" s="144"/>
    </row>
    <row r="89" spans="1:1" ht="14.25" x14ac:dyDescent="0.45">
      <c r="A89" s="144"/>
    </row>
    <row r="90" spans="1:1" ht="14.25" x14ac:dyDescent="0.45">
      <c r="A90" s="144"/>
    </row>
    <row r="91" spans="1:1" ht="14.25" x14ac:dyDescent="0.45">
      <c r="A91" s="144"/>
    </row>
    <row r="92" spans="1:1" ht="14.25" x14ac:dyDescent="0.45">
      <c r="A92" s="144"/>
    </row>
    <row r="93" spans="1:1" ht="14.25" x14ac:dyDescent="0.45">
      <c r="A93" s="144"/>
    </row>
    <row r="94" spans="1:1" ht="14.25" x14ac:dyDescent="0.45">
      <c r="A94" s="144"/>
    </row>
    <row r="95" spans="1:1" ht="14.25" x14ac:dyDescent="0.45">
      <c r="A95" s="144"/>
    </row>
    <row r="96" spans="1:1" ht="14.25" x14ac:dyDescent="0.45">
      <c r="A96" s="144"/>
    </row>
    <row r="97" spans="1:1" ht="14.25" x14ac:dyDescent="0.45">
      <c r="A97" s="144"/>
    </row>
    <row r="98" spans="1:1" ht="14.25" x14ac:dyDescent="0.45">
      <c r="A98" s="144"/>
    </row>
    <row r="99" spans="1:1" ht="14.25" x14ac:dyDescent="0.45">
      <c r="A99" s="144"/>
    </row>
    <row r="100" spans="1:1" ht="14.25" x14ac:dyDescent="0.45">
      <c r="A100" s="144"/>
    </row>
    <row r="101" spans="1:1" ht="14.25" x14ac:dyDescent="0.45">
      <c r="A101" s="144"/>
    </row>
    <row r="102" spans="1:1" ht="14.25" x14ac:dyDescent="0.45">
      <c r="A102" s="144"/>
    </row>
    <row r="103" spans="1:1" ht="14.25" x14ac:dyDescent="0.45">
      <c r="A103" s="144"/>
    </row>
    <row r="104" spans="1:1" ht="14.25" x14ac:dyDescent="0.45">
      <c r="A104" s="144"/>
    </row>
    <row r="105" spans="1:1" ht="14.25" x14ac:dyDescent="0.45">
      <c r="A105" s="144"/>
    </row>
    <row r="106" spans="1:1" ht="14.25" x14ac:dyDescent="0.45">
      <c r="A106" s="144"/>
    </row>
    <row r="107" spans="1:1" ht="14.25" x14ac:dyDescent="0.45">
      <c r="A107" s="144"/>
    </row>
    <row r="108" spans="1:1" ht="14.25" x14ac:dyDescent="0.45">
      <c r="A108" s="144"/>
    </row>
    <row r="109" spans="1:1" ht="14.25" x14ac:dyDescent="0.45">
      <c r="A109" s="144"/>
    </row>
    <row r="110" spans="1:1" ht="14.25" x14ac:dyDescent="0.45">
      <c r="A110" s="144"/>
    </row>
    <row r="111" spans="1:1" ht="14.25" x14ac:dyDescent="0.45">
      <c r="A111" s="144"/>
    </row>
    <row r="112" spans="1:1" ht="14.25" x14ac:dyDescent="0.45">
      <c r="A112" s="144"/>
    </row>
    <row r="113" spans="1:1" ht="14.25" x14ac:dyDescent="0.45">
      <c r="A113" s="144"/>
    </row>
    <row r="114" spans="1:1" ht="14.25" x14ac:dyDescent="0.45">
      <c r="A114" s="144"/>
    </row>
    <row r="115" spans="1:1" ht="14.25" x14ac:dyDescent="0.45">
      <c r="A115" s="144"/>
    </row>
    <row r="116" spans="1:1" ht="14.25" x14ac:dyDescent="0.45">
      <c r="A116" s="144"/>
    </row>
    <row r="117" spans="1:1" ht="14.25" x14ac:dyDescent="0.45">
      <c r="A117" s="144"/>
    </row>
    <row r="118" spans="1:1" ht="14.25" x14ac:dyDescent="0.45">
      <c r="A118" s="144"/>
    </row>
    <row r="119" spans="1:1" ht="14.25" x14ac:dyDescent="0.45">
      <c r="A119" s="144"/>
    </row>
    <row r="120" spans="1:1" ht="14.25" x14ac:dyDescent="0.45">
      <c r="A120" s="144"/>
    </row>
    <row r="121" spans="1:1" ht="14.25" x14ac:dyDescent="0.45">
      <c r="A121" s="144"/>
    </row>
    <row r="122" spans="1:1" ht="14.25" x14ac:dyDescent="0.45">
      <c r="A122" s="144"/>
    </row>
    <row r="123" spans="1:1" ht="14.25" x14ac:dyDescent="0.45">
      <c r="A123" s="144"/>
    </row>
    <row r="124" spans="1:1" ht="14.25" x14ac:dyDescent="0.45">
      <c r="A124" s="144"/>
    </row>
    <row r="125" spans="1:1" ht="14.25" x14ac:dyDescent="0.45">
      <c r="A125" s="144"/>
    </row>
    <row r="126" spans="1:1" ht="14.25" x14ac:dyDescent="0.45">
      <c r="A126" s="144"/>
    </row>
    <row r="127" spans="1:1" ht="14.25" x14ac:dyDescent="0.45">
      <c r="A127" s="144"/>
    </row>
    <row r="128" spans="1:1" ht="14.25" x14ac:dyDescent="0.45">
      <c r="A128" s="144"/>
    </row>
    <row r="129" spans="1:1" ht="14.25" x14ac:dyDescent="0.45">
      <c r="A129" s="144"/>
    </row>
    <row r="130" spans="1:1" ht="14.25" x14ac:dyDescent="0.45">
      <c r="A130" s="144"/>
    </row>
    <row r="131" spans="1:1" ht="14.25" x14ac:dyDescent="0.45">
      <c r="A131" s="144"/>
    </row>
    <row r="132" spans="1:1" ht="14.25" x14ac:dyDescent="0.45">
      <c r="A132" s="144"/>
    </row>
    <row r="133" spans="1:1" ht="14.25" x14ac:dyDescent="0.45">
      <c r="A133" s="144"/>
    </row>
    <row r="134" spans="1:1" ht="14.25" x14ac:dyDescent="0.45">
      <c r="A134" s="144"/>
    </row>
    <row r="135" spans="1:1" ht="14.25" x14ac:dyDescent="0.45">
      <c r="A135" s="144"/>
    </row>
    <row r="136" spans="1:1" ht="14.25" x14ac:dyDescent="0.45">
      <c r="A136" s="144"/>
    </row>
    <row r="137" spans="1:1" ht="14.25" x14ac:dyDescent="0.45">
      <c r="A137" s="144"/>
    </row>
    <row r="138" spans="1:1" ht="14.25" x14ac:dyDescent="0.45">
      <c r="A138" s="144"/>
    </row>
    <row r="139" spans="1:1" ht="14.25" x14ac:dyDescent="0.45">
      <c r="A139" s="144"/>
    </row>
    <row r="140" spans="1:1" ht="14.25" x14ac:dyDescent="0.45">
      <c r="A140" s="144"/>
    </row>
    <row r="141" spans="1:1" ht="14.25" x14ac:dyDescent="0.45">
      <c r="A141" s="144"/>
    </row>
    <row r="142" spans="1:1" ht="14.25" x14ac:dyDescent="0.45">
      <c r="A142" s="144"/>
    </row>
    <row r="143" spans="1:1" ht="14.25" x14ac:dyDescent="0.45">
      <c r="A143" s="144"/>
    </row>
    <row r="144" spans="1:1" ht="14.25" x14ac:dyDescent="0.45">
      <c r="A144" s="144"/>
    </row>
    <row r="145" spans="1:1" ht="14.25" x14ac:dyDescent="0.45">
      <c r="A145" s="144"/>
    </row>
    <row r="146" spans="1:1" ht="14.25" x14ac:dyDescent="0.45">
      <c r="A146" s="144"/>
    </row>
    <row r="147" spans="1:1" ht="14.25" x14ac:dyDescent="0.45">
      <c r="A147" s="144"/>
    </row>
    <row r="148" spans="1:1" ht="14.25" x14ac:dyDescent="0.45">
      <c r="A148" s="144"/>
    </row>
    <row r="149" spans="1:1" ht="14.25" x14ac:dyDescent="0.45">
      <c r="A149" s="144"/>
    </row>
    <row r="150" spans="1:1" ht="14.25" x14ac:dyDescent="0.45">
      <c r="A150" s="144"/>
    </row>
    <row r="151" spans="1:1" ht="14.25" x14ac:dyDescent="0.45">
      <c r="A151" s="144"/>
    </row>
    <row r="152" spans="1:1" ht="14.25" x14ac:dyDescent="0.45">
      <c r="A152" s="144"/>
    </row>
    <row r="153" spans="1:1" ht="14.25" x14ac:dyDescent="0.45">
      <c r="A153" s="144"/>
    </row>
    <row r="154" spans="1:1" ht="14.25" x14ac:dyDescent="0.45">
      <c r="A154" s="144"/>
    </row>
    <row r="155" spans="1:1" ht="14.25" x14ac:dyDescent="0.45">
      <c r="A155" s="144"/>
    </row>
    <row r="156" spans="1:1" ht="14.25" x14ac:dyDescent="0.45">
      <c r="A156" s="144"/>
    </row>
    <row r="157" spans="1:1" ht="14.25" x14ac:dyDescent="0.45">
      <c r="A157" s="144"/>
    </row>
    <row r="158" spans="1:1" ht="14.25" x14ac:dyDescent="0.45">
      <c r="A158" s="144"/>
    </row>
    <row r="159" spans="1:1" ht="14.25" x14ac:dyDescent="0.45">
      <c r="A159" s="144"/>
    </row>
    <row r="160" spans="1:1" ht="14.25" x14ac:dyDescent="0.45">
      <c r="A160" s="144"/>
    </row>
    <row r="161" spans="1:1" ht="14.25" x14ac:dyDescent="0.45">
      <c r="A161" s="144"/>
    </row>
    <row r="162" spans="1:1" ht="14.25" x14ac:dyDescent="0.45">
      <c r="A162" s="144"/>
    </row>
    <row r="163" spans="1:1" ht="14.25" x14ac:dyDescent="0.45">
      <c r="A163" s="144"/>
    </row>
    <row r="164" spans="1:1" ht="14.25" x14ac:dyDescent="0.45">
      <c r="A164" s="144"/>
    </row>
    <row r="165" spans="1:1" ht="14.25" x14ac:dyDescent="0.45">
      <c r="A165" s="144"/>
    </row>
    <row r="166" spans="1:1" ht="14.25" x14ac:dyDescent="0.45">
      <c r="A166" s="144"/>
    </row>
    <row r="167" spans="1:1" ht="14.25" x14ac:dyDescent="0.45">
      <c r="A167" s="144"/>
    </row>
    <row r="168" spans="1:1" ht="14.25" x14ac:dyDescent="0.45">
      <c r="A168" s="144"/>
    </row>
    <row r="169" spans="1:1" ht="14.25" x14ac:dyDescent="0.45">
      <c r="A169" s="144"/>
    </row>
    <row r="170" spans="1:1" ht="14.25" x14ac:dyDescent="0.45">
      <c r="A170" s="144"/>
    </row>
    <row r="171" spans="1:1" ht="14.25" x14ac:dyDescent="0.45">
      <c r="A171" s="144"/>
    </row>
    <row r="172" spans="1:1" ht="14.25" x14ac:dyDescent="0.45">
      <c r="A172" s="144"/>
    </row>
    <row r="173" spans="1:1" ht="14.25" x14ac:dyDescent="0.45">
      <c r="A173" s="144"/>
    </row>
    <row r="174" spans="1:1" ht="14.25" x14ac:dyDescent="0.45">
      <c r="A174" s="144"/>
    </row>
    <row r="175" spans="1:1" ht="14.25" x14ac:dyDescent="0.45">
      <c r="A175" s="144"/>
    </row>
    <row r="176" spans="1:1" ht="14.25" x14ac:dyDescent="0.45">
      <c r="A176" s="144"/>
    </row>
    <row r="177" spans="1:1" ht="14.25" x14ac:dyDescent="0.45">
      <c r="A177" s="144"/>
    </row>
    <row r="178" spans="1:1" ht="14.25" x14ac:dyDescent="0.45">
      <c r="A178" s="144"/>
    </row>
    <row r="179" spans="1:1" ht="14.25" x14ac:dyDescent="0.45">
      <c r="A179" s="144"/>
    </row>
    <row r="180" spans="1:1" ht="14.25" x14ac:dyDescent="0.45">
      <c r="A180" s="144"/>
    </row>
    <row r="181" spans="1:1" ht="14.25" x14ac:dyDescent="0.45">
      <c r="A181" s="144"/>
    </row>
    <row r="182" spans="1:1" ht="14.25" x14ac:dyDescent="0.45">
      <c r="A182" s="144"/>
    </row>
    <row r="183" spans="1:1" ht="14.25" x14ac:dyDescent="0.45">
      <c r="A183" s="144"/>
    </row>
    <row r="184" spans="1:1" ht="14.25" x14ac:dyDescent="0.45">
      <c r="A184" s="144"/>
    </row>
    <row r="185" spans="1:1" ht="14.25" x14ac:dyDescent="0.45">
      <c r="A185" s="144"/>
    </row>
    <row r="186" spans="1:1" ht="14.25" x14ac:dyDescent="0.45">
      <c r="A186" s="144"/>
    </row>
    <row r="187" spans="1:1" ht="14.25" x14ac:dyDescent="0.45">
      <c r="A187" s="144"/>
    </row>
    <row r="188" spans="1:1" ht="14.25" x14ac:dyDescent="0.45">
      <c r="A188" s="144"/>
    </row>
    <row r="189" spans="1:1" ht="14.25" x14ac:dyDescent="0.45">
      <c r="A189" s="144"/>
    </row>
    <row r="190" spans="1:1" ht="14.25" x14ac:dyDescent="0.45">
      <c r="A190" s="144"/>
    </row>
    <row r="191" spans="1:1" ht="14.25" x14ac:dyDescent="0.45">
      <c r="A191" s="144"/>
    </row>
    <row r="192" spans="1:1" ht="14.25" x14ac:dyDescent="0.45">
      <c r="A192" s="144"/>
    </row>
    <row r="193" spans="1:1" ht="14.25" x14ac:dyDescent="0.45">
      <c r="A193" s="144"/>
    </row>
    <row r="194" spans="1:1" ht="14.25" x14ac:dyDescent="0.45">
      <c r="A194" s="144"/>
    </row>
    <row r="195" spans="1:1" ht="14.25" x14ac:dyDescent="0.45">
      <c r="A195" s="144"/>
    </row>
    <row r="196" spans="1:1" ht="14.25" x14ac:dyDescent="0.45">
      <c r="A196" s="144"/>
    </row>
    <row r="197" spans="1:1" ht="14.25" x14ac:dyDescent="0.45">
      <c r="A197" s="144"/>
    </row>
    <row r="198" spans="1:1" ht="14.25" x14ac:dyDescent="0.45">
      <c r="A198" s="144"/>
    </row>
    <row r="199" spans="1:1" ht="14.25" x14ac:dyDescent="0.45">
      <c r="A199" s="144"/>
    </row>
    <row r="200" spans="1:1" ht="14.25" x14ac:dyDescent="0.45">
      <c r="A200" s="144"/>
    </row>
    <row r="201" spans="1:1" ht="14.25" x14ac:dyDescent="0.45">
      <c r="A201" s="144"/>
    </row>
    <row r="202" spans="1:1" ht="14.25" x14ac:dyDescent="0.45">
      <c r="A202" s="144"/>
    </row>
    <row r="203" spans="1:1" ht="14.25" x14ac:dyDescent="0.45">
      <c r="A203" s="144"/>
    </row>
    <row r="204" spans="1:1" ht="14.25" x14ac:dyDescent="0.45">
      <c r="A204" s="144"/>
    </row>
    <row r="205" spans="1:1" ht="14.25" x14ac:dyDescent="0.45">
      <c r="A205" s="144"/>
    </row>
    <row r="206" spans="1:1" ht="14.25" x14ac:dyDescent="0.45">
      <c r="A206" s="144"/>
    </row>
    <row r="207" spans="1:1" ht="14.25" x14ac:dyDescent="0.45">
      <c r="A207" s="144"/>
    </row>
    <row r="208" spans="1:1" ht="14.25" x14ac:dyDescent="0.45">
      <c r="A208" s="144"/>
    </row>
    <row r="209" spans="1:1" ht="14.25" x14ac:dyDescent="0.45">
      <c r="A209" s="144"/>
    </row>
    <row r="210" spans="1:1" ht="14.25" x14ac:dyDescent="0.45">
      <c r="A210" s="144"/>
    </row>
    <row r="211" spans="1:1" ht="14.25" x14ac:dyDescent="0.45">
      <c r="A211" s="144"/>
    </row>
    <row r="212" spans="1:1" ht="14.25" x14ac:dyDescent="0.45">
      <c r="A212" s="144"/>
    </row>
    <row r="213" spans="1:1" ht="14.25" x14ac:dyDescent="0.45">
      <c r="A213" s="144"/>
    </row>
    <row r="214" spans="1:1" ht="14.25" x14ac:dyDescent="0.45">
      <c r="A214" s="144"/>
    </row>
    <row r="215" spans="1:1" ht="14.25" x14ac:dyDescent="0.45">
      <c r="A215" s="144"/>
    </row>
    <row r="216" spans="1:1" ht="14.25" x14ac:dyDescent="0.45">
      <c r="A216" s="144"/>
    </row>
    <row r="217" spans="1:1" ht="14.25" x14ac:dyDescent="0.45">
      <c r="A217" s="144"/>
    </row>
    <row r="218" spans="1:1" ht="14.25" x14ac:dyDescent="0.45">
      <c r="A218" s="144"/>
    </row>
    <row r="219" spans="1:1" ht="14.25" x14ac:dyDescent="0.45">
      <c r="A219" s="144"/>
    </row>
    <row r="220" spans="1:1" ht="14.25" x14ac:dyDescent="0.45">
      <c r="A220" s="144"/>
    </row>
    <row r="221" spans="1:1" ht="14.25" x14ac:dyDescent="0.45">
      <c r="A221" s="144"/>
    </row>
    <row r="222" spans="1:1" ht="14.25" x14ac:dyDescent="0.45">
      <c r="A222" s="144"/>
    </row>
    <row r="223" spans="1:1" ht="14.25" x14ac:dyDescent="0.45">
      <c r="A223" s="144"/>
    </row>
    <row r="224" spans="1:1" ht="14.25" x14ac:dyDescent="0.45">
      <c r="A224" s="144"/>
    </row>
    <row r="225" spans="1:1" ht="14.25" x14ac:dyDescent="0.45">
      <c r="A225" s="144"/>
    </row>
    <row r="226" spans="1:1" ht="14.25" x14ac:dyDescent="0.45">
      <c r="A226" s="144"/>
    </row>
    <row r="227" spans="1:1" ht="14.25" x14ac:dyDescent="0.45">
      <c r="A227" s="144"/>
    </row>
    <row r="228" spans="1:1" ht="14.25" x14ac:dyDescent="0.45">
      <c r="A228" s="144"/>
    </row>
    <row r="229" spans="1:1" ht="14.25" x14ac:dyDescent="0.45">
      <c r="A229" s="144"/>
    </row>
    <row r="230" spans="1:1" ht="14.25" x14ac:dyDescent="0.45">
      <c r="A230" s="144"/>
    </row>
    <row r="231" spans="1:1" ht="14.25" x14ac:dyDescent="0.45">
      <c r="A231" s="144"/>
    </row>
    <row r="232" spans="1:1" ht="14.25" x14ac:dyDescent="0.45">
      <c r="A232" s="144"/>
    </row>
    <row r="233" spans="1:1" ht="14.25" x14ac:dyDescent="0.45">
      <c r="A233" s="144"/>
    </row>
    <row r="234" spans="1:1" ht="14.25" x14ac:dyDescent="0.45">
      <c r="A234" s="144"/>
    </row>
    <row r="235" spans="1:1" ht="14.25" x14ac:dyDescent="0.45">
      <c r="A235" s="144"/>
    </row>
    <row r="236" spans="1:1" ht="14.25" x14ac:dyDescent="0.45">
      <c r="A236" s="144"/>
    </row>
    <row r="237" spans="1:1" ht="14.25" x14ac:dyDescent="0.45">
      <c r="A237" s="144"/>
    </row>
    <row r="238" spans="1:1" ht="14.25" x14ac:dyDescent="0.45">
      <c r="A238" s="144"/>
    </row>
    <row r="239" spans="1:1" ht="14.25" x14ac:dyDescent="0.45">
      <c r="A239" s="144"/>
    </row>
  </sheetData>
  <mergeCells count="3">
    <mergeCell ref="L4:L6"/>
    <mergeCell ref="G5:G6"/>
    <mergeCell ref="H5:H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67"/>
  <sheetViews>
    <sheetView showGridLines="0" zoomScaleNormal="100" workbookViewId="0"/>
  </sheetViews>
  <sheetFormatPr defaultColWidth="9" defaultRowHeight="13.15" x14ac:dyDescent="0.4"/>
  <cols>
    <col min="1" max="3" width="9" style="1"/>
    <col min="4" max="5" width="9" style="5"/>
    <col min="6" max="6" width="9.875" style="1" customWidth="1"/>
    <col min="7" max="7" width="11.25" style="1" customWidth="1"/>
    <col min="8" max="12" width="9" style="1"/>
    <col min="13" max="13" width="12.75" style="1" customWidth="1"/>
    <col min="14" max="16384" width="9" style="1"/>
  </cols>
  <sheetData>
    <row r="1" spans="1:13" x14ac:dyDescent="0.4">
      <c r="D1" s="1"/>
      <c r="E1" s="1"/>
    </row>
    <row r="2" spans="1:13" x14ac:dyDescent="0.4">
      <c r="D2" s="56"/>
      <c r="E2" s="56"/>
    </row>
    <row r="3" spans="1:13" x14ac:dyDescent="0.4">
      <c r="D3" s="1"/>
      <c r="E3" s="1"/>
    </row>
    <row r="4" spans="1:13" ht="14.25" customHeight="1" x14ac:dyDescent="0.4">
      <c r="D4" s="17" t="s">
        <v>4</v>
      </c>
      <c r="E4" s="17"/>
      <c r="J4" s="4" t="s">
        <v>50</v>
      </c>
    </row>
    <row r="5" spans="1:13" ht="13.5" customHeight="1" x14ac:dyDescent="0.4">
      <c r="D5" s="16">
        <f>Controls!B9</f>
        <v>0.5</v>
      </c>
      <c r="E5" s="16">
        <f>Controls!C9</f>
        <v>0.5</v>
      </c>
      <c r="F5" s="47"/>
      <c r="G5" s="48"/>
    </row>
    <row r="6" spans="1:13" ht="13.5" customHeight="1" x14ac:dyDescent="0.4">
      <c r="D6" s="180" t="s">
        <v>23</v>
      </c>
      <c r="E6" s="15" t="s">
        <v>24</v>
      </c>
      <c r="F6" s="241" t="s">
        <v>31</v>
      </c>
      <c r="G6" s="241" t="s">
        <v>299</v>
      </c>
    </row>
    <row r="7" spans="1:13" ht="26.25" customHeight="1" x14ac:dyDescent="0.4">
      <c r="A7" s="7" t="s">
        <v>20</v>
      </c>
      <c r="B7" s="7" t="s">
        <v>5</v>
      </c>
      <c r="C7" s="7" t="s">
        <v>6</v>
      </c>
      <c r="D7" s="16" t="s">
        <v>288</v>
      </c>
      <c r="E7" s="16" t="s">
        <v>289</v>
      </c>
      <c r="F7" s="241"/>
      <c r="G7" s="242"/>
      <c r="J7" s="20" t="s">
        <v>5</v>
      </c>
      <c r="K7" s="22" t="s">
        <v>30</v>
      </c>
      <c r="L7" s="22" t="s">
        <v>32</v>
      </c>
      <c r="M7" s="22" t="s">
        <v>33</v>
      </c>
    </row>
    <row r="8" spans="1:13" x14ac:dyDescent="0.4">
      <c r="A8" s="2" t="str">
        <f>'Selected forecast drivers'!A7</f>
        <v>ANH21</v>
      </c>
      <c r="B8" s="2" t="str">
        <f>'Selected forecast drivers'!B7</f>
        <v>ANH</v>
      </c>
      <c r="C8" s="2">
        <f>'Selected forecast drivers'!D7</f>
        <v>2021</v>
      </c>
      <c r="D8" s="219">
        <f>IFERROR((Coeffs!$D$12)+(Coeffs!$D$10*'Selected forecast drivers'!G7)+(Coeffs!$D$11*'Selected forecast drivers'!H7),"")</f>
        <v>0.40315250000000002</v>
      </c>
      <c r="E8" s="219">
        <f>IFERROR((Coeffs!$E$12)+(Coeffs!$E$10*'Selected forecast drivers'!G7)+(Coeffs!$E$11*'Selected forecast drivers'!H7),"")</f>
        <v>0.4399034</v>
      </c>
      <c r="F8" s="220">
        <f>SUMPRODUCT($D$5:$E$5,$D8:$E8)</f>
        <v>0.42152794999999998</v>
      </c>
      <c r="G8" s="220">
        <f>Controls!$B$14*F8</f>
        <v>0.42152794999999998</v>
      </c>
      <c r="J8" s="21" t="s">
        <v>7</v>
      </c>
      <c r="K8" s="223">
        <f>SUMIFS(Data!$F$8:$F$175,Data!$B$8:$B$175,$J8,Data!$C$8:$C$175,"&gt;=2021")</f>
        <v>23.367451944924319</v>
      </c>
      <c r="L8" s="223">
        <f>SUMIFS('Modelled costs'!F$8:F$62,'Modelled costs'!$B$8:$B$62,$J8)</f>
        <v>18.942366549999999</v>
      </c>
      <c r="M8" s="23">
        <f>K8/L8</f>
        <v>1.2336078432039592</v>
      </c>
    </row>
    <row r="9" spans="1:13" x14ac:dyDescent="0.4">
      <c r="A9" s="2" t="str">
        <f>'Selected forecast drivers'!A8</f>
        <v>ANH22</v>
      </c>
      <c r="B9" s="2" t="str">
        <f>'Selected forecast drivers'!B8</f>
        <v>ANH</v>
      </c>
      <c r="C9" s="2">
        <f>'Selected forecast drivers'!D8</f>
        <v>2022</v>
      </c>
      <c r="D9" s="219">
        <f>IFERROR((Coeffs!$D$12)+(Coeffs!$D$10*'Selected forecast drivers'!G8)+(Coeffs!$D$11*'Selected forecast drivers'!H8),"")</f>
        <v>0.40315250000000002</v>
      </c>
      <c r="E9" s="219">
        <f>IFERROR((Coeffs!$E$12)+(Coeffs!$E$10*'Selected forecast drivers'!G8)+(Coeffs!$E$11*'Selected forecast drivers'!H8),"")</f>
        <v>0.4399034</v>
      </c>
      <c r="F9" s="220">
        <f>SUMPRODUCT($D$5:$E$5,$D9:$E9)</f>
        <v>0.42152794999999998</v>
      </c>
      <c r="G9" s="220">
        <f>Controls!$B$14*F9</f>
        <v>0.42152794999999998</v>
      </c>
      <c r="J9" s="21" t="s">
        <v>19</v>
      </c>
      <c r="K9" s="224"/>
      <c r="L9" s="224"/>
      <c r="M9" s="162"/>
    </row>
    <row r="10" spans="1:13" x14ac:dyDescent="0.4">
      <c r="A10" s="2" t="str">
        <f>'Selected forecast drivers'!A9</f>
        <v>ANH23</v>
      </c>
      <c r="B10" s="2" t="str">
        <f>'Selected forecast drivers'!B9</f>
        <v>ANH</v>
      </c>
      <c r="C10" s="2">
        <f>'Selected forecast drivers'!D9</f>
        <v>2023</v>
      </c>
      <c r="D10" s="219">
        <f>IFERROR((Coeffs!$D$12)+(Coeffs!$D$10*'Selected forecast drivers'!G9)+(Coeffs!$D$11*'Selected forecast drivers'!H9),"")</f>
        <v>8.3241964999999993</v>
      </c>
      <c r="E10" s="219">
        <f>IFERROR((Coeffs!$E$12)+(Coeffs!$E$10*'Selected forecast drivers'!G9)+(Coeffs!$E$11*'Selected forecast drivers'!H9),"")</f>
        <v>8.8031070000000007</v>
      </c>
      <c r="F10" s="220">
        <f>SUMPRODUCT($D$5:$E$5,$D10:$E10)</f>
        <v>8.56365175</v>
      </c>
      <c r="G10" s="220">
        <f>Controls!$B$14*F10</f>
        <v>8.56365175</v>
      </c>
      <c r="J10" s="21" t="s">
        <v>8</v>
      </c>
      <c r="K10" s="223">
        <f>SUMIFS(Data!$F$8:$F$175,Data!$B$8:$B$175,$J10,Data!$C$8:$C$175,"&gt;=2021")</f>
        <v>1</v>
      </c>
      <c r="L10" s="223">
        <f>SUMIFS('Modelled costs'!F$8:F$62,'Modelled costs'!$B$8:$B$62,$J10)</f>
        <v>2.6727722500000004</v>
      </c>
      <c r="M10" s="23">
        <f t="shared" ref="M10:M18" si="0">K10/L10</f>
        <v>0.37414336369288476</v>
      </c>
    </row>
    <row r="11" spans="1:13" x14ac:dyDescent="0.4">
      <c r="A11" s="2" t="str">
        <f>'Selected forecast drivers'!A10</f>
        <v>ANH24</v>
      </c>
      <c r="B11" s="2" t="str">
        <f>'Selected forecast drivers'!B10</f>
        <v>ANH</v>
      </c>
      <c r="C11" s="2">
        <f>'Selected forecast drivers'!D10</f>
        <v>2024</v>
      </c>
      <c r="D11" s="219">
        <f>IFERROR((Coeffs!$D$12)+(Coeffs!$D$10*'Selected forecast drivers'!G10)+(Coeffs!$D$11*'Selected forecast drivers'!H10),"")</f>
        <v>2.6140637</v>
      </c>
      <c r="E11" s="219">
        <f>IFERROR((Coeffs!$E$12)+(Coeffs!$E$10*'Selected forecast drivers'!G10)+(Coeffs!$E$11*'Selected forecast drivers'!H10),"")</f>
        <v>3.0695381999999998</v>
      </c>
      <c r="F11" s="220">
        <f>SUMPRODUCT($D$5:$E$5,$D11:$E11)</f>
        <v>2.8418009499999997</v>
      </c>
      <c r="G11" s="220">
        <f>Controls!$B$14*F11</f>
        <v>2.8418009499999997</v>
      </c>
      <c r="J11" s="21" t="s">
        <v>9</v>
      </c>
      <c r="K11" s="223">
        <f>SUMIFS(Data!$F$8:$F$175,Data!$B$8:$B$175,$J11,Data!$C$8:$C$175,"&gt;=2021")</f>
        <v>4.9999999980040002</v>
      </c>
      <c r="L11" s="223">
        <f>SUMIFS('Modelled costs'!F$8:F$62,'Modelled costs'!$B$8:$B$62,$J11)</f>
        <v>3.3081277499999997</v>
      </c>
      <c r="M11" s="23">
        <f t="shared" si="0"/>
        <v>1.5114289337840718</v>
      </c>
    </row>
    <row r="12" spans="1:13" x14ac:dyDescent="0.4">
      <c r="A12" s="2" t="str">
        <f>'Selected forecast drivers'!A11</f>
        <v>ANH25</v>
      </c>
      <c r="B12" s="2" t="str">
        <f>'Selected forecast drivers'!B11</f>
        <v>ANH</v>
      </c>
      <c r="C12" s="2">
        <f>'Selected forecast drivers'!D11</f>
        <v>2025</v>
      </c>
      <c r="D12" s="219">
        <f>IFERROR((Coeffs!$D$12)+(Coeffs!$D$10*'Selected forecast drivers'!G11)+(Coeffs!$D$11*'Selected forecast drivers'!H11),"")</f>
        <v>6.3408725000000006</v>
      </c>
      <c r="E12" s="219">
        <f>IFERROR((Coeffs!$E$12)+(Coeffs!$E$10*'Selected forecast drivers'!G11)+(Coeffs!$E$11*'Selected forecast drivers'!H11),"")</f>
        <v>7.0468434000000002</v>
      </c>
      <c r="F12" s="220">
        <f>SUMPRODUCT($D$5:$E$5,$D12:$E12)</f>
        <v>6.6938579499999999</v>
      </c>
      <c r="G12" s="220">
        <f>Controls!$B$14*F12</f>
        <v>6.6938579499999999</v>
      </c>
      <c r="J12" s="21" t="s">
        <v>10</v>
      </c>
      <c r="K12" s="223">
        <f>SUMIFS(Data!$F$8:$F$175,Data!$B$8:$B$175,$J12,Data!$C$8:$C$175,"&gt;=2021")</f>
        <v>4.577</v>
      </c>
      <c r="L12" s="223">
        <f>SUMIFS('Modelled costs'!F$8:F$62,'Modelled costs'!$B$8:$B$62,$J12)</f>
        <v>4.789348949999999</v>
      </c>
      <c r="M12" s="23">
        <f t="shared" si="0"/>
        <v>0.95566225133794036</v>
      </c>
    </row>
    <row r="13" spans="1:13" x14ac:dyDescent="0.4">
      <c r="A13" s="2" t="str">
        <f>'Selected forecast drivers'!A12</f>
        <v>HDD21</v>
      </c>
      <c r="B13" s="2" t="str">
        <f>'Selected forecast drivers'!B12</f>
        <v>HDD</v>
      </c>
      <c r="C13" s="2">
        <f>'Selected forecast drivers'!D12</f>
        <v>2021</v>
      </c>
      <c r="D13" s="221"/>
      <c r="E13" s="221"/>
      <c r="F13" s="221"/>
      <c r="G13" s="221"/>
      <c r="J13" s="21" t="s">
        <v>18</v>
      </c>
      <c r="K13" s="223">
        <f>SUMIFS(Data!$F$8:$F$175,Data!$B$8:$B$175,$J13,Data!$C$8:$C$175,"&gt;=2021")</f>
        <v>16.91</v>
      </c>
      <c r="L13" s="223">
        <f>SUMIFS('Modelled costs'!F$8:F$62,'Modelled costs'!$B$8:$B$62,$J13)</f>
        <v>12.50363825</v>
      </c>
      <c r="M13" s="23">
        <f t="shared" si="0"/>
        <v>1.3524063686023546</v>
      </c>
    </row>
    <row r="14" spans="1:13" x14ac:dyDescent="0.4">
      <c r="A14" s="2" t="str">
        <f>'Selected forecast drivers'!A13</f>
        <v>HDD22</v>
      </c>
      <c r="B14" s="2" t="str">
        <f>'Selected forecast drivers'!B13</f>
        <v>HDD</v>
      </c>
      <c r="C14" s="2">
        <f>'Selected forecast drivers'!D13</f>
        <v>2022</v>
      </c>
      <c r="D14" s="221"/>
      <c r="E14" s="221"/>
      <c r="F14" s="221"/>
      <c r="G14" s="221"/>
      <c r="J14" s="21" t="s">
        <v>13</v>
      </c>
      <c r="K14" s="223">
        <f>SUMIFS(Data!$F$8:$F$175,Data!$B$8:$B$175,$J14,Data!$C$8:$C$175,"&gt;=2021")</f>
        <v>0.99199999999999999</v>
      </c>
      <c r="L14" s="223">
        <f>SUMIFS('Modelled costs'!F$8:F$62,'Modelled costs'!$B$8:$B$62,$J14)</f>
        <v>3.9424576499999997</v>
      </c>
      <c r="M14" s="23">
        <f t="shared" si="0"/>
        <v>0.25161969717036786</v>
      </c>
    </row>
    <row r="15" spans="1:13" x14ac:dyDescent="0.4">
      <c r="A15" s="2" t="str">
        <f>'Selected forecast drivers'!A14</f>
        <v>HDD23</v>
      </c>
      <c r="B15" s="2" t="str">
        <f>'Selected forecast drivers'!B14</f>
        <v>HDD</v>
      </c>
      <c r="C15" s="2">
        <f>'Selected forecast drivers'!D14</f>
        <v>2023</v>
      </c>
      <c r="D15" s="221"/>
      <c r="E15" s="221"/>
      <c r="F15" s="221"/>
      <c r="G15" s="221"/>
      <c r="J15" s="21" t="s">
        <v>14</v>
      </c>
      <c r="K15" s="223">
        <f>SUMIFS(Data!$F$8:$F$175,Data!$B$8:$B$175,$J15,Data!$C$8:$C$175,"&gt;=2021")</f>
        <v>8.6707624001999992</v>
      </c>
      <c r="L15" s="223">
        <f>SUMIFS('Modelled costs'!F$8:F$62,'Modelled costs'!$B$8:$B$62,$J15)</f>
        <v>3.15242595</v>
      </c>
      <c r="M15" s="23">
        <f t="shared" si="0"/>
        <v>2.7505047026401996</v>
      </c>
    </row>
    <row r="16" spans="1:13" x14ac:dyDescent="0.4">
      <c r="A16" s="2" t="str">
        <f>'Selected forecast drivers'!A15</f>
        <v>HDD24</v>
      </c>
      <c r="B16" s="2" t="str">
        <f>'Selected forecast drivers'!B15</f>
        <v>HDD</v>
      </c>
      <c r="C16" s="2">
        <f>'Selected forecast drivers'!D15</f>
        <v>2024</v>
      </c>
      <c r="D16" s="221"/>
      <c r="E16" s="221"/>
      <c r="F16" s="221"/>
      <c r="G16" s="221"/>
      <c r="J16" s="21" t="s">
        <v>15</v>
      </c>
      <c r="K16" s="223">
        <f>SUMIFS(Data!$F$8:$F$175,Data!$B$8:$B$175,$J16,Data!$C$8:$C$175,"&gt;=2021")</f>
        <v>5.8720000000000008</v>
      </c>
      <c r="L16" s="223">
        <f>SUMIFS('Modelled costs'!F$8:F$62,'Modelled costs'!$B$8:$B$62,$J16)</f>
        <v>4.2646788500000001</v>
      </c>
      <c r="M16" s="23">
        <f t="shared" si="0"/>
        <v>1.3768914862135517</v>
      </c>
    </row>
    <row r="17" spans="1:13" x14ac:dyDescent="0.4">
      <c r="A17" s="2" t="str">
        <f>'Selected forecast drivers'!A16</f>
        <v>HDD25</v>
      </c>
      <c r="B17" s="2" t="str">
        <f>'Selected forecast drivers'!B16</f>
        <v>HDD</v>
      </c>
      <c r="C17" s="2">
        <f>'Selected forecast drivers'!D16</f>
        <v>2025</v>
      </c>
      <c r="D17" s="221"/>
      <c r="E17" s="221"/>
      <c r="F17" s="221"/>
      <c r="G17" s="221"/>
      <c r="J17" s="21" t="s">
        <v>16</v>
      </c>
      <c r="K17" s="223">
        <f>SUMIFS(Data!$F$8:$F$175,Data!$B$8:$B$175,$J17,Data!$C$8:$C$175,"&gt;=2021")</f>
        <v>5.2788461538461497</v>
      </c>
      <c r="L17" s="223">
        <f>SUMIFS('Modelled costs'!F$8:F$62,'Modelled costs'!$B$8:$B$62,$J17)</f>
        <v>3.7882301500000004</v>
      </c>
      <c r="M17" s="23">
        <f t="shared" si="0"/>
        <v>1.3934861253997857</v>
      </c>
    </row>
    <row r="18" spans="1:13" x14ac:dyDescent="0.4">
      <c r="A18" s="2" t="str">
        <f>'Selected forecast drivers'!A17</f>
        <v>NES21</v>
      </c>
      <c r="B18" s="2" t="str">
        <f>'Selected forecast drivers'!B17</f>
        <v>NES</v>
      </c>
      <c r="C18" s="2">
        <f>'Selected forecast drivers'!D17</f>
        <v>2021</v>
      </c>
      <c r="D18" s="219">
        <f>IFERROR((Coeffs!$D$12)+(Coeffs!$D$10*'Selected forecast drivers'!G17)+(Coeffs!$D$11*'Selected forecast drivers'!H17),"")</f>
        <v>0.50486570000000008</v>
      </c>
      <c r="E18" s="219">
        <f>IFERROR((Coeffs!$E$12)+(Coeffs!$E$10*'Selected forecast drivers'!G17)+(Coeffs!$E$11*'Selected forecast drivers'!H17),"")</f>
        <v>0.56424320000000006</v>
      </c>
      <c r="F18" s="220">
        <f t="shared" ref="F18:F62" si="1">SUMPRODUCT($D$5:$E$5,$D18:$E18)</f>
        <v>0.53455445000000013</v>
      </c>
      <c r="G18" s="220">
        <f>Controls!$B$14*F18</f>
        <v>0.53455445000000013</v>
      </c>
      <c r="J18" s="21" t="s">
        <v>17</v>
      </c>
      <c r="K18" s="223">
        <f>SUMIFS(Data!$F$8:$F$175,Data!$B$8:$B$175,$J18,Data!$C$8:$C$175,"&gt;=2021")</f>
        <v>0.96800000000000019</v>
      </c>
      <c r="L18" s="223">
        <f>SUMIFS('Modelled costs'!F$8:F$62,'Modelled costs'!$B$8:$B$62,$J18)</f>
        <v>3.04792475</v>
      </c>
      <c r="M18" s="23">
        <f t="shared" si="0"/>
        <v>0.31759314267847333</v>
      </c>
    </row>
    <row r="19" spans="1:13" x14ac:dyDescent="0.4">
      <c r="A19" s="2" t="str">
        <f>'Selected forecast drivers'!A18</f>
        <v>NES22</v>
      </c>
      <c r="B19" s="2" t="str">
        <f>'Selected forecast drivers'!B18</f>
        <v>NES</v>
      </c>
      <c r="C19" s="2">
        <f>'Selected forecast drivers'!D18</f>
        <v>2022</v>
      </c>
      <c r="D19" s="219">
        <f>IFERROR((Coeffs!$D$12)+(Coeffs!$D$10*'Selected forecast drivers'!G18)+(Coeffs!$D$11*'Selected forecast drivers'!H18),"")</f>
        <v>0.50486570000000008</v>
      </c>
      <c r="E19" s="219">
        <f>IFERROR((Coeffs!$E$12)+(Coeffs!$E$10*'Selected forecast drivers'!G18)+(Coeffs!$E$11*'Selected forecast drivers'!H18),"")</f>
        <v>0.56424320000000006</v>
      </c>
      <c r="F19" s="220">
        <f t="shared" si="1"/>
        <v>0.53455445000000013</v>
      </c>
      <c r="G19" s="220">
        <f>Controls!$B$14*F19</f>
        <v>0.53455445000000013</v>
      </c>
      <c r="J19" s="159"/>
      <c r="K19" s="160"/>
      <c r="L19" s="160"/>
      <c r="M19" s="161"/>
    </row>
    <row r="20" spans="1:13" x14ac:dyDescent="0.4">
      <c r="A20" s="2" t="str">
        <f>'Selected forecast drivers'!A19</f>
        <v>NES23</v>
      </c>
      <c r="B20" s="2" t="str">
        <f>'Selected forecast drivers'!B19</f>
        <v>NES</v>
      </c>
      <c r="C20" s="2">
        <f>'Selected forecast drivers'!D19</f>
        <v>2023</v>
      </c>
      <c r="D20" s="219">
        <f>IFERROR((Coeffs!$D$12)+(Coeffs!$D$10*'Selected forecast drivers'!G19)+(Coeffs!$D$11*'Selected forecast drivers'!H19),"")</f>
        <v>0.50486570000000008</v>
      </c>
      <c r="E20" s="219">
        <f>IFERROR((Coeffs!$E$12)+(Coeffs!$E$10*'Selected forecast drivers'!G19)+(Coeffs!$E$11*'Selected forecast drivers'!H19),"")</f>
        <v>0.56424320000000006</v>
      </c>
      <c r="F20" s="220">
        <f t="shared" si="1"/>
        <v>0.53455445000000013</v>
      </c>
      <c r="G20" s="220">
        <f>Controls!$B$14*F20</f>
        <v>0.53455445000000013</v>
      </c>
      <c r="J20" s="159"/>
      <c r="K20" s="160"/>
      <c r="L20" s="160"/>
      <c r="M20" s="161"/>
    </row>
    <row r="21" spans="1:13" x14ac:dyDescent="0.4">
      <c r="A21" s="2" t="str">
        <f>'Selected forecast drivers'!A20</f>
        <v>NES24</v>
      </c>
      <c r="B21" s="2" t="str">
        <f>'Selected forecast drivers'!B20</f>
        <v>NES</v>
      </c>
      <c r="C21" s="2">
        <f>'Selected forecast drivers'!D20</f>
        <v>2024</v>
      </c>
      <c r="D21" s="219">
        <f>IFERROR((Coeffs!$D$12)+(Coeffs!$D$10*'Selected forecast drivers'!G20)+(Coeffs!$D$11*'Selected forecast drivers'!H20),"")</f>
        <v>0.50486570000000008</v>
      </c>
      <c r="E21" s="219">
        <f>IFERROR((Coeffs!$E$12)+(Coeffs!$E$10*'Selected forecast drivers'!G20)+(Coeffs!$E$11*'Selected forecast drivers'!H20),"")</f>
        <v>0.56424320000000006</v>
      </c>
      <c r="F21" s="220">
        <f t="shared" si="1"/>
        <v>0.53455445000000013</v>
      </c>
      <c r="G21" s="220">
        <f>Controls!$B$14*F21</f>
        <v>0.53455445000000013</v>
      </c>
      <c r="J21" s="24" t="s">
        <v>34</v>
      </c>
      <c r="K21" s="25"/>
      <c r="L21" s="25"/>
      <c r="M21" s="26">
        <f>PERCENTILE($M$8:$M$18,0.5)</f>
        <v>1.2930071059031569</v>
      </c>
    </row>
    <row r="22" spans="1:13" x14ac:dyDescent="0.4">
      <c r="A22" s="2" t="str">
        <f>'Selected forecast drivers'!A21</f>
        <v>NES25</v>
      </c>
      <c r="B22" s="2" t="str">
        <f>'Selected forecast drivers'!B21</f>
        <v>NES</v>
      </c>
      <c r="C22" s="2">
        <f>'Selected forecast drivers'!D21</f>
        <v>2025</v>
      </c>
      <c r="D22" s="219">
        <f>IFERROR((Coeffs!$D$12)+(Coeffs!$D$10*'Selected forecast drivers'!G21)+(Coeffs!$D$11*'Selected forecast drivers'!H21),"")</f>
        <v>0.50486570000000008</v>
      </c>
      <c r="E22" s="219">
        <f>IFERROR((Coeffs!$E$12)+(Coeffs!$E$10*'Selected forecast drivers'!G21)+(Coeffs!$E$11*'Selected forecast drivers'!H21),"")</f>
        <v>0.56424320000000006</v>
      </c>
      <c r="F22" s="220">
        <f t="shared" si="1"/>
        <v>0.53455445000000013</v>
      </c>
      <c r="G22" s="220">
        <f>Controls!$B$14*F22</f>
        <v>0.53455445000000013</v>
      </c>
      <c r="J22" s="24" t="s">
        <v>35</v>
      </c>
      <c r="K22" s="25"/>
      <c r="L22" s="25"/>
      <c r="M22" s="26">
        <f>PERCENTILE($M$8:$M$18,0.25)</f>
        <v>0.51952308560414862</v>
      </c>
    </row>
    <row r="23" spans="1:13" x14ac:dyDescent="0.4">
      <c r="A23" s="2" t="str">
        <f>'Selected forecast drivers'!A22</f>
        <v>NWT21</v>
      </c>
      <c r="B23" s="2" t="str">
        <f>'Selected forecast drivers'!B22</f>
        <v>NWT</v>
      </c>
      <c r="C23" s="2">
        <f>'Selected forecast drivers'!D22</f>
        <v>2021</v>
      </c>
      <c r="D23" s="219">
        <f>IFERROR((Coeffs!$D$12)+(Coeffs!$D$10*'Selected forecast drivers'!G22)+(Coeffs!$D$11*'Selected forecast drivers'!H22),"")</f>
        <v>0.40315250000000002</v>
      </c>
      <c r="E23" s="219">
        <f>IFERROR((Coeffs!$E$12)+(Coeffs!$E$10*'Selected forecast drivers'!G22)+(Coeffs!$E$11*'Selected forecast drivers'!H22),"")</f>
        <v>0.4399034</v>
      </c>
      <c r="F23" s="220">
        <f t="shared" si="1"/>
        <v>0.42152794999999998</v>
      </c>
      <c r="G23" s="220">
        <f>Controls!$B$14*F23</f>
        <v>0.42152794999999998</v>
      </c>
      <c r="J23" s="159"/>
      <c r="K23" s="160"/>
      <c r="L23" s="160"/>
      <c r="M23" s="161"/>
    </row>
    <row r="24" spans="1:13" x14ac:dyDescent="0.4">
      <c r="A24" s="2" t="str">
        <f>'Selected forecast drivers'!A23</f>
        <v>NWT22</v>
      </c>
      <c r="B24" s="2" t="str">
        <f>'Selected forecast drivers'!B23</f>
        <v>NWT</v>
      </c>
      <c r="C24" s="2">
        <f>'Selected forecast drivers'!D23</f>
        <v>2022</v>
      </c>
      <c r="D24" s="219">
        <f>IFERROR((Coeffs!$D$12)+(Coeffs!$D$10*'Selected forecast drivers'!G23)+(Coeffs!$D$11*'Selected forecast drivers'!H23),"")</f>
        <v>0.67353170000000007</v>
      </c>
      <c r="E24" s="219">
        <f>IFERROR((Coeffs!$E$12)+(Coeffs!$E$10*'Selected forecast drivers'!G23)+(Coeffs!$E$11*'Selected forecast drivers'!H23),"")</f>
        <v>0.76976820000000001</v>
      </c>
      <c r="F24" s="220">
        <f t="shared" si="1"/>
        <v>0.72164994999999998</v>
      </c>
      <c r="G24" s="220">
        <f>Controls!$B$14*F24</f>
        <v>0.72164994999999998</v>
      </c>
      <c r="J24" s="159"/>
      <c r="K24" s="160"/>
      <c r="L24" s="160"/>
      <c r="M24" s="161"/>
    </row>
    <row r="25" spans="1:13" x14ac:dyDescent="0.4">
      <c r="A25" s="2" t="str">
        <f>'Selected forecast drivers'!A24</f>
        <v>NWT23</v>
      </c>
      <c r="B25" s="2" t="str">
        <f>'Selected forecast drivers'!B24</f>
        <v>NWT</v>
      </c>
      <c r="C25" s="2">
        <f>'Selected forecast drivers'!D24</f>
        <v>2023</v>
      </c>
      <c r="D25" s="219">
        <f>IFERROR((Coeffs!$D$12)+(Coeffs!$D$10*'Selected forecast drivers'!G24)+(Coeffs!$D$11*'Selected forecast drivers'!H24),"")</f>
        <v>0.67353170000000007</v>
      </c>
      <c r="E25" s="219">
        <f>IFERROR((Coeffs!$E$12)+(Coeffs!$E$10*'Selected forecast drivers'!G24)+(Coeffs!$E$11*'Selected forecast drivers'!H24),"")</f>
        <v>0.76976820000000001</v>
      </c>
      <c r="F25" s="220">
        <f t="shared" si="1"/>
        <v>0.72164994999999998</v>
      </c>
      <c r="G25" s="220">
        <f>Controls!$B$14*F25</f>
        <v>0.72164994999999998</v>
      </c>
    </row>
    <row r="26" spans="1:13" x14ac:dyDescent="0.4">
      <c r="A26" s="2" t="str">
        <f>'Selected forecast drivers'!A25</f>
        <v>NWT24</v>
      </c>
      <c r="B26" s="2" t="str">
        <f>'Selected forecast drivers'!B25</f>
        <v>NWT</v>
      </c>
      <c r="C26" s="2">
        <f>'Selected forecast drivers'!D25</f>
        <v>2024</v>
      </c>
      <c r="D26" s="219">
        <f>IFERROR((Coeffs!$D$12)+(Coeffs!$D$10*'Selected forecast drivers'!G25)+(Coeffs!$D$11*'Selected forecast drivers'!H25),"")</f>
        <v>0.67353170000000007</v>
      </c>
      <c r="E26" s="219">
        <f>IFERROR((Coeffs!$E$12)+(Coeffs!$E$10*'Selected forecast drivers'!G25)+(Coeffs!$E$11*'Selected forecast drivers'!H25),"")</f>
        <v>0.76976820000000001</v>
      </c>
      <c r="F26" s="220">
        <f t="shared" si="1"/>
        <v>0.72164994999999998</v>
      </c>
      <c r="G26" s="220">
        <f>Controls!$B$14*F26</f>
        <v>0.72164994999999998</v>
      </c>
    </row>
    <row r="27" spans="1:13" x14ac:dyDescent="0.4">
      <c r="A27" s="2" t="str">
        <f>'Selected forecast drivers'!A26</f>
        <v>NWT25</v>
      </c>
      <c r="B27" s="2" t="str">
        <f>'Selected forecast drivers'!B26</f>
        <v>NWT</v>
      </c>
      <c r="C27" s="2">
        <f>'Selected forecast drivers'!D26</f>
        <v>2025</v>
      </c>
      <c r="D27" s="219">
        <f>IFERROR((Coeffs!$D$12)+(Coeffs!$D$10*'Selected forecast drivers'!G26)+(Coeffs!$D$11*'Selected forecast drivers'!H26),"")</f>
        <v>0.67353170000000007</v>
      </c>
      <c r="E27" s="219">
        <f>IFERROR((Coeffs!$E$12)+(Coeffs!$E$10*'Selected forecast drivers'!G26)+(Coeffs!$E$11*'Selected forecast drivers'!H26),"")</f>
        <v>0.76976820000000001</v>
      </c>
      <c r="F27" s="220">
        <f t="shared" si="1"/>
        <v>0.72164994999999998</v>
      </c>
      <c r="G27" s="220">
        <f>Controls!$B$14*F27</f>
        <v>0.72164994999999998</v>
      </c>
    </row>
    <row r="28" spans="1:13" x14ac:dyDescent="0.4">
      <c r="A28" s="2" t="str">
        <f>'Selected forecast drivers'!A27</f>
        <v>SRN21</v>
      </c>
      <c r="B28" s="2" t="str">
        <f>'Selected forecast drivers'!B27</f>
        <v>SRN</v>
      </c>
      <c r="C28" s="2">
        <f>'Selected forecast drivers'!D27</f>
        <v>2021</v>
      </c>
      <c r="D28" s="219">
        <f>IFERROR((Coeffs!$D$12)+(Coeffs!$D$10*'Selected forecast drivers'!G27)+(Coeffs!$D$11*'Selected forecast drivers'!H27),"")</f>
        <v>0.97443410000000008</v>
      </c>
      <c r="E28" s="219">
        <f>IFERROR((Coeffs!$E$12)+(Coeffs!$E$10*'Selected forecast drivers'!G27)+(Coeffs!$E$11*'Selected forecast drivers'!H27),"")</f>
        <v>1.134333</v>
      </c>
      <c r="F28" s="220">
        <f t="shared" si="1"/>
        <v>1.0543835500000001</v>
      </c>
      <c r="G28" s="220">
        <f>Controls!$B$14*F28</f>
        <v>1.0543835500000001</v>
      </c>
    </row>
    <row r="29" spans="1:13" x14ac:dyDescent="0.4">
      <c r="A29" s="2" t="str">
        <f>'Selected forecast drivers'!A28</f>
        <v>SRN22</v>
      </c>
      <c r="B29" s="2" t="str">
        <f>'Selected forecast drivers'!B28</f>
        <v>SRN</v>
      </c>
      <c r="C29" s="2">
        <f>'Selected forecast drivers'!D28</f>
        <v>2022</v>
      </c>
      <c r="D29" s="219">
        <f>IFERROR((Coeffs!$D$12)+(Coeffs!$D$10*'Selected forecast drivers'!G28)+(Coeffs!$D$11*'Selected forecast drivers'!H28),"")</f>
        <v>2.2698341000000002</v>
      </c>
      <c r="E29" s="219">
        <f>IFERROR((Coeffs!$E$12)+(Coeffs!$E$10*'Selected forecast drivers'!G28)+(Coeffs!$E$11*'Selected forecast drivers'!H28),"")</f>
        <v>2.6709289999999997</v>
      </c>
      <c r="F29" s="220">
        <f t="shared" si="1"/>
        <v>2.4703815499999999</v>
      </c>
      <c r="G29" s="220">
        <f>Controls!$B$14*F29</f>
        <v>2.4703815499999999</v>
      </c>
    </row>
    <row r="30" spans="1:13" x14ac:dyDescent="0.4">
      <c r="A30" s="2" t="str">
        <f>'Selected forecast drivers'!A29</f>
        <v>SRN23</v>
      </c>
      <c r="B30" s="2" t="str">
        <f>'Selected forecast drivers'!B29</f>
        <v>SRN</v>
      </c>
      <c r="C30" s="2">
        <f>'Selected forecast drivers'!D29</f>
        <v>2023</v>
      </c>
      <c r="D30" s="219">
        <f>IFERROR((Coeffs!$D$12)+(Coeffs!$D$10*'Selected forecast drivers'!G29)+(Coeffs!$D$11*'Selected forecast drivers'!H29),"")</f>
        <v>0.40315250000000002</v>
      </c>
      <c r="E30" s="219">
        <f>IFERROR((Coeffs!$E$12)+(Coeffs!$E$10*'Selected forecast drivers'!G29)+(Coeffs!$E$11*'Selected forecast drivers'!H29),"")</f>
        <v>0.4399034</v>
      </c>
      <c r="F30" s="220">
        <f t="shared" si="1"/>
        <v>0.42152794999999998</v>
      </c>
      <c r="G30" s="220">
        <f>Controls!$B$14*F30</f>
        <v>0.42152794999999998</v>
      </c>
    </row>
    <row r="31" spans="1:13" x14ac:dyDescent="0.4">
      <c r="A31" s="2" t="str">
        <f>'Selected forecast drivers'!A30</f>
        <v>SRN24</v>
      </c>
      <c r="B31" s="2" t="str">
        <f>'Selected forecast drivers'!B30</f>
        <v>SRN</v>
      </c>
      <c r="C31" s="2">
        <f>'Selected forecast drivers'!D30</f>
        <v>2024</v>
      </c>
      <c r="D31" s="219">
        <f>IFERROR((Coeffs!$D$12)+(Coeffs!$D$10*'Selected forecast drivers'!G30)+(Coeffs!$D$11*'Selected forecast drivers'!H30),"")</f>
        <v>0.40315250000000002</v>
      </c>
      <c r="E31" s="219">
        <f>IFERROR((Coeffs!$E$12)+(Coeffs!$E$10*'Selected forecast drivers'!G30)+(Coeffs!$E$11*'Selected forecast drivers'!H30),"")</f>
        <v>0.4399034</v>
      </c>
      <c r="F31" s="220">
        <f t="shared" si="1"/>
        <v>0.42152794999999998</v>
      </c>
      <c r="G31" s="220">
        <f>Controls!$B$14*F31</f>
        <v>0.42152794999999998</v>
      </c>
    </row>
    <row r="32" spans="1:13" x14ac:dyDescent="0.4">
      <c r="A32" s="2" t="str">
        <f>'Selected forecast drivers'!A31</f>
        <v>SRN25</v>
      </c>
      <c r="B32" s="2" t="str">
        <f>'Selected forecast drivers'!B31</f>
        <v>SRN</v>
      </c>
      <c r="C32" s="2">
        <f>'Selected forecast drivers'!D31</f>
        <v>2025</v>
      </c>
      <c r="D32" s="219">
        <f>IFERROR((Coeffs!$D$12)+(Coeffs!$D$10*'Selected forecast drivers'!G31)+(Coeffs!$D$11*'Selected forecast drivers'!H31),"")</f>
        <v>0.40315250000000002</v>
      </c>
      <c r="E32" s="219">
        <f>IFERROR((Coeffs!$E$12)+(Coeffs!$E$10*'Selected forecast drivers'!G31)+(Coeffs!$E$11*'Selected forecast drivers'!H31),"")</f>
        <v>0.4399034</v>
      </c>
      <c r="F32" s="220">
        <f t="shared" si="1"/>
        <v>0.42152794999999998</v>
      </c>
      <c r="G32" s="220">
        <f>Controls!$B$14*F32</f>
        <v>0.42152794999999998</v>
      </c>
    </row>
    <row r="33" spans="1:7" x14ac:dyDescent="0.4">
      <c r="A33" s="2" t="str">
        <f>'Selected forecast drivers'!A32</f>
        <v>SVE21</v>
      </c>
      <c r="B33" s="2" t="str">
        <f>'Selected forecast drivers'!B32</f>
        <v>SVE</v>
      </c>
      <c r="C33" s="2">
        <f>'Selected forecast drivers'!D32</f>
        <v>2021</v>
      </c>
      <c r="D33" s="219">
        <f>IFERROR((Coeffs!$D$12)+(Coeffs!$D$10*'Selected forecast drivers'!G32)+(Coeffs!$D$11*'Selected forecast drivers'!H32),"")</f>
        <v>1.5658384999999999</v>
      </c>
      <c r="E33" s="219">
        <f>IFERROR((Coeffs!$E$12)+(Coeffs!$E$10*'Selected forecast drivers'!G32)+(Coeffs!$E$11*'Selected forecast drivers'!H32),"")</f>
        <v>1.8427103999999999</v>
      </c>
      <c r="F33" s="220">
        <f t="shared" si="1"/>
        <v>1.7042744499999998</v>
      </c>
      <c r="G33" s="220">
        <f>Controls!$B$14*F33</f>
        <v>1.7042744499999998</v>
      </c>
    </row>
    <row r="34" spans="1:7" x14ac:dyDescent="0.4">
      <c r="A34" s="2" t="str">
        <f>'Selected forecast drivers'!A33</f>
        <v>SVE22</v>
      </c>
      <c r="B34" s="2" t="str">
        <f>'Selected forecast drivers'!B33</f>
        <v>SVE</v>
      </c>
      <c r="C34" s="2">
        <f>'Selected forecast drivers'!D33</f>
        <v>2022</v>
      </c>
      <c r="D34" s="219">
        <f>IFERROR((Coeffs!$D$12)+(Coeffs!$D$10*'Selected forecast drivers'!G33)+(Coeffs!$D$11*'Selected forecast drivers'!H33),"")</f>
        <v>3.5860125000000003</v>
      </c>
      <c r="E34" s="219">
        <f>IFERROR((Coeffs!$E$12)+(Coeffs!$E$10*'Selected forecast drivers'!G33)+(Coeffs!$E$11*'Selected forecast drivers'!H33),"")</f>
        <v>4.1703734000000008</v>
      </c>
      <c r="F34" s="220">
        <f t="shared" si="1"/>
        <v>3.8781929500000007</v>
      </c>
      <c r="G34" s="220">
        <f>Controls!$B$14*F34</f>
        <v>3.8781929500000007</v>
      </c>
    </row>
    <row r="35" spans="1:7" x14ac:dyDescent="0.4">
      <c r="A35" s="2" t="str">
        <f>'Selected forecast drivers'!A34</f>
        <v>SVE23</v>
      </c>
      <c r="B35" s="2" t="str">
        <f>'Selected forecast drivers'!B34</f>
        <v>SVE</v>
      </c>
      <c r="C35" s="2">
        <f>'Selected forecast drivers'!D34</f>
        <v>2023</v>
      </c>
      <c r="D35" s="219">
        <f>IFERROR((Coeffs!$D$12)+(Coeffs!$D$10*'Selected forecast drivers'!G34)+(Coeffs!$D$11*'Selected forecast drivers'!H34),"")</f>
        <v>3.0751217000000004</v>
      </c>
      <c r="E35" s="219">
        <f>IFERROR((Coeffs!$E$12)+(Coeffs!$E$10*'Selected forecast drivers'!G34)+(Coeffs!$E$11*'Selected forecast drivers'!H34),"")</f>
        <v>3.5964431999999995</v>
      </c>
      <c r="F35" s="220">
        <f t="shared" si="1"/>
        <v>3.33578245</v>
      </c>
      <c r="G35" s="220">
        <f>Controls!$B$14*F35</f>
        <v>3.33578245</v>
      </c>
    </row>
    <row r="36" spans="1:7" x14ac:dyDescent="0.4">
      <c r="A36" s="2" t="str">
        <f>'Selected forecast drivers'!A35</f>
        <v>SVE24</v>
      </c>
      <c r="B36" s="2" t="str">
        <f>'Selected forecast drivers'!B35</f>
        <v>SVE</v>
      </c>
      <c r="C36" s="2">
        <f>'Selected forecast drivers'!D35</f>
        <v>2024</v>
      </c>
      <c r="D36" s="219">
        <f>IFERROR((Coeffs!$D$12)+(Coeffs!$D$10*'Selected forecast drivers'!G35)+(Coeffs!$D$11*'Selected forecast drivers'!H35),"")</f>
        <v>1.7276565000000002</v>
      </c>
      <c r="E36" s="219">
        <f>IFERROR((Coeffs!$E$12)+(Coeffs!$E$10*'Selected forecast drivers'!G35)+(Coeffs!$E$11*'Selected forecast drivers'!H35),"")</f>
        <v>2.0345713999999999</v>
      </c>
      <c r="F36" s="220">
        <f t="shared" si="1"/>
        <v>1.88111395</v>
      </c>
      <c r="G36" s="220">
        <f>Controls!$B$14*F36</f>
        <v>1.88111395</v>
      </c>
    </row>
    <row r="37" spans="1:7" x14ac:dyDescent="0.4">
      <c r="A37" s="2" t="str">
        <f>'Selected forecast drivers'!A36</f>
        <v>SVE25</v>
      </c>
      <c r="B37" s="2" t="str">
        <f>'Selected forecast drivers'!B36</f>
        <v>SVE</v>
      </c>
      <c r="C37" s="2">
        <f>'Selected forecast drivers'!D36</f>
        <v>2025</v>
      </c>
      <c r="D37" s="219">
        <f>IFERROR((Coeffs!$D$12)+(Coeffs!$D$10*'Selected forecast drivers'!G36)+(Coeffs!$D$11*'Selected forecast drivers'!H36),"")</f>
        <v>1.5658384999999999</v>
      </c>
      <c r="E37" s="219">
        <f>IFERROR((Coeffs!$E$12)+(Coeffs!$E$10*'Selected forecast drivers'!G36)+(Coeffs!$E$11*'Selected forecast drivers'!H36),"")</f>
        <v>1.8427103999999999</v>
      </c>
      <c r="F37" s="220">
        <f t="shared" si="1"/>
        <v>1.7042744499999998</v>
      </c>
      <c r="G37" s="220">
        <f>Controls!$B$14*F37</f>
        <v>1.7042744499999998</v>
      </c>
    </row>
    <row r="38" spans="1:7" x14ac:dyDescent="0.4">
      <c r="A38" s="2" t="str">
        <f>'Selected forecast drivers'!A37</f>
        <v>SWB21</v>
      </c>
      <c r="B38" s="2" t="str">
        <f>'Selected forecast drivers'!B37</f>
        <v>SWB</v>
      </c>
      <c r="C38" s="2">
        <f>'Selected forecast drivers'!D37</f>
        <v>2021</v>
      </c>
      <c r="D38" s="219">
        <f>IFERROR((Coeffs!$D$12)+(Coeffs!$D$10*'Selected forecast drivers'!G37)+(Coeffs!$D$11*'Selected forecast drivers'!H37),"")</f>
        <v>0.67353170000000007</v>
      </c>
      <c r="E38" s="219">
        <f>IFERROR((Coeffs!$E$12)+(Coeffs!$E$10*'Selected forecast drivers'!G37)+(Coeffs!$E$11*'Selected forecast drivers'!H37),"")</f>
        <v>0.76976820000000001</v>
      </c>
      <c r="F38" s="220">
        <f t="shared" si="1"/>
        <v>0.72164994999999998</v>
      </c>
      <c r="G38" s="220">
        <f>Controls!$B$14*F38</f>
        <v>0.72164994999999998</v>
      </c>
    </row>
    <row r="39" spans="1:7" x14ac:dyDescent="0.4">
      <c r="A39" s="2" t="str">
        <f>'Selected forecast drivers'!A38</f>
        <v>SWB22</v>
      </c>
      <c r="B39" s="2" t="str">
        <f>'Selected forecast drivers'!B38</f>
        <v>SWB</v>
      </c>
      <c r="C39" s="2">
        <f>'Selected forecast drivers'!D38</f>
        <v>2022</v>
      </c>
      <c r="D39" s="219">
        <f>IFERROR((Coeffs!$D$12)+(Coeffs!$D$10*'Selected forecast drivers'!G38)+(Coeffs!$D$11*'Selected forecast drivers'!H38),"")</f>
        <v>0.70713650000000006</v>
      </c>
      <c r="E39" s="219">
        <f>IFERROR((Coeffs!$E$12)+(Coeffs!$E$10*'Selected forecast drivers'!G38)+(Coeffs!$E$11*'Selected forecast drivers'!H38),"")</f>
        <v>0.81061700000000003</v>
      </c>
      <c r="F39" s="220">
        <f t="shared" si="1"/>
        <v>0.75887674999999999</v>
      </c>
      <c r="G39" s="220">
        <f>Controls!$B$14*F39</f>
        <v>0.75887674999999999</v>
      </c>
    </row>
    <row r="40" spans="1:7" x14ac:dyDescent="0.4">
      <c r="A40" s="2" t="str">
        <f>'Selected forecast drivers'!A39</f>
        <v>SWB23</v>
      </c>
      <c r="B40" s="2" t="str">
        <f>'Selected forecast drivers'!B39</f>
        <v>SWB</v>
      </c>
      <c r="C40" s="2">
        <f>'Selected forecast drivers'!D39</f>
        <v>2023</v>
      </c>
      <c r="D40" s="219">
        <f>IFERROR((Coeffs!$D$12)+(Coeffs!$D$10*'Selected forecast drivers'!G39)+(Coeffs!$D$11*'Selected forecast drivers'!H39),"")</f>
        <v>0.77421770000000012</v>
      </c>
      <c r="E40" s="219">
        <f>IFERROR((Coeffs!$E$12)+(Coeffs!$E$10*'Selected forecast drivers'!G39)+(Coeffs!$E$11*'Selected forecast drivers'!H39),"")</f>
        <v>0.89205840000000003</v>
      </c>
      <c r="F40" s="220">
        <f t="shared" si="1"/>
        <v>0.83313805000000007</v>
      </c>
      <c r="G40" s="220">
        <f>Controls!$B$14*F40</f>
        <v>0.83313805000000007</v>
      </c>
    </row>
    <row r="41" spans="1:7" x14ac:dyDescent="0.4">
      <c r="A41" s="2" t="str">
        <f>'Selected forecast drivers'!A40</f>
        <v>SWB24</v>
      </c>
      <c r="B41" s="2" t="str">
        <f>'Selected forecast drivers'!B40</f>
        <v>SWB</v>
      </c>
      <c r="C41" s="2">
        <f>'Selected forecast drivers'!D40</f>
        <v>2024</v>
      </c>
      <c r="D41" s="219">
        <f>IFERROR((Coeffs!$D$12)+(Coeffs!$D$10*'Selected forecast drivers'!G40)+(Coeffs!$D$11*'Selected forecast drivers'!H40),"")</f>
        <v>0.67353170000000007</v>
      </c>
      <c r="E41" s="219">
        <f>IFERROR((Coeffs!$E$12)+(Coeffs!$E$10*'Selected forecast drivers'!G40)+(Coeffs!$E$11*'Selected forecast drivers'!H40),"")</f>
        <v>0.76976820000000001</v>
      </c>
      <c r="F41" s="220">
        <f t="shared" si="1"/>
        <v>0.72164994999999998</v>
      </c>
      <c r="G41" s="220">
        <f>Controls!$B$14*F41</f>
        <v>0.72164994999999998</v>
      </c>
    </row>
    <row r="42" spans="1:7" x14ac:dyDescent="0.4">
      <c r="A42" s="2" t="str">
        <f>'Selected forecast drivers'!A41</f>
        <v>SWB25</v>
      </c>
      <c r="B42" s="2" t="str">
        <f>'Selected forecast drivers'!B41</f>
        <v>SWB</v>
      </c>
      <c r="C42" s="2">
        <f>'Selected forecast drivers'!D41</f>
        <v>2025</v>
      </c>
      <c r="D42" s="219">
        <f>IFERROR((Coeffs!$D$12)+(Coeffs!$D$10*'Selected forecast drivers'!G41)+(Coeffs!$D$11*'Selected forecast drivers'!H41),"")</f>
        <v>0.84112770000000014</v>
      </c>
      <c r="E42" s="219">
        <f>IFERROR((Coeffs!$E$12)+(Coeffs!$E$10*'Selected forecast drivers'!G41)+(Coeffs!$E$11*'Selected forecast drivers'!H41),"")</f>
        <v>0.97315819999999997</v>
      </c>
      <c r="F42" s="220">
        <f t="shared" si="1"/>
        <v>0.90714295000000011</v>
      </c>
      <c r="G42" s="220">
        <f>Controls!$B$14*F42</f>
        <v>0.90714295000000011</v>
      </c>
    </row>
    <row r="43" spans="1:7" x14ac:dyDescent="0.4">
      <c r="A43" s="2" t="str">
        <f>'Selected forecast drivers'!A42</f>
        <v>TMS21</v>
      </c>
      <c r="B43" s="2" t="str">
        <f>'Selected forecast drivers'!B42</f>
        <v>TMS</v>
      </c>
      <c r="C43" s="2">
        <f>'Selected forecast drivers'!D42</f>
        <v>2021</v>
      </c>
      <c r="D43" s="219">
        <f>IFERROR((Coeffs!$D$12)+(Coeffs!$D$10*'Selected forecast drivers'!G42)+(Coeffs!$D$11*'Selected forecast drivers'!H42),"")</f>
        <v>0.40315250000000002</v>
      </c>
      <c r="E43" s="219">
        <f>IFERROR((Coeffs!$E$12)+(Coeffs!$E$10*'Selected forecast drivers'!G42)+(Coeffs!$E$11*'Selected forecast drivers'!H42),"")</f>
        <v>0.4399034</v>
      </c>
      <c r="F43" s="220">
        <f t="shared" si="1"/>
        <v>0.42152794999999998</v>
      </c>
      <c r="G43" s="220">
        <f>Controls!$B$14*F43</f>
        <v>0.42152794999999998</v>
      </c>
    </row>
    <row r="44" spans="1:7" x14ac:dyDescent="0.4">
      <c r="A44" s="2" t="str">
        <f>'Selected forecast drivers'!A43</f>
        <v>TMS22</v>
      </c>
      <c r="B44" s="2" t="str">
        <f>'Selected forecast drivers'!B43</f>
        <v>TMS</v>
      </c>
      <c r="C44" s="2">
        <f>'Selected forecast drivers'!D43</f>
        <v>2022</v>
      </c>
      <c r="D44" s="219">
        <f>IFERROR((Coeffs!$D$12)+(Coeffs!$D$10*'Selected forecast drivers'!G43)+(Coeffs!$D$11*'Selected forecast drivers'!H43),"")</f>
        <v>0.40315250000000002</v>
      </c>
      <c r="E44" s="219">
        <f>IFERROR((Coeffs!$E$12)+(Coeffs!$E$10*'Selected forecast drivers'!G43)+(Coeffs!$E$11*'Selected forecast drivers'!H43),"")</f>
        <v>0.4399034</v>
      </c>
      <c r="F44" s="220">
        <f t="shared" si="1"/>
        <v>0.42152794999999998</v>
      </c>
      <c r="G44" s="220">
        <f>Controls!$B$14*F44</f>
        <v>0.42152794999999998</v>
      </c>
    </row>
    <row r="45" spans="1:7" x14ac:dyDescent="0.4">
      <c r="A45" s="2" t="str">
        <f>'Selected forecast drivers'!A44</f>
        <v>TMS23</v>
      </c>
      <c r="B45" s="2" t="str">
        <f>'Selected forecast drivers'!B44</f>
        <v>TMS</v>
      </c>
      <c r="C45" s="2">
        <f>'Selected forecast drivers'!D44</f>
        <v>2023</v>
      </c>
      <c r="D45" s="219">
        <f>IFERROR((Coeffs!$D$12)+(Coeffs!$D$10*'Selected forecast drivers'!G44)+(Coeffs!$D$11*'Selected forecast drivers'!H44),"")</f>
        <v>0.40315250000000002</v>
      </c>
      <c r="E45" s="219">
        <f>IFERROR((Coeffs!$E$12)+(Coeffs!$E$10*'Selected forecast drivers'!G44)+(Coeffs!$E$11*'Selected forecast drivers'!H44),"")</f>
        <v>0.4399034</v>
      </c>
      <c r="F45" s="220">
        <f t="shared" si="1"/>
        <v>0.42152794999999998</v>
      </c>
      <c r="G45" s="220">
        <f>Controls!$B$14*F45</f>
        <v>0.42152794999999998</v>
      </c>
    </row>
    <row r="46" spans="1:7" x14ac:dyDescent="0.4">
      <c r="A46" s="2" t="str">
        <f>'Selected forecast drivers'!A45</f>
        <v>TMS24</v>
      </c>
      <c r="B46" s="2" t="str">
        <f>'Selected forecast drivers'!B45</f>
        <v>TMS</v>
      </c>
      <c r="C46" s="2">
        <f>'Selected forecast drivers'!D45</f>
        <v>2024</v>
      </c>
      <c r="D46" s="219">
        <f>IFERROR((Coeffs!$D$12)+(Coeffs!$D$10*'Selected forecast drivers'!G45)+(Coeffs!$D$11*'Selected forecast drivers'!H45),"")</f>
        <v>0.94117170000000006</v>
      </c>
      <c r="E46" s="219">
        <f>IFERROR((Coeffs!$E$12)+(Coeffs!$E$10*'Selected forecast drivers'!G45)+(Coeffs!$E$11*'Selected forecast drivers'!H45),"")</f>
        <v>1.0941674000000001</v>
      </c>
      <c r="F46" s="220">
        <f t="shared" si="1"/>
        <v>1.0176695500000001</v>
      </c>
      <c r="G46" s="220">
        <f>Controls!$B$14*F46</f>
        <v>1.0176695500000001</v>
      </c>
    </row>
    <row r="47" spans="1:7" x14ac:dyDescent="0.4">
      <c r="A47" s="2" t="str">
        <f>'Selected forecast drivers'!A46</f>
        <v>TMS25</v>
      </c>
      <c r="B47" s="2" t="str">
        <f>'Selected forecast drivers'!B46</f>
        <v>TMS</v>
      </c>
      <c r="C47" s="2">
        <f>'Selected forecast drivers'!D46</f>
        <v>2025</v>
      </c>
      <c r="D47" s="219">
        <f>IFERROR((Coeffs!$D$12)+(Coeffs!$D$10*'Selected forecast drivers'!G46)+(Coeffs!$D$11*'Selected forecast drivers'!H46),"")</f>
        <v>0.80769409999999997</v>
      </c>
      <c r="E47" s="219">
        <f>IFERROR((Coeffs!$E$12)+(Coeffs!$E$10*'Selected forecast drivers'!G46)+(Coeffs!$E$11*'Selected forecast drivers'!H46),"")</f>
        <v>0.93265100000000001</v>
      </c>
      <c r="F47" s="220">
        <f t="shared" si="1"/>
        <v>0.87017254999999993</v>
      </c>
      <c r="G47" s="220">
        <f>Controls!$B$14*F47</f>
        <v>0.87017254999999993</v>
      </c>
    </row>
    <row r="48" spans="1:7" x14ac:dyDescent="0.4">
      <c r="A48" s="2" t="str">
        <f>'Selected forecast drivers'!A47</f>
        <v>WSH21</v>
      </c>
      <c r="B48" s="2" t="str">
        <f>'Selected forecast drivers'!B47</f>
        <v>WSH</v>
      </c>
      <c r="C48" s="2">
        <f>'Selected forecast drivers'!D47</f>
        <v>2021</v>
      </c>
      <c r="D48" s="219">
        <f>IFERROR((Coeffs!$D$12)+(Coeffs!$D$10*'Selected forecast drivers'!G47)+(Coeffs!$D$11*'Selected forecast drivers'!H47),"")</f>
        <v>0.40315250000000002</v>
      </c>
      <c r="E48" s="219">
        <f>IFERROR((Coeffs!$E$12)+(Coeffs!$E$10*'Selected forecast drivers'!G47)+(Coeffs!$E$11*'Selected forecast drivers'!H47),"")</f>
        <v>0.4399034</v>
      </c>
      <c r="F48" s="220">
        <f t="shared" si="1"/>
        <v>0.42152794999999998</v>
      </c>
      <c r="G48" s="220">
        <f>Controls!$B$14*F48</f>
        <v>0.42152794999999998</v>
      </c>
    </row>
    <row r="49" spans="1:7" x14ac:dyDescent="0.4">
      <c r="A49" s="2" t="str">
        <f>'Selected forecast drivers'!A48</f>
        <v>WSH22</v>
      </c>
      <c r="B49" s="2" t="str">
        <f>'Selected forecast drivers'!B48</f>
        <v>WSH</v>
      </c>
      <c r="C49" s="2">
        <f>'Selected forecast drivers'!D48</f>
        <v>2022</v>
      </c>
      <c r="D49" s="219">
        <f>IFERROR((Coeffs!$D$12)+(Coeffs!$D$10*'Selected forecast drivers'!G48)+(Coeffs!$D$11*'Selected forecast drivers'!H48),"")</f>
        <v>0.70713650000000006</v>
      </c>
      <c r="E49" s="219">
        <f>IFERROR((Coeffs!$E$12)+(Coeffs!$E$10*'Selected forecast drivers'!G48)+(Coeffs!$E$11*'Selected forecast drivers'!H48),"")</f>
        <v>0.81061700000000003</v>
      </c>
      <c r="F49" s="220">
        <f t="shared" si="1"/>
        <v>0.75887674999999999</v>
      </c>
      <c r="G49" s="220">
        <f>Controls!$B$14*F49</f>
        <v>0.75887674999999999</v>
      </c>
    </row>
    <row r="50" spans="1:7" x14ac:dyDescent="0.4">
      <c r="A50" s="2" t="str">
        <f>'Selected forecast drivers'!A49</f>
        <v>WSH23</v>
      </c>
      <c r="B50" s="2" t="str">
        <f>'Selected forecast drivers'!B49</f>
        <v>WSH</v>
      </c>
      <c r="C50" s="2">
        <f>'Selected forecast drivers'!D49</f>
        <v>2023</v>
      </c>
      <c r="D50" s="219">
        <f>IFERROR((Coeffs!$D$12)+(Coeffs!$D$10*'Selected forecast drivers'!G49)+(Coeffs!$D$11*'Selected forecast drivers'!H49),"")</f>
        <v>1.3047041000000001</v>
      </c>
      <c r="E50" s="219">
        <f>IFERROR((Coeffs!$E$12)+(Coeffs!$E$10*'Selected forecast drivers'!G49)+(Coeffs!$E$11*'Selected forecast drivers'!H49),"")</f>
        <v>1.5312919999999999</v>
      </c>
      <c r="F50" s="220">
        <f t="shared" si="1"/>
        <v>1.41799805</v>
      </c>
      <c r="G50" s="220">
        <f>Controls!$B$14*F50</f>
        <v>1.41799805</v>
      </c>
    </row>
    <row r="51" spans="1:7" x14ac:dyDescent="0.4">
      <c r="A51" s="2" t="str">
        <f>'Selected forecast drivers'!A50</f>
        <v>WSH24</v>
      </c>
      <c r="B51" s="2" t="str">
        <f>'Selected forecast drivers'!B50</f>
        <v>WSH</v>
      </c>
      <c r="C51" s="2">
        <f>'Selected forecast drivers'!D50</f>
        <v>2024</v>
      </c>
      <c r="D51" s="219">
        <f>IFERROR((Coeffs!$D$12)+(Coeffs!$D$10*'Selected forecast drivers'!G50)+(Coeffs!$D$11*'Selected forecast drivers'!H50),"")</f>
        <v>0.77421770000000012</v>
      </c>
      <c r="E51" s="219">
        <f>IFERROR((Coeffs!$E$12)+(Coeffs!$E$10*'Selected forecast drivers'!G50)+(Coeffs!$E$11*'Selected forecast drivers'!H50),"")</f>
        <v>0.89205840000000003</v>
      </c>
      <c r="F51" s="220">
        <f t="shared" si="1"/>
        <v>0.83313805000000007</v>
      </c>
      <c r="G51" s="220">
        <f>Controls!$B$14*F51</f>
        <v>0.83313805000000007</v>
      </c>
    </row>
    <row r="52" spans="1:7" x14ac:dyDescent="0.4">
      <c r="A52" s="2" t="str">
        <f>'Selected forecast drivers'!A51</f>
        <v>WSH25</v>
      </c>
      <c r="B52" s="2" t="str">
        <f>'Selected forecast drivers'!B51</f>
        <v>WSH</v>
      </c>
      <c r="C52" s="2">
        <f>'Selected forecast drivers'!D51</f>
        <v>2025</v>
      </c>
      <c r="D52" s="219">
        <f>IFERROR((Coeffs!$D$12)+(Coeffs!$D$10*'Selected forecast drivers'!G51)+(Coeffs!$D$11*'Selected forecast drivers'!H51),"")</f>
        <v>0.77421770000000012</v>
      </c>
      <c r="E52" s="219">
        <f>IFERROR((Coeffs!$E$12)+(Coeffs!$E$10*'Selected forecast drivers'!G51)+(Coeffs!$E$11*'Selected forecast drivers'!H51),"")</f>
        <v>0.89205840000000003</v>
      </c>
      <c r="F52" s="220">
        <f t="shared" si="1"/>
        <v>0.83313805000000007</v>
      </c>
      <c r="G52" s="220">
        <f>Controls!$B$14*F52</f>
        <v>0.83313805000000007</v>
      </c>
    </row>
    <row r="53" spans="1:7" x14ac:dyDescent="0.4">
      <c r="A53" s="2" t="str">
        <f>'Selected forecast drivers'!A52</f>
        <v>WSX21</v>
      </c>
      <c r="B53" s="2" t="str">
        <f>'Selected forecast drivers'!B52</f>
        <v>WSX</v>
      </c>
      <c r="C53" s="2">
        <f>'Selected forecast drivers'!D52</f>
        <v>2021</v>
      </c>
      <c r="D53" s="219">
        <f>IFERROR((Coeffs!$D$12)+(Coeffs!$D$10*'Selected forecast drivers'!G52)+(Coeffs!$D$11*'Selected forecast drivers'!H52),"")</f>
        <v>1.0408305000000002</v>
      </c>
      <c r="E53" s="219">
        <f>IFERROR((Coeffs!$E$12)+(Coeffs!$E$10*'Selected forecast drivers'!G52)+(Coeffs!$E$11*'Selected forecast drivers'!H52),"")</f>
        <v>1.2144079999999999</v>
      </c>
      <c r="F53" s="220">
        <f t="shared" si="1"/>
        <v>1.12761925</v>
      </c>
      <c r="G53" s="220">
        <f>Controls!$B$14*F53</f>
        <v>1.12761925</v>
      </c>
    </row>
    <row r="54" spans="1:7" x14ac:dyDescent="0.4">
      <c r="A54" s="2" t="str">
        <f>'Selected forecast drivers'!A53</f>
        <v>WSX22</v>
      </c>
      <c r="B54" s="2" t="str">
        <f>'Selected forecast drivers'!B53</f>
        <v>WSX</v>
      </c>
      <c r="C54" s="2">
        <f>'Selected forecast drivers'!D53</f>
        <v>2022</v>
      </c>
      <c r="D54" s="219">
        <f>IFERROR((Coeffs!$D$12)+(Coeffs!$D$10*'Selected forecast drivers'!G53)+(Coeffs!$D$11*'Selected forecast drivers'!H53),"")</f>
        <v>0.60619370000000006</v>
      </c>
      <c r="E54" s="219">
        <f>IFERROR((Coeffs!$E$12)+(Coeffs!$E$10*'Selected forecast drivers'!G53)+(Coeffs!$E$11*'Selected forecast drivers'!H53),"")</f>
        <v>0.68781439999999994</v>
      </c>
      <c r="F54" s="220">
        <f t="shared" si="1"/>
        <v>0.64700405000000005</v>
      </c>
      <c r="G54" s="220">
        <f>Controls!$B$14*F54</f>
        <v>0.64700405000000005</v>
      </c>
    </row>
    <row r="55" spans="1:7" x14ac:dyDescent="0.4">
      <c r="A55" s="2" t="str">
        <f>'Selected forecast drivers'!A54</f>
        <v>WSX23</v>
      </c>
      <c r="B55" s="2" t="str">
        <f>'Selected forecast drivers'!B54</f>
        <v>WSX</v>
      </c>
      <c r="C55" s="2">
        <f>'Selected forecast drivers'!D54</f>
        <v>2023</v>
      </c>
      <c r="D55" s="219">
        <f>IFERROR((Coeffs!$D$12)+(Coeffs!$D$10*'Selected forecast drivers'!G54)+(Coeffs!$D$11*'Selected forecast drivers'!H54),"")</f>
        <v>0.40315250000000002</v>
      </c>
      <c r="E55" s="219">
        <f>IFERROR((Coeffs!$E$12)+(Coeffs!$E$10*'Selected forecast drivers'!G54)+(Coeffs!$E$11*'Selected forecast drivers'!H54),"")</f>
        <v>0.4399034</v>
      </c>
      <c r="F55" s="220">
        <f t="shared" si="1"/>
        <v>0.42152794999999998</v>
      </c>
      <c r="G55" s="220">
        <f>Controls!$B$14*F55</f>
        <v>0.42152794999999998</v>
      </c>
    </row>
    <row r="56" spans="1:7" x14ac:dyDescent="0.4">
      <c r="A56" s="2" t="str">
        <f>'Selected forecast drivers'!A55</f>
        <v>WSX24</v>
      </c>
      <c r="B56" s="2" t="str">
        <f>'Selected forecast drivers'!B55</f>
        <v>WSX</v>
      </c>
      <c r="C56" s="2">
        <f>'Selected forecast drivers'!D55</f>
        <v>2024</v>
      </c>
      <c r="D56" s="219">
        <f>IFERROR((Coeffs!$D$12)+(Coeffs!$D$10*'Selected forecast drivers'!G55)+(Coeffs!$D$11*'Selected forecast drivers'!H55),"")</f>
        <v>0.74069850000000004</v>
      </c>
      <c r="E56" s="219">
        <f>IFERROR((Coeffs!$E$12)+(Coeffs!$E$10*'Selected forecast drivers'!G55)+(Coeffs!$E$11*'Selected forecast drivers'!H55),"")</f>
        <v>0.85138040000000004</v>
      </c>
      <c r="F56" s="220">
        <f t="shared" si="1"/>
        <v>0.79603945000000009</v>
      </c>
      <c r="G56" s="220">
        <f>Controls!$B$14*F56</f>
        <v>0.79603945000000009</v>
      </c>
    </row>
    <row r="57" spans="1:7" x14ac:dyDescent="0.4">
      <c r="A57" s="2" t="str">
        <f>'Selected forecast drivers'!A56</f>
        <v>WSX25</v>
      </c>
      <c r="B57" s="2" t="str">
        <f>'Selected forecast drivers'!B56</f>
        <v>WSX</v>
      </c>
      <c r="C57" s="2">
        <f>'Selected forecast drivers'!D56</f>
        <v>2025</v>
      </c>
      <c r="D57" s="219">
        <f>IFERROR((Coeffs!$D$12)+(Coeffs!$D$10*'Selected forecast drivers'!G56)+(Coeffs!$D$11*'Selected forecast drivers'!H56),"")</f>
        <v>0.74069850000000004</v>
      </c>
      <c r="E57" s="219">
        <f>IFERROR((Coeffs!$E$12)+(Coeffs!$E$10*'Selected forecast drivers'!G56)+(Coeffs!$E$11*'Selected forecast drivers'!H56),"")</f>
        <v>0.85138040000000004</v>
      </c>
      <c r="F57" s="220">
        <f t="shared" si="1"/>
        <v>0.79603945000000009</v>
      </c>
      <c r="G57" s="220">
        <f>Controls!$B$14*F57</f>
        <v>0.79603945000000009</v>
      </c>
    </row>
    <row r="58" spans="1:7" x14ac:dyDescent="0.4">
      <c r="A58" s="2" t="str">
        <f>'Selected forecast drivers'!A57</f>
        <v>YKY21</v>
      </c>
      <c r="B58" s="2" t="str">
        <f>'Selected forecast drivers'!B57</f>
        <v>YKY</v>
      </c>
      <c r="C58" s="2">
        <f>'Selected forecast drivers'!D57</f>
        <v>2021</v>
      </c>
      <c r="D58" s="219">
        <f>IFERROR((Coeffs!$D$12)+(Coeffs!$D$10*'Selected forecast drivers'!G57)+(Coeffs!$D$11*'Selected forecast drivers'!H57),"")</f>
        <v>0.57246050000000004</v>
      </c>
      <c r="E58" s="219">
        <f>IFERROR((Coeffs!$E$12)+(Coeffs!$E$10*'Selected forecast drivers'!G57)+(Coeffs!$E$11*'Selected forecast drivers'!H57),"")</f>
        <v>0.64670939999999999</v>
      </c>
      <c r="F58" s="220">
        <f t="shared" si="1"/>
        <v>0.60958495000000001</v>
      </c>
      <c r="G58" s="220">
        <f>Controls!$B$14*F58</f>
        <v>0.60958495000000001</v>
      </c>
    </row>
    <row r="59" spans="1:7" x14ac:dyDescent="0.4">
      <c r="A59" s="2" t="str">
        <f>'Selected forecast drivers'!A58</f>
        <v>YKY22</v>
      </c>
      <c r="B59" s="2" t="str">
        <f>'Selected forecast drivers'!B58</f>
        <v>YKY</v>
      </c>
      <c r="C59" s="2">
        <f>'Selected forecast drivers'!D58</f>
        <v>2022</v>
      </c>
      <c r="D59" s="219">
        <f>IFERROR((Coeffs!$D$12)+(Coeffs!$D$10*'Selected forecast drivers'!G58)+(Coeffs!$D$11*'Selected forecast drivers'!H58),"")</f>
        <v>0.57246050000000004</v>
      </c>
      <c r="E59" s="219">
        <f>IFERROR((Coeffs!$E$12)+(Coeffs!$E$10*'Selected forecast drivers'!G58)+(Coeffs!$E$11*'Selected forecast drivers'!H58),"")</f>
        <v>0.64670939999999999</v>
      </c>
      <c r="F59" s="220">
        <f t="shared" si="1"/>
        <v>0.60958495000000001</v>
      </c>
      <c r="G59" s="220">
        <f>Controls!$B$14*F59</f>
        <v>0.60958495000000001</v>
      </c>
    </row>
    <row r="60" spans="1:7" x14ac:dyDescent="0.4">
      <c r="A60" s="2" t="str">
        <f>'Selected forecast drivers'!A59</f>
        <v>YKY23</v>
      </c>
      <c r="B60" s="2" t="str">
        <f>'Selected forecast drivers'!B59</f>
        <v>YKY</v>
      </c>
      <c r="C60" s="2">
        <f>'Selected forecast drivers'!D59</f>
        <v>2023</v>
      </c>
      <c r="D60" s="219">
        <f>IFERROR((Coeffs!$D$12)+(Coeffs!$D$10*'Selected forecast drivers'!G59)+(Coeffs!$D$11*'Selected forecast drivers'!H59),"")</f>
        <v>0.57246050000000004</v>
      </c>
      <c r="E60" s="219">
        <f>IFERROR((Coeffs!$E$12)+(Coeffs!$E$10*'Selected forecast drivers'!G59)+(Coeffs!$E$11*'Selected forecast drivers'!H59),"")</f>
        <v>0.64670939999999999</v>
      </c>
      <c r="F60" s="220">
        <f t="shared" si="1"/>
        <v>0.60958495000000001</v>
      </c>
      <c r="G60" s="220">
        <f>Controls!$B$14*F60</f>
        <v>0.60958495000000001</v>
      </c>
    </row>
    <row r="61" spans="1:7" x14ac:dyDescent="0.4">
      <c r="A61" s="2" t="str">
        <f>'Selected forecast drivers'!A60</f>
        <v>YKY24</v>
      </c>
      <c r="B61" s="2" t="str">
        <f>'Selected forecast drivers'!B60</f>
        <v>YKY</v>
      </c>
      <c r="C61" s="2">
        <f>'Selected forecast drivers'!D60</f>
        <v>2024</v>
      </c>
      <c r="D61" s="219">
        <f>IFERROR((Coeffs!$D$12)+(Coeffs!$D$10*'Selected forecast drivers'!G60)+(Coeffs!$D$11*'Selected forecast drivers'!H60),"")</f>
        <v>0.57246050000000004</v>
      </c>
      <c r="E61" s="219">
        <f>IFERROR((Coeffs!$E$12)+(Coeffs!$E$10*'Selected forecast drivers'!G60)+(Coeffs!$E$11*'Selected forecast drivers'!H60),"")</f>
        <v>0.64670939999999999</v>
      </c>
      <c r="F61" s="220">
        <f t="shared" si="1"/>
        <v>0.60958495000000001</v>
      </c>
      <c r="G61" s="220">
        <f>Controls!$B$14*F61</f>
        <v>0.60958495000000001</v>
      </c>
    </row>
    <row r="62" spans="1:7" x14ac:dyDescent="0.4">
      <c r="A62" s="2" t="str">
        <f>'Selected forecast drivers'!A61</f>
        <v>YKY25</v>
      </c>
      <c r="B62" s="2" t="str">
        <f>'Selected forecast drivers'!B61</f>
        <v>YKY</v>
      </c>
      <c r="C62" s="2">
        <f>'Selected forecast drivers'!D61</f>
        <v>2025</v>
      </c>
      <c r="D62" s="219">
        <f>IFERROR((Coeffs!$D$12)+(Coeffs!$D$10*'Selected forecast drivers'!G61)+(Coeffs!$D$11*'Selected forecast drivers'!H61),"")</f>
        <v>0.57246050000000004</v>
      </c>
      <c r="E62" s="219">
        <f>IFERROR((Coeffs!$E$12)+(Coeffs!$E$10*'Selected forecast drivers'!G61)+(Coeffs!$E$11*'Selected forecast drivers'!H61),"")</f>
        <v>0.64670939999999999</v>
      </c>
      <c r="F62" s="220">
        <f t="shared" si="1"/>
        <v>0.60958495000000001</v>
      </c>
      <c r="G62" s="220">
        <f>Controls!$B$14*F62</f>
        <v>0.60958495000000001</v>
      </c>
    </row>
    <row r="64" spans="1:7" x14ac:dyDescent="0.4">
      <c r="D64" s="181"/>
      <c r="E64" s="181"/>
    </row>
    <row r="67" spans="4:5" x14ac:dyDescent="0.4">
      <c r="D67" s="181"/>
      <c r="E67" s="181"/>
    </row>
  </sheetData>
  <mergeCells count="2">
    <mergeCell ref="F6:F7"/>
    <mergeCell ref="G6:G7"/>
  </mergeCells>
  <conditionalFormatting sqref="M8:M20 M23:M24">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8"/>
  <sheetViews>
    <sheetView showGridLines="0" workbookViewId="0"/>
  </sheetViews>
  <sheetFormatPr defaultColWidth="9" defaultRowHeight="13.15" x14ac:dyDescent="0.4"/>
  <cols>
    <col min="1" max="1" width="3.25" style="1" customWidth="1"/>
    <col min="2" max="2" width="2.625" style="19" customWidth="1"/>
    <col min="3" max="3" width="13.5" style="19" customWidth="1"/>
    <col min="4" max="4" width="16.75" style="19" bestFit="1" customWidth="1"/>
    <col min="5" max="5" width="13.125" style="19" customWidth="1"/>
    <col min="6" max="6" width="11.375" style="19" customWidth="1"/>
    <col min="7" max="8" width="12.125" style="19" customWidth="1"/>
    <col min="9" max="9" width="12.625" style="19" customWidth="1"/>
    <col min="10" max="10" width="10.875" style="19" bestFit="1" customWidth="1"/>
    <col min="11" max="11" width="10.875" style="19" customWidth="1"/>
    <col min="12" max="12" width="10.625" style="19" bestFit="1" customWidth="1"/>
    <col min="13" max="13" width="12" style="19" customWidth="1"/>
    <col min="14" max="16384" width="9" style="1"/>
  </cols>
  <sheetData>
    <row r="1" spans="1:16" ht="18" x14ac:dyDescent="0.55000000000000004">
      <c r="A1" s="27"/>
      <c r="B1" s="27" t="s">
        <v>322</v>
      </c>
      <c r="C1" s="27"/>
      <c r="D1" s="27"/>
      <c r="E1" s="27"/>
      <c r="F1" s="27"/>
    </row>
    <row r="2" spans="1:16" x14ac:dyDescent="0.4">
      <c r="B2" s="1"/>
      <c r="C2" s="1"/>
      <c r="D2" s="1"/>
      <c r="E2" s="1"/>
      <c r="F2" s="1"/>
      <c r="G2" s="1"/>
      <c r="H2" s="1"/>
      <c r="I2" s="1"/>
      <c r="J2" s="1"/>
      <c r="K2" s="1"/>
      <c r="L2" s="1"/>
      <c r="M2" s="1"/>
    </row>
    <row r="3" spans="1:16" x14ac:dyDescent="0.4">
      <c r="B3" s="1"/>
      <c r="C3" s="167" t="s">
        <v>36</v>
      </c>
      <c r="D3" s="168" t="s">
        <v>305</v>
      </c>
      <c r="E3" s="169"/>
      <c r="F3" s="169"/>
      <c r="G3" s="169"/>
      <c r="H3" s="169"/>
      <c r="I3" s="169"/>
      <c r="J3" s="1"/>
      <c r="K3" s="1"/>
      <c r="L3" s="1"/>
      <c r="M3" s="1"/>
    </row>
    <row r="4" spans="1:16" x14ac:dyDescent="0.4">
      <c r="B4" s="1"/>
      <c r="C4" s="167" t="s">
        <v>37</v>
      </c>
      <c r="D4" s="168" t="s">
        <v>306</v>
      </c>
      <c r="E4" s="169"/>
      <c r="F4" s="169"/>
      <c r="G4" s="169"/>
      <c r="H4" s="169"/>
      <c r="I4" s="169"/>
      <c r="J4" s="1"/>
      <c r="K4" s="1"/>
      <c r="L4" s="1"/>
      <c r="M4" s="1"/>
    </row>
    <row r="5" spans="1:16" x14ac:dyDescent="0.4">
      <c r="B5" s="1"/>
      <c r="C5" s="167" t="s">
        <v>38</v>
      </c>
      <c r="D5" s="170" t="s">
        <v>296</v>
      </c>
      <c r="E5" s="171"/>
      <c r="F5" s="171"/>
      <c r="G5" s="171"/>
      <c r="H5" s="171"/>
      <c r="I5" s="172"/>
      <c r="J5" s="173"/>
      <c r="K5" s="173"/>
      <c r="L5" s="1"/>
      <c r="M5" s="1"/>
    </row>
    <row r="6" spans="1:16" x14ac:dyDescent="0.4">
      <c r="B6" s="1"/>
      <c r="C6" s="167" t="s">
        <v>39</v>
      </c>
      <c r="D6" s="170" t="s">
        <v>297</v>
      </c>
      <c r="E6" s="171"/>
      <c r="F6" s="171"/>
      <c r="G6" s="171"/>
      <c r="H6" s="171"/>
      <c r="I6" s="174"/>
      <c r="J6" s="1"/>
      <c r="K6" s="1"/>
      <c r="L6" s="1"/>
      <c r="M6" s="1"/>
    </row>
    <row r="7" spans="1:16" x14ac:dyDescent="0.4">
      <c r="B7" s="1"/>
      <c r="C7" s="175" t="s">
        <v>40</v>
      </c>
      <c r="D7" s="176" t="s">
        <v>298</v>
      </c>
      <c r="E7" s="169"/>
      <c r="F7" s="169"/>
      <c r="G7" s="169"/>
      <c r="H7" s="169"/>
      <c r="I7" s="169"/>
      <c r="J7" s="1"/>
      <c r="K7" s="1"/>
      <c r="L7" s="1"/>
      <c r="M7" s="1"/>
    </row>
    <row r="8" spans="1:16" x14ac:dyDescent="0.4">
      <c r="B8" s="1"/>
      <c r="C8" s="1"/>
      <c r="D8" s="1"/>
      <c r="E8" s="1"/>
      <c r="F8" s="1"/>
      <c r="G8" s="1"/>
      <c r="H8" s="1"/>
      <c r="I8" s="1"/>
      <c r="J8" s="1"/>
      <c r="K8" s="1"/>
      <c r="L8" s="1"/>
      <c r="M8" s="1"/>
    </row>
    <row r="9" spans="1:16" x14ac:dyDescent="0.4">
      <c r="B9" s="1"/>
      <c r="C9" s="1"/>
      <c r="D9" s="1"/>
      <c r="E9" s="1"/>
      <c r="F9" s="1"/>
      <c r="G9" s="1"/>
      <c r="H9" s="1"/>
      <c r="I9" s="1"/>
      <c r="J9" s="1"/>
      <c r="K9" s="1"/>
      <c r="L9" s="1"/>
      <c r="M9" s="1"/>
    </row>
    <row r="10" spans="1:16" x14ac:dyDescent="0.4">
      <c r="B10" s="4" t="s">
        <v>41</v>
      </c>
      <c r="C10" s="1"/>
      <c r="D10" s="1"/>
      <c r="E10" s="1"/>
      <c r="F10" s="1"/>
      <c r="G10" s="1"/>
      <c r="H10" s="1"/>
      <c r="I10" s="1"/>
      <c r="J10" s="1"/>
      <c r="K10" s="1"/>
      <c r="L10" s="1"/>
      <c r="M10" s="1"/>
    </row>
    <row r="11" spans="1:16" x14ac:dyDescent="0.4">
      <c r="B11" s="173"/>
      <c r="C11" s="173"/>
      <c r="D11" s="173"/>
      <c r="E11" s="1"/>
      <c r="F11" s="1"/>
      <c r="G11" s="173"/>
      <c r="H11" s="173"/>
      <c r="I11" s="173"/>
      <c r="J11" s="5"/>
      <c r="K11" s="173"/>
      <c r="L11" s="1"/>
      <c r="M11" s="1"/>
    </row>
    <row r="12" spans="1:16" ht="52.5" x14ac:dyDescent="0.4">
      <c r="B12" s="1"/>
      <c r="C12" s="49" t="s">
        <v>5</v>
      </c>
      <c r="D12" s="49" t="s">
        <v>316</v>
      </c>
      <c r="E12" s="49" t="s">
        <v>42</v>
      </c>
      <c r="F12" s="49" t="s">
        <v>43</v>
      </c>
      <c r="G12" s="49" t="s">
        <v>44</v>
      </c>
      <c r="H12" s="49" t="s">
        <v>45</v>
      </c>
      <c r="I12" s="50" t="s">
        <v>46</v>
      </c>
      <c r="J12" s="32" t="s">
        <v>295</v>
      </c>
      <c r="K12" s="49" t="s">
        <v>272</v>
      </c>
      <c r="L12" s="49" t="s">
        <v>273</v>
      </c>
      <c r="M12" s="49" t="s">
        <v>47</v>
      </c>
    </row>
    <row r="13" spans="1:16" x14ac:dyDescent="0.4">
      <c r="B13" s="177">
        <v>1</v>
      </c>
      <c r="C13" s="2" t="s">
        <v>7</v>
      </c>
      <c r="D13" s="215">
        <f>SUMIFS(Data!$D$8:$D$175,Data!$B$8:$B$175,$C13,Data!$C$8:$C$175,"&gt;2020")</f>
        <v>23.367451944924319</v>
      </c>
      <c r="E13" s="215"/>
      <c r="F13" s="215"/>
      <c r="G13" s="215">
        <f>SUMIFS(Data!$E$8:$E$175,Data!$B$8:$B$175,$C13,Data!$C$8:$C$175,"&gt;2020")</f>
        <v>0</v>
      </c>
      <c r="H13" s="215">
        <f>G13+D13</f>
        <v>23.367451944924319</v>
      </c>
      <c r="I13" s="215">
        <f>SUMIFS('Modelled costs'!$G$7:$G$62,'Modelled costs'!$B$7:$B$62,$C13)</f>
        <v>18.942366549999999</v>
      </c>
      <c r="J13" s="216">
        <f>I13</f>
        <v>18.942366549999999</v>
      </c>
      <c r="K13" s="215">
        <v>0</v>
      </c>
      <c r="L13" s="215">
        <f>$J13*$K13</f>
        <v>0</v>
      </c>
      <c r="M13" s="215">
        <f>$J13*(1-$K13)</f>
        <v>18.942366549999999</v>
      </c>
      <c r="N13" s="147"/>
      <c r="O13" s="147"/>
      <c r="P13" s="147"/>
    </row>
    <row r="14" spans="1:16" x14ac:dyDescent="0.4">
      <c r="B14" s="177">
        <v>2</v>
      </c>
      <c r="C14" s="2" t="s">
        <v>19</v>
      </c>
      <c r="D14" s="215">
        <f>SUMIFS(Data!$D$8:$D$175,Data!$B$8:$B$175,$C14,Data!$C$8:$C$175,"&gt;2020")</f>
        <v>2.7442999999999999E-3</v>
      </c>
      <c r="E14" s="215"/>
      <c r="F14" s="215"/>
      <c r="G14" s="215">
        <f>SUMIFS(Data!$E$8:$E$175,Data!$B$8:$B$175,$C14,Data!$C$8:$C$175,"&gt;2020")</f>
        <v>0</v>
      </c>
      <c r="H14" s="215">
        <f t="shared" ref="H14:H23" si="0">G14+D14</f>
        <v>2.7442999999999999E-3</v>
      </c>
      <c r="I14" s="215">
        <f>SUMIFS('Modelled costs'!$G$7:$G$62,'Modelled costs'!$B$7:$B$62,$C14)</f>
        <v>0</v>
      </c>
      <c r="J14" s="216">
        <f t="shared" ref="J14:J23" si="1">MIN(H14,I14)</f>
        <v>0</v>
      </c>
      <c r="K14" s="215">
        <v>0</v>
      </c>
      <c r="L14" s="215">
        <f t="shared" ref="L14:L23" si="2">$J14*$K14</f>
        <v>0</v>
      </c>
      <c r="M14" s="215">
        <f t="shared" ref="M14:M23" si="3">$J14*(1-$K14)</f>
        <v>0</v>
      </c>
      <c r="N14" s="147"/>
      <c r="O14" s="147"/>
      <c r="P14" s="147"/>
    </row>
    <row r="15" spans="1:16" x14ac:dyDescent="0.4">
      <c r="B15" s="177">
        <v>3</v>
      </c>
      <c r="C15" s="2" t="s">
        <v>8</v>
      </c>
      <c r="D15" s="215">
        <f>SUMIFS(Data!$D$8:$D$175,Data!$B$8:$B$175,$C15,Data!$C$8:$C$175,"&gt;2020")</f>
        <v>1</v>
      </c>
      <c r="E15" s="215"/>
      <c r="F15" s="215"/>
      <c r="G15" s="215">
        <f>SUMIFS(Data!$E$8:$E$175,Data!$B$8:$B$175,$C15,Data!$C$8:$C$175,"&gt;2020")</f>
        <v>0</v>
      </c>
      <c r="H15" s="215">
        <f t="shared" si="0"/>
        <v>1</v>
      </c>
      <c r="I15" s="215">
        <f>SUMIFS('Modelled costs'!$G$7:$G$62,'Modelled costs'!$B$7:$B$62,$C15)</f>
        <v>2.6727722500000004</v>
      </c>
      <c r="J15" s="216">
        <f t="shared" si="1"/>
        <v>1</v>
      </c>
      <c r="K15" s="215">
        <v>0</v>
      </c>
      <c r="L15" s="215">
        <f t="shared" si="2"/>
        <v>0</v>
      </c>
      <c r="M15" s="215">
        <f t="shared" si="3"/>
        <v>1</v>
      </c>
      <c r="N15" s="147"/>
      <c r="O15" s="147"/>
      <c r="P15" s="147"/>
    </row>
    <row r="16" spans="1:16" x14ac:dyDescent="0.4">
      <c r="B16" s="177">
        <v>4</v>
      </c>
      <c r="C16" s="2" t="s">
        <v>9</v>
      </c>
      <c r="D16" s="215">
        <f>SUMIFS(Data!$D$8:$D$175,Data!$B$8:$B$175,$C16,Data!$C$8:$C$175,"&gt;2020")</f>
        <v>4.9999999980040002</v>
      </c>
      <c r="E16" s="215"/>
      <c r="F16" s="215"/>
      <c r="G16" s="215">
        <f>SUMIFS(Data!$E$8:$E$175,Data!$B$8:$B$175,$C16,Data!$C$8:$C$175,"&gt;2020")</f>
        <v>0</v>
      </c>
      <c r="H16" s="215">
        <f t="shared" si="0"/>
        <v>4.9999999980040002</v>
      </c>
      <c r="I16" s="215">
        <f>SUMIFS('Modelled costs'!$G$7:$G$62,'Modelled costs'!$B$7:$B$62,$C16)</f>
        <v>3.3081277499999997</v>
      </c>
      <c r="J16" s="216">
        <f t="shared" si="1"/>
        <v>3.3081277499999997</v>
      </c>
      <c r="K16" s="215">
        <v>0</v>
      </c>
      <c r="L16" s="215">
        <f t="shared" si="2"/>
        <v>0</v>
      </c>
      <c r="M16" s="215">
        <f t="shared" si="3"/>
        <v>3.3081277499999997</v>
      </c>
      <c r="N16" s="147"/>
      <c r="O16" s="147"/>
      <c r="P16" s="147"/>
    </row>
    <row r="17" spans="2:16" x14ac:dyDescent="0.4">
      <c r="B17" s="177">
        <v>5</v>
      </c>
      <c r="C17" s="2" t="s">
        <v>10</v>
      </c>
      <c r="D17" s="215">
        <f>SUMIFS(Data!$D$8:$D$175,Data!$B$8:$B$175,$C17,Data!$C$8:$C$175,"&gt;2020")</f>
        <v>4.577</v>
      </c>
      <c r="E17" s="215"/>
      <c r="F17" s="215"/>
      <c r="G17" s="215">
        <f>SUMIFS(Data!$E$8:$E$175,Data!$B$8:$B$175,$C17,Data!$C$8:$C$175,"&gt;2020")</f>
        <v>0</v>
      </c>
      <c r="H17" s="215">
        <f t="shared" si="0"/>
        <v>4.577</v>
      </c>
      <c r="I17" s="215">
        <f>SUMIFS('Modelled costs'!$G$7:$G$62,'Modelled costs'!$B$7:$B$62,$C17)</f>
        <v>4.789348949999999</v>
      </c>
      <c r="J17" s="216">
        <f t="shared" si="1"/>
        <v>4.577</v>
      </c>
      <c r="K17" s="215">
        <v>0</v>
      </c>
      <c r="L17" s="215">
        <f t="shared" si="2"/>
        <v>0</v>
      </c>
      <c r="M17" s="215">
        <f t="shared" si="3"/>
        <v>4.577</v>
      </c>
      <c r="N17" s="147"/>
      <c r="O17" s="147"/>
      <c r="P17" s="147"/>
    </row>
    <row r="18" spans="2:16" x14ac:dyDescent="0.4">
      <c r="B18" s="177">
        <v>6</v>
      </c>
      <c r="C18" s="2" t="s">
        <v>18</v>
      </c>
      <c r="D18" s="215">
        <f>SUMIFS(Data!$D$8:$D$175,Data!$B$8:$B$175,$C18,Data!$C$8:$C$175,"&gt;2020")</f>
        <v>16.91</v>
      </c>
      <c r="E18" s="215"/>
      <c r="F18" s="215"/>
      <c r="G18" s="215">
        <f>SUMIFS(Data!$E$8:$E$175,Data!$B$8:$B$175,$C18,Data!$C$8:$C$175,"&gt;2020")</f>
        <v>0</v>
      </c>
      <c r="H18" s="215">
        <f t="shared" si="0"/>
        <v>16.91</v>
      </c>
      <c r="I18" s="215">
        <f>SUMIFS('Modelled costs'!$G$7:$G$62,'Modelled costs'!$B$7:$B$62,$C18)</f>
        <v>12.50363825</v>
      </c>
      <c r="J18" s="216">
        <f t="shared" si="1"/>
        <v>12.50363825</v>
      </c>
      <c r="K18" s="215">
        <v>0</v>
      </c>
      <c r="L18" s="215">
        <f t="shared" si="2"/>
        <v>0</v>
      </c>
      <c r="M18" s="215">
        <f t="shared" si="3"/>
        <v>12.50363825</v>
      </c>
      <c r="N18" s="147"/>
      <c r="O18" s="147"/>
      <c r="P18" s="147"/>
    </row>
    <row r="19" spans="2:16" x14ac:dyDescent="0.4">
      <c r="B19" s="177">
        <v>7</v>
      </c>
      <c r="C19" s="2" t="s">
        <v>13</v>
      </c>
      <c r="D19" s="215">
        <f>SUMIFS(Data!$D$8:$D$175,Data!$B$8:$B$175,$C19,Data!$C$8:$C$175,"&gt;2020")</f>
        <v>0.99199999999999999</v>
      </c>
      <c r="E19" s="215"/>
      <c r="F19" s="215"/>
      <c r="G19" s="215">
        <f>SUMIFS(Data!$E$8:$E$175,Data!$B$8:$B$175,$C19,Data!$C$8:$C$175,"&gt;2020")</f>
        <v>0</v>
      </c>
      <c r="H19" s="215">
        <f t="shared" si="0"/>
        <v>0.99199999999999999</v>
      </c>
      <c r="I19" s="215">
        <f>SUMIFS('Modelled costs'!$G$7:$G$62,'Modelled costs'!$B$7:$B$62,$C19)</f>
        <v>3.9424576499999997</v>
      </c>
      <c r="J19" s="216">
        <f t="shared" si="1"/>
        <v>0.99199999999999999</v>
      </c>
      <c r="K19" s="215">
        <v>0</v>
      </c>
      <c r="L19" s="215">
        <f t="shared" si="2"/>
        <v>0</v>
      </c>
      <c r="M19" s="215">
        <f t="shared" si="3"/>
        <v>0.99199999999999999</v>
      </c>
      <c r="N19" s="147"/>
      <c r="O19" s="147"/>
      <c r="P19" s="147"/>
    </row>
    <row r="20" spans="2:16" x14ac:dyDescent="0.4">
      <c r="B20" s="177">
        <v>8</v>
      </c>
      <c r="C20" s="2" t="s">
        <v>14</v>
      </c>
      <c r="D20" s="215">
        <f>SUMIFS(Data!$D$8:$D$175,Data!$B$8:$B$175,$C20,Data!$C$8:$C$175,"&gt;2020")</f>
        <v>8.6707624001999992</v>
      </c>
      <c r="E20" s="215"/>
      <c r="F20" s="215"/>
      <c r="G20" s="215">
        <f>SUMIFS(Data!$E$8:$E$175,Data!$B$8:$B$175,$C20,Data!$C$8:$C$175,"&gt;2020")</f>
        <v>0</v>
      </c>
      <c r="H20" s="215">
        <f t="shared" si="0"/>
        <v>8.6707624001999992</v>
      </c>
      <c r="I20" s="215">
        <f>SUMIFS('Modelled costs'!$G$7:$G$62,'Modelled costs'!$B$7:$B$62,$C20)</f>
        <v>3.15242595</v>
      </c>
      <c r="J20" s="216">
        <f t="shared" si="1"/>
        <v>3.15242595</v>
      </c>
      <c r="K20" s="215">
        <v>0</v>
      </c>
      <c r="L20" s="215">
        <f t="shared" si="2"/>
        <v>0</v>
      </c>
      <c r="M20" s="215">
        <f t="shared" si="3"/>
        <v>3.15242595</v>
      </c>
      <c r="N20" s="147"/>
      <c r="O20" s="147"/>
      <c r="P20" s="147"/>
    </row>
    <row r="21" spans="2:16" x14ac:dyDescent="0.4">
      <c r="B21" s="177">
        <v>9</v>
      </c>
      <c r="C21" s="2" t="s">
        <v>15</v>
      </c>
      <c r="D21" s="215">
        <f>SUMIFS(Data!$D$8:$D$175,Data!$B$8:$B$175,$C21,Data!$C$8:$C$175,"&gt;2020")</f>
        <v>5.8720000000000008</v>
      </c>
      <c r="E21" s="215"/>
      <c r="F21" s="215"/>
      <c r="G21" s="215">
        <f>SUMIFS(Data!$E$8:$E$175,Data!$B$8:$B$175,$C21,Data!$C$8:$C$175,"&gt;2020")</f>
        <v>0</v>
      </c>
      <c r="H21" s="215">
        <f t="shared" si="0"/>
        <v>5.8720000000000008</v>
      </c>
      <c r="I21" s="215">
        <f>SUMIFS('Modelled costs'!$G$7:$G$62,'Modelled costs'!$B$7:$B$62,$C21)</f>
        <v>4.2646788500000001</v>
      </c>
      <c r="J21" s="216">
        <f t="shared" si="1"/>
        <v>4.2646788500000001</v>
      </c>
      <c r="K21" s="215">
        <v>0</v>
      </c>
      <c r="L21" s="215">
        <f t="shared" si="2"/>
        <v>0</v>
      </c>
      <c r="M21" s="215">
        <f t="shared" si="3"/>
        <v>4.2646788500000001</v>
      </c>
      <c r="N21" s="147"/>
      <c r="O21" s="147"/>
      <c r="P21" s="147"/>
    </row>
    <row r="22" spans="2:16" x14ac:dyDescent="0.4">
      <c r="B22" s="177">
        <v>10</v>
      </c>
      <c r="C22" s="2" t="s">
        <v>16</v>
      </c>
      <c r="D22" s="215">
        <f>SUMIFS(Data!$D$8:$D$175,Data!$B$8:$B$175,$C22,Data!$C$8:$C$175,"&gt;2020")</f>
        <v>5.2788461538461497</v>
      </c>
      <c r="E22" s="215"/>
      <c r="F22" s="215"/>
      <c r="G22" s="215">
        <f>SUMIFS(Data!$E$8:$E$175,Data!$B$8:$B$175,$C22,Data!$C$8:$C$175,"&gt;2020")</f>
        <v>0</v>
      </c>
      <c r="H22" s="215">
        <f t="shared" si="0"/>
        <v>5.2788461538461497</v>
      </c>
      <c r="I22" s="215">
        <f>SUMIFS('Modelled costs'!$G$7:$G$62,'Modelled costs'!$B$7:$B$62,$C22)</f>
        <v>3.7882301500000004</v>
      </c>
      <c r="J22" s="216">
        <f t="shared" si="1"/>
        <v>3.7882301500000004</v>
      </c>
      <c r="K22" s="215">
        <v>0</v>
      </c>
      <c r="L22" s="215">
        <f t="shared" si="2"/>
        <v>0</v>
      </c>
      <c r="M22" s="215">
        <f t="shared" si="3"/>
        <v>3.7882301500000004</v>
      </c>
      <c r="N22" s="147"/>
      <c r="O22" s="147"/>
      <c r="P22" s="147"/>
    </row>
    <row r="23" spans="2:16" x14ac:dyDescent="0.4">
      <c r="B23" s="177">
        <v>11</v>
      </c>
      <c r="C23" s="2" t="s">
        <v>17</v>
      </c>
      <c r="D23" s="215">
        <f>SUMIFS(Data!$D$8:$D$175,Data!$B$8:$B$175,$C23,Data!$C$8:$C$175,"&gt;2020")</f>
        <v>0.96800000000000019</v>
      </c>
      <c r="E23" s="215"/>
      <c r="F23" s="215"/>
      <c r="G23" s="215">
        <f>SUMIFS(Data!$E$8:$E$175,Data!$B$8:$B$175,$C23,Data!$C$8:$C$175,"&gt;2020")</f>
        <v>0</v>
      </c>
      <c r="H23" s="215">
        <f t="shared" si="0"/>
        <v>0.96800000000000019</v>
      </c>
      <c r="I23" s="215">
        <f>SUMIFS('Modelled costs'!$G$7:$G$62,'Modelled costs'!$B$7:$B$62,$C23)</f>
        <v>3.04792475</v>
      </c>
      <c r="J23" s="216">
        <f t="shared" si="1"/>
        <v>0.96800000000000019</v>
      </c>
      <c r="K23" s="215">
        <v>0</v>
      </c>
      <c r="L23" s="215">
        <f t="shared" si="2"/>
        <v>0</v>
      </c>
      <c r="M23" s="215">
        <f t="shared" si="3"/>
        <v>0.96800000000000019</v>
      </c>
      <c r="N23" s="147"/>
      <c r="O23" s="147"/>
      <c r="P23" s="147"/>
    </row>
    <row r="24" spans="2:16" x14ac:dyDescent="0.4">
      <c r="B24" s="1"/>
      <c r="C24" s="178" t="s">
        <v>29</v>
      </c>
      <c r="D24" s="217">
        <f t="shared" ref="D24:J24" si="4">SUM(D13:D23)</f>
        <v>72.638804796974469</v>
      </c>
      <c r="E24" s="217">
        <f t="shared" si="4"/>
        <v>0</v>
      </c>
      <c r="F24" s="217">
        <f t="shared" si="4"/>
        <v>0</v>
      </c>
      <c r="G24" s="217">
        <f t="shared" si="4"/>
        <v>0</v>
      </c>
      <c r="H24" s="217">
        <f t="shared" si="4"/>
        <v>72.638804796974469</v>
      </c>
      <c r="I24" s="217">
        <f t="shared" si="4"/>
        <v>60.411971100000009</v>
      </c>
      <c r="J24" s="218">
        <f t="shared" si="4"/>
        <v>53.496467500000008</v>
      </c>
      <c r="K24" s="217"/>
      <c r="L24" s="217">
        <f>SUM(L13:L23)</f>
        <v>0</v>
      </c>
      <c r="M24" s="217">
        <f>SUM(M13:M23)</f>
        <v>53.496467500000008</v>
      </c>
      <c r="N24" s="147"/>
      <c r="O24" s="147"/>
      <c r="P24" s="147"/>
    </row>
    <row r="25" spans="2:16" x14ac:dyDescent="0.4">
      <c r="B25" s="1"/>
      <c r="C25" s="1"/>
      <c r="D25" s="1"/>
      <c r="E25" s="1"/>
      <c r="F25" s="1"/>
      <c r="G25" s="1"/>
      <c r="H25" s="1"/>
      <c r="I25" s="1"/>
      <c r="J25" s="1"/>
      <c r="K25" s="1"/>
      <c r="L25" s="1"/>
      <c r="M25" s="1"/>
    </row>
    <row r="26" spans="2:16" x14ac:dyDescent="0.4">
      <c r="B26" s="1"/>
      <c r="C26" s="1"/>
      <c r="D26" s="1"/>
      <c r="E26" s="1"/>
      <c r="F26" s="1"/>
      <c r="G26" s="1"/>
      <c r="H26" s="1"/>
      <c r="I26" s="1"/>
      <c r="J26" s="1"/>
      <c r="K26" s="1"/>
      <c r="L26" s="1"/>
      <c r="M26" s="1"/>
    </row>
    <row r="27" spans="2:16" x14ac:dyDescent="0.4">
      <c r="B27" s="1"/>
      <c r="C27" s="1"/>
      <c r="D27" s="1"/>
      <c r="E27" s="1"/>
      <c r="F27" s="1"/>
      <c r="G27" s="1"/>
      <c r="H27" s="1"/>
      <c r="I27" s="1"/>
      <c r="J27" s="1"/>
      <c r="K27" s="1"/>
      <c r="L27" s="1"/>
      <c r="M27" s="1"/>
    </row>
    <row r="28" spans="2:16" x14ac:dyDescent="0.4">
      <c r="D28" s="182"/>
      <c r="E28" s="182"/>
      <c r="F28" s="182"/>
      <c r="G28" s="182"/>
      <c r="H28" s="182"/>
      <c r="I28" s="182"/>
      <c r="J28" s="182"/>
      <c r="K28" s="182"/>
      <c r="L28" s="182"/>
      <c r="M28" s="182"/>
    </row>
  </sheetData>
  <dataValidations count="1">
    <dataValidation type="list" allowBlank="1" showInputMessage="1" showErrorMessage="1" sqref="D7:I7">
      <formula1>"Wholesale water, Wholesale wastewater"</formula1>
    </dataValidation>
  </dataValidations>
  <pageMargins left="0.7" right="0.7" top="0.75" bottom="0.75" header="0.3" footer="0.3"/>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Controls</vt:lpstr>
      <vt:lpstr>Data</vt:lpstr>
      <vt:lpstr>Coeffs</vt:lpstr>
      <vt:lpstr>Forecast drivers</vt:lpstr>
      <vt:lpstr>Selected forecast drivers</vt:lpstr>
      <vt:lpstr>Modelled unit costs</vt:lpstr>
      <vt:lpstr>Modelled costs</vt:lpstr>
      <vt:lpstr>Allowance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2019-01-24T10:20:38Z</dcterms:created>
  <dcterms:modified xsi:type="dcterms:W3CDTF">2019-01-28T17:25:33Z</dcterms:modified>
</cp:coreProperties>
</file>