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23040" windowHeight="10480" tabRatio="837"/>
  </bookViews>
  <sheets>
    <sheet name="Cover" sheetId="22" r:id="rId1"/>
    <sheet name="Data" sheetId="41" r:id="rId2"/>
    <sheet name="Analysis" sheetId="66" r:id="rId3"/>
    <sheet name="Allowance" sheetId="87" r:id="rId4"/>
  </sheets>
  <calcPr calcId="152511"/>
</workbook>
</file>

<file path=xl/calcChain.xml><?xml version="1.0" encoding="utf-8"?>
<calcChain xmlns="http://schemas.openxmlformats.org/spreadsheetml/2006/main">
  <c r="G20" i="87" l="1"/>
  <c r="G22" i="87"/>
  <c r="G19" i="87"/>
  <c r="G23" i="87"/>
  <c r="G15" i="87"/>
  <c r="G16" i="87"/>
  <c r="F24" i="87"/>
  <c r="G21" i="87"/>
  <c r="G14" i="87"/>
  <c r="G18" i="87"/>
  <c r="G17" i="87"/>
  <c r="G13" i="87"/>
  <c r="E24" i="87"/>
  <c r="G24" i="87" l="1"/>
  <c r="D14" i="87" l="1"/>
  <c r="D15" i="87"/>
  <c r="D16" i="87"/>
  <c r="D17" i="87"/>
  <c r="D18" i="87"/>
  <c r="D19" i="87"/>
  <c r="D20" i="87"/>
  <c r="D21" i="87"/>
  <c r="D22" i="87"/>
  <c r="D23" i="87"/>
  <c r="D13" i="87"/>
  <c r="K24" i="87" l="1"/>
  <c r="A56" i="41" l="1"/>
  <c r="A61" i="41"/>
  <c r="A57" i="41"/>
  <c r="A62" i="41" l="1"/>
  <c r="A58" i="41"/>
  <c r="A63" i="41" l="1"/>
  <c r="A59" i="41"/>
  <c r="A60" i="41"/>
  <c r="A65" i="41" l="1"/>
  <c r="A64" i="41"/>
  <c r="H18" i="87" l="1"/>
  <c r="E11" i="66" s="1"/>
  <c r="H14" i="87"/>
  <c r="E7" i="66" s="1"/>
  <c r="H23" i="87" l="1"/>
  <c r="E16" i="66" s="1"/>
  <c r="H15" i="87"/>
  <c r="E8" i="66" s="1"/>
  <c r="H22" i="87"/>
  <c r="E15" i="66" s="1"/>
  <c r="H17" i="87"/>
  <c r="E10" i="66" s="1"/>
  <c r="C17" i="66" l="1"/>
  <c r="H20" i="87"/>
  <c r="E13" i="66" s="1"/>
  <c r="H19" i="87"/>
  <c r="E12" i="66" s="1"/>
  <c r="H16" i="87"/>
  <c r="E9" i="66" s="1"/>
  <c r="H21" i="87"/>
  <c r="E14" i="66" s="1"/>
  <c r="F15" i="66" l="1"/>
  <c r="F7" i="66"/>
  <c r="F16" i="66"/>
  <c r="D24" i="87" l="1"/>
  <c r="F8" i="66"/>
  <c r="F10" i="66"/>
  <c r="F11" i="66"/>
  <c r="F13" i="66"/>
  <c r="F14" i="66"/>
  <c r="F9" i="66" l="1"/>
  <c r="F12" i="66"/>
  <c r="H13" i="87" l="1"/>
  <c r="E6" i="66" l="1"/>
  <c r="H24" i="87"/>
  <c r="E17" i="66" l="1"/>
  <c r="K6" i="66" s="1"/>
  <c r="F6" i="66"/>
  <c r="M6" i="66" l="1"/>
  <c r="G6" i="66" s="1"/>
  <c r="N6" i="66"/>
  <c r="F17" i="66"/>
  <c r="L6" i="66"/>
  <c r="G17" i="66" l="1"/>
  <c r="H12" i="66"/>
  <c r="I19" i="87" s="1"/>
  <c r="J19" i="87" s="1"/>
  <c r="G10" i="66"/>
  <c r="G8" i="66"/>
  <c r="H7" i="66"/>
  <c r="I14" i="87" s="1"/>
  <c r="J14" i="87" s="1"/>
  <c r="G14" i="66"/>
  <c r="H16" i="66"/>
  <c r="I23" i="87" s="1"/>
  <c r="J23" i="87" s="1"/>
  <c r="H13" i="66"/>
  <c r="I20" i="87" s="1"/>
  <c r="J20" i="87" s="1"/>
  <c r="H10" i="66"/>
  <c r="I17" i="87" s="1"/>
  <c r="J17" i="87" s="1"/>
  <c r="H15" i="66"/>
  <c r="I22" i="87" s="1"/>
  <c r="J22" i="87" s="1"/>
  <c r="G13" i="66"/>
  <c r="G11" i="66"/>
  <c r="H8" i="66"/>
  <c r="I15" i="87" s="1"/>
  <c r="J15" i="87" s="1"/>
  <c r="H14" i="66"/>
  <c r="I21" i="87" s="1"/>
  <c r="J21" i="87" s="1"/>
  <c r="G7" i="66"/>
  <c r="G15" i="66"/>
  <c r="G9" i="66"/>
  <c r="G12" i="66"/>
  <c r="G16" i="66"/>
  <c r="H11" i="66"/>
  <c r="I18" i="87" s="1"/>
  <c r="J18" i="87" s="1"/>
  <c r="H6" i="66"/>
  <c r="H9" i="66"/>
  <c r="I16" i="87" s="1"/>
  <c r="J16" i="87" s="1"/>
  <c r="M18" i="87" l="1"/>
  <c r="L18" i="87"/>
  <c r="L20" i="87"/>
  <c r="M20" i="87"/>
  <c r="M23" i="87"/>
  <c r="L23" i="87"/>
  <c r="L21" i="87"/>
  <c r="M21" i="87"/>
  <c r="M22" i="87"/>
  <c r="L22" i="87"/>
  <c r="L19" i="87"/>
  <c r="M19" i="87"/>
  <c r="M16" i="87"/>
  <c r="L16" i="87"/>
  <c r="H17" i="66"/>
  <c r="I13" i="87"/>
  <c r="M15" i="87"/>
  <c r="L15" i="87"/>
  <c r="L17" i="87"/>
  <c r="M17" i="87"/>
  <c r="M14" i="87"/>
  <c r="L14" i="87"/>
  <c r="I24" i="87" l="1"/>
  <c r="J13" i="87"/>
  <c r="M13" i="87" l="1"/>
  <c r="M24" i="87" s="1"/>
  <c r="J24" i="87"/>
  <c r="L13" i="87"/>
  <c r="L24" i="87" s="1"/>
</calcChain>
</file>

<file path=xl/sharedStrings.xml><?xml version="1.0" encoding="utf-8"?>
<sst xmlns="http://schemas.openxmlformats.org/spreadsheetml/2006/main" count="253" uniqueCount="125">
  <si>
    <t>codecombine</t>
  </si>
  <si>
    <t>companycode</t>
  </si>
  <si>
    <t>financialyear</t>
  </si>
  <si>
    <t>ANH</t>
  </si>
  <si>
    <t>NES</t>
  </si>
  <si>
    <t>NWT</t>
  </si>
  <si>
    <t>SRN</t>
  </si>
  <si>
    <t>SVT</t>
  </si>
  <si>
    <t>SWB</t>
  </si>
  <si>
    <t>TMS</t>
  </si>
  <si>
    <t>WSH</t>
  </si>
  <si>
    <t>WSX</t>
  </si>
  <si>
    <t>YKY</t>
  </si>
  <si>
    <t>Company</t>
  </si>
  <si>
    <t>Assessor's name</t>
  </si>
  <si>
    <t>Control</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</si>
  <si>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</si>
  <si>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</si>
  <si>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</si>
  <si>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</si>
  <si>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</si>
  <si>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</si>
  <si>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</si>
  <si>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</si>
  <si>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</si>
  <si>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</si>
  <si>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</si>
  <si>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</si>
  <si>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</si>
  <si>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</si>
  <si>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</si>
  <si>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</si>
  <si>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</si>
  <si>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</si>
  <si>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</si>
  <si>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</si>
  <si>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</si>
  <si>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</si>
  <si>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</si>
  <si>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</si>
  <si>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</si>
  <si>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</si>
  <si>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</si>
  <si>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</si>
  <si>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</si>
  <si>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</si>
  <si>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</si>
  <si>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</si>
  <si>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</si>
  <si>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</si>
  <si>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</si>
  <si>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</si>
  <si>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</si>
  <si>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</si>
  <si>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</si>
  <si>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</si>
  <si>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</si>
  <si>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</si>
  <si>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</si>
  <si>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</si>
  <si>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</si>
  <si>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</si>
  <si>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</si>
  <si>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</si>
  <si>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</si>
  <si>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</si>
  <si>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t>
  </si>
  <si>
    <t>HDD</t>
  </si>
  <si>
    <t>Industry average unit cost</t>
  </si>
  <si>
    <t>Industry median unit cost</t>
  </si>
  <si>
    <t>Cover sheet</t>
  </si>
  <si>
    <t>S3040TCAS</t>
  </si>
  <si>
    <t>S3006CAS</t>
  </si>
  <si>
    <t>realS3006CAS</t>
  </si>
  <si>
    <t>Wholesale wastewater</t>
  </si>
  <si>
    <t>stwm001</t>
  </si>
  <si>
    <t>cost per scheme 2020-2025</t>
  </si>
  <si>
    <t>variance from median forecast unit cost</t>
  </si>
  <si>
    <t>Median company</t>
  </si>
  <si>
    <t>significantly below LQ</t>
  </si>
  <si>
    <t xml:space="preserve">one of the highest company unit costs, significantly above UQ. </t>
  </si>
  <si>
    <t>Data</t>
  </si>
  <si>
    <t>below median</t>
  </si>
  <si>
    <t>above UQ</t>
  </si>
  <si>
    <t xml:space="preserve">Allowed costs </t>
  </si>
  <si>
    <t>Peer review (initials, date)</t>
  </si>
  <si>
    <t>BoN code</t>
  </si>
  <si>
    <t>Enhancement line</t>
  </si>
  <si>
    <t>Cost allowance for AMP7 (£m)</t>
  </si>
  <si>
    <t>Capex allowed - network plus</t>
  </si>
  <si>
    <t>Total</t>
  </si>
  <si>
    <t>Capex reallocated out to other lines</t>
  </si>
  <si>
    <t>Capex reallocated in to this line</t>
  </si>
  <si>
    <t>Net Capex reallocated in</t>
  </si>
  <si>
    <t>Capex allowed - wholesale wastewater</t>
  </si>
  <si>
    <t>Capex in business plan - wholesale wastewater</t>
  </si>
  <si>
    <t>Proportion of Bioresources</t>
  </si>
  <si>
    <t>Capex allowed - Bioresources</t>
  </si>
  <si>
    <t xml:space="preserve">above median </t>
  </si>
  <si>
    <t>comments on requested capex</t>
  </si>
  <si>
    <t>Revised (modelled) Capex allowance, £m</t>
  </si>
  <si>
    <t>Year</t>
  </si>
  <si>
    <t>Code</t>
  </si>
  <si>
    <t>Flow monitoring at sewage treatment works - capex</t>
  </si>
  <si>
    <t>Wholesale wastewater totex (£m)</t>
  </si>
  <si>
    <t>Number of monitors for flow monitoring at STWs</t>
  </si>
  <si>
    <t>Number of schemes - Company view from WWS4 line 6</t>
  </si>
  <si>
    <t>Requested Company Capex £m (including any reallocations)</t>
  </si>
  <si>
    <t>Above median and just below UQ unit cost. EDM capex has been reallocated to WWS2 line 6.  Note also that the number of schemes has been adjusted down from 247 to 240 following the query response reallocation.</t>
  </si>
  <si>
    <t>No entries in WINEP. 15 schemes for £131k therefore significantly below LQ costs</t>
  </si>
  <si>
    <t>Just below median cost.  Table commentary appears to be inconsistent with WWS4, suggesting 429 schemes, but this is close enough to our view.</t>
  </si>
  <si>
    <t>Highest unit cost. Significantly above UQ. Concerns that their number of schemes is incorrect.</t>
  </si>
  <si>
    <t>AMP7 Companies' forecasts</t>
  </si>
  <si>
    <t>Industry LQ unit cost</t>
  </si>
  <si>
    <t>Industry UQ unit cost</t>
  </si>
  <si>
    <t>JS</t>
  </si>
  <si>
    <t>MG 22/01/2019</t>
  </si>
  <si>
    <t>2021</t>
  </si>
  <si>
    <t>2022</t>
  </si>
  <si>
    <t>2023</t>
  </si>
  <si>
    <t>2024</t>
  </si>
  <si>
    <t>2025</t>
  </si>
  <si>
    <t>Capex after reallocations</t>
  </si>
  <si>
    <t>Modelled allowance</t>
  </si>
  <si>
    <t>Analysis - flow monitoring at STWs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</si>
</sst>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00"/>
    <numFmt numFmtId="166" formatCode="#,##0_);\(#,##0\);&quot;-  &quot;;&quot; &quot;@&quot; &quot;"/>
    <numFmt numFmtId="167" formatCode="&quot;£&quot;#,##0.00"/>
    <numFmt numFmtId="168" formatCode="_-* #,##0.000_-;\-* #,##0.000_-;_-* &quot;-&quot;??_-;_-@_-"/>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sz val="11"/>
      <color rgb="FFFF0000"/>
      <name val="Calibri"/>
      <family val="2"/>
      <scheme val="minor"/>
    </font>
    <font>
      <sz val="9"/>
      <color theme="1"/>
      <name val="Calibri"/>
      <family val="2"/>
      <scheme val="minor"/>
    </font>
    <font>
      <b/>
      <sz val="14"/>
      <color theme="1"/>
      <name val="Calibri"/>
      <family val="2"/>
      <scheme val="minor"/>
    </font>
    <font>
      <sz val="10"/>
      <color theme="1"/>
      <name val="Calibri"/>
      <family val="2"/>
      <scheme val="minor"/>
    </font>
    <font>
      <b/>
      <sz val="11"/>
      <color theme="1"/>
      <name val="Calibri"/>
      <family val="2"/>
      <scheme val="minor"/>
    </font>
    <font>
      <sz val="11"/>
      <color theme="0" tint="-0.249977111117893"/>
      <name val="Calibri"/>
      <family val="2"/>
      <scheme val="minor"/>
    </font>
    <font>
      <i/>
      <sz val="11"/>
      <color rgb="FF7F7F7F"/>
      <name val="Arial"/>
      <family val="2"/>
    </font>
    <font>
      <sz val="10"/>
      <color rgb="FFFF0000"/>
      <name val="Calibri"/>
      <family val="2"/>
      <scheme val="minor"/>
    </font>
    <font>
      <b/>
      <sz val="10"/>
      <color theme="1"/>
      <name val="Calibri"/>
      <family val="2"/>
      <scheme val="minor"/>
    </font>
    <font>
      <b/>
      <sz val="12"/>
      <color theme="1"/>
      <name val="Calibri"/>
      <family val="2"/>
      <scheme val="minor"/>
    </font>
    <font>
      <sz val="10"/>
      <name val="Calibri"/>
      <family val="2"/>
      <scheme val="minor"/>
    </font>
    <font>
      <i/>
      <sz val="10"/>
      <color rgb="FF7F7F7F"/>
      <name val="Calibri"/>
      <family val="2"/>
      <scheme val="minor"/>
    </font>
    <font>
      <b/>
      <sz val="10"/>
      <name val="Calibri"/>
      <family val="2"/>
      <scheme val="minor"/>
    </font>
    <font>
      <sz val="12"/>
      <color theme="3"/>
      <name val="Calibri"/>
      <family val="2"/>
      <scheme val="minor"/>
    </font>
  </fonts>
  <fills count="8">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1">
    <xf numFmtId="0" fontId="0" fillId="0" borderId="0"/>
    <xf numFmtId="0" fontId="9" fillId="0" borderId="0"/>
    <xf numFmtId="0" fontId="8" fillId="0" borderId="0"/>
    <xf numFmtId="0" fontId="10" fillId="0" borderId="0"/>
    <xf numFmtId="0" fontId="11" fillId="0" borderId="0"/>
    <xf numFmtId="0" fontId="7" fillId="0" borderId="0"/>
    <xf numFmtId="164" fontId="11" fillId="0" borderId="0" applyFont="0" applyFill="0" applyBorder="0" applyAlignment="0" applyProtection="0"/>
    <xf numFmtId="0" fontId="6" fillId="0" borderId="0"/>
    <xf numFmtId="166" fontId="5" fillId="0" borderId="0" applyFont="0" applyFill="0" applyBorder="0" applyProtection="0">
      <alignment vertical="top"/>
    </xf>
    <xf numFmtId="0" fontId="11" fillId="0" borderId="0"/>
    <xf numFmtId="164" fontId="11" fillId="0" borderId="0" applyFont="0" applyFill="0" applyBorder="0" applyAlignment="0" applyProtection="0"/>
    <xf numFmtId="0" fontId="4" fillId="0" borderId="0"/>
    <xf numFmtId="0" fontId="3" fillId="0" borderId="0"/>
    <xf numFmtId="0" fontId="3" fillId="0" borderId="0"/>
    <xf numFmtId="164" fontId="11" fillId="0" borderId="0" applyFont="0" applyFill="0" applyBorder="0" applyAlignment="0" applyProtection="0"/>
    <xf numFmtId="0" fontId="11" fillId="0" borderId="0"/>
    <xf numFmtId="0" fontId="2" fillId="0" borderId="0"/>
    <xf numFmtId="0" fontId="18"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0" borderId="0" xfId="0" applyAlignment="1">
      <alignment horizontal="center"/>
    </xf>
    <xf numFmtId="0" fontId="15" fillId="0" borderId="0" xfId="0" applyFont="1"/>
    <xf numFmtId="0" fontId="15" fillId="0" borderId="1" xfId="0" applyFont="1" applyBorder="1" applyAlignment="1">
      <alignment vertical="center"/>
    </xf>
    <xf numFmtId="2" fontId="13" fillId="0" borderId="0" xfId="0" applyNumberFormat="1" applyFont="1" applyFill="1" applyBorder="1" applyAlignment="1">
      <alignment vertical="center" wrapText="1"/>
    </xf>
    <xf numFmtId="0" fontId="0" fillId="0" borderId="0" xfId="0" applyBorder="1"/>
    <xf numFmtId="0" fontId="16" fillId="4" borderId="1" xfId="0" applyFont="1" applyFill="1" applyBorder="1" applyAlignment="1">
      <alignment horizontal="center" wrapText="1"/>
    </xf>
    <xf numFmtId="1" fontId="0" fillId="0" borderId="1" xfId="0" applyNumberFormat="1" applyFill="1" applyBorder="1" applyAlignment="1">
      <alignment horizontal="center" vertical="center"/>
    </xf>
    <xf numFmtId="0" fontId="0" fillId="0" borderId="2" xfId="0" applyBorder="1" applyAlignment="1">
      <alignment horizontal="center" vertical="center"/>
    </xf>
    <xf numFmtId="167" fontId="0" fillId="0" borderId="0" xfId="0" applyNumberFormat="1" applyAlignment="1">
      <alignment horizontal="center"/>
    </xf>
    <xf numFmtId="1" fontId="0" fillId="0" borderId="1" xfId="0" applyNumberFormat="1" applyFont="1" applyBorder="1" applyAlignment="1">
      <alignment horizontal="center" vertical="center"/>
    </xf>
    <xf numFmtId="167" fontId="0" fillId="0" borderId="3"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center" vertical="center"/>
    </xf>
    <xf numFmtId="0" fontId="0" fillId="0" borderId="0" xfId="0" applyFill="1" applyBorder="1"/>
    <xf numFmtId="0" fontId="12" fillId="0" borderId="0" xfId="0" applyFont="1" applyFill="1" applyBorder="1"/>
    <xf numFmtId="0" fontId="17" fillId="0" borderId="0" xfId="0" applyFont="1"/>
    <xf numFmtId="0" fontId="17" fillId="0" borderId="0" xfId="0" applyFont="1" applyAlignment="1">
      <alignment horizontal="center"/>
    </xf>
    <xf numFmtId="0" fontId="12" fillId="0" borderId="0" xfId="0" applyFont="1" applyFill="1" applyBorder="1" applyAlignment="1">
      <alignment horizontal="center"/>
    </xf>
    <xf numFmtId="0" fontId="12" fillId="0" borderId="0" xfId="0" applyFont="1"/>
    <xf numFmtId="0" fontId="12" fillId="0" borderId="0" xfId="0" applyFont="1" applyAlignment="1">
      <alignment horizontal="center" vertical="center"/>
    </xf>
    <xf numFmtId="0" fontId="12" fillId="0" borderId="0" xfId="0" applyFont="1" applyFill="1" applyBorder="1" applyAlignment="1">
      <alignment horizontal="center" vertical="center"/>
    </xf>
    <xf numFmtId="0" fontId="20" fillId="0" borderId="0" xfId="0" applyFont="1"/>
    <xf numFmtId="0" fontId="20" fillId="2" borderId="1" xfId="0" applyFont="1" applyFill="1" applyBorder="1" applyAlignment="1">
      <alignment horizontal="left" wrapText="1"/>
    </xf>
    <xf numFmtId="0" fontId="20" fillId="7" borderId="1" xfId="0" applyFont="1" applyFill="1" applyBorder="1" applyAlignment="1">
      <alignment horizontal="left" wrapText="1"/>
    </xf>
    <xf numFmtId="0" fontId="16" fillId="4" borderId="1" xfId="0" applyFont="1" applyFill="1" applyBorder="1" applyAlignment="1">
      <alignment wrapText="1"/>
    </xf>
    <xf numFmtId="0" fontId="0" fillId="0" borderId="0" xfId="0" applyAlignment="1">
      <alignment horizontal="center" wrapText="1"/>
    </xf>
    <xf numFmtId="2" fontId="0" fillId="6" borderId="1" xfId="0" applyNumberFormat="1" applyFill="1" applyBorder="1" applyAlignment="1">
      <alignment horizontal="center" wrapText="1"/>
    </xf>
    <xf numFmtId="2" fontId="0" fillId="0" borderId="1" xfId="0" applyNumberFormat="1" applyBorder="1" applyAlignment="1">
      <alignment horizontal="center" wrapText="1"/>
    </xf>
    <xf numFmtId="0" fontId="17" fillId="0" borderId="0" xfId="0" applyFont="1" applyBorder="1"/>
    <xf numFmtId="0" fontId="0" fillId="0" borderId="0" xfId="0" applyBorder="1" applyAlignment="1">
      <alignment horizontal="center"/>
    </xf>
    <xf numFmtId="2" fontId="0" fillId="0" borderId="0" xfId="0" applyNumberFormat="1" applyFont="1" applyFill="1" applyBorder="1" applyAlignment="1"/>
    <xf numFmtId="2" fontId="0" fillId="0" borderId="1" xfId="0" applyNumberFormat="1" applyFill="1" applyBorder="1" applyAlignment="1">
      <alignment horizontal="center" vertical="center"/>
    </xf>
    <xf numFmtId="165" fontId="0" fillId="0" borderId="1" xfId="0" applyNumberFormat="1" applyBorder="1" applyAlignment="1">
      <alignment horizontal="center" vertical="center"/>
    </xf>
    <xf numFmtId="0" fontId="20" fillId="2" borderId="1" xfId="0" quotePrefix="1" applyFont="1" applyFill="1" applyBorder="1" applyAlignment="1">
      <alignment horizontal="center" wrapText="1"/>
    </xf>
    <xf numFmtId="0" fontId="21" fillId="3" borderId="2" xfId="9" applyFont="1" applyFill="1" applyBorder="1"/>
    <xf numFmtId="0" fontId="22" fillId="3" borderId="4" xfId="1" applyFont="1" applyFill="1" applyBorder="1"/>
    <xf numFmtId="0" fontId="15" fillId="0" borderId="0" xfId="0" applyFont="1" applyAlignment="1">
      <alignment horizontal="center" vertical="center"/>
    </xf>
    <xf numFmtId="0" fontId="20" fillId="3" borderId="0" xfId="0" applyFont="1" applyFill="1"/>
    <xf numFmtId="0" fontId="20" fillId="3" borderId="0" xfId="0" applyFont="1" applyFill="1" applyAlignment="1">
      <alignment horizontal="center"/>
    </xf>
    <xf numFmtId="0" fontId="15" fillId="5" borderId="1" xfId="0" applyFont="1" applyFill="1" applyBorder="1" applyAlignment="1">
      <alignment horizontal="left"/>
    </xf>
    <xf numFmtId="0" fontId="15" fillId="0" borderId="0" xfId="0" applyFont="1" applyBorder="1" applyAlignment="1"/>
    <xf numFmtId="0" fontId="15" fillId="0" borderId="0" xfId="0" applyFont="1" applyBorder="1" applyAlignment="1">
      <alignment horizontal="center"/>
    </xf>
    <xf numFmtId="0" fontId="15" fillId="0" borderId="0" xfId="0" applyFont="1" applyBorder="1"/>
    <xf numFmtId="0" fontId="15" fillId="0" borderId="0" xfId="0" applyFont="1" applyBorder="1" applyAlignment="1" applyProtection="1">
      <alignment horizontal="center"/>
      <protection locked="0"/>
    </xf>
    <xf numFmtId="0" fontId="23" fillId="0" borderId="0" xfId="17" applyFont="1"/>
    <xf numFmtId="14" fontId="15" fillId="0" borderId="0" xfId="0" applyNumberFormat="1" applyFont="1" applyBorder="1" applyAlignment="1" applyProtection="1">
      <alignment horizontal="center"/>
      <protection locked="0"/>
    </xf>
    <xf numFmtId="0" fontId="15" fillId="0" borderId="5" xfId="0" applyFont="1" applyBorder="1" applyAlignment="1">
      <alignment vertical="top"/>
    </xf>
    <xf numFmtId="0" fontId="15" fillId="0" borderId="0" xfId="0" applyFont="1" applyAlignment="1">
      <alignment horizontal="center"/>
    </xf>
    <xf numFmtId="0" fontId="23" fillId="0" borderId="0" xfId="17" applyFont="1" applyAlignment="1">
      <alignment horizontal="center"/>
    </xf>
    <xf numFmtId="0" fontId="15" fillId="0" borderId="0" xfId="0" applyFont="1" applyFill="1"/>
    <xf numFmtId="0" fontId="15" fillId="0" borderId="1" xfId="18" applyFont="1" applyBorder="1" applyAlignment="1">
      <alignment horizontal="center"/>
    </xf>
    <xf numFmtId="0" fontId="15" fillId="0" borderId="1" xfId="18" applyFont="1" applyBorder="1"/>
    <xf numFmtId="168" fontId="15" fillId="0" borderId="1" xfId="6" applyNumberFormat="1" applyFont="1" applyBorder="1"/>
    <xf numFmtId="168" fontId="15" fillId="0" borderId="1" xfId="6" applyNumberFormat="1" applyFont="1" applyBorder="1" applyAlignment="1">
      <alignment horizontal="center" vertical="center"/>
    </xf>
    <xf numFmtId="168" fontId="15" fillId="7" borderId="1" xfId="6" applyNumberFormat="1" applyFont="1" applyFill="1" applyBorder="1"/>
    <xf numFmtId="0" fontId="20" fillId="0" borderId="1" xfId="18" applyFont="1" applyBorder="1"/>
    <xf numFmtId="168" fontId="24" fillId="0" borderId="1" xfId="6" applyNumberFormat="1" applyFont="1" applyBorder="1"/>
    <xf numFmtId="168" fontId="24" fillId="0" borderId="1" xfId="6" applyNumberFormat="1" applyFont="1" applyBorder="1" applyAlignment="1">
      <alignment horizontal="center" vertical="center"/>
    </xf>
    <xf numFmtId="168" fontId="20" fillId="7" borderId="1" xfId="6" applyNumberFormat="1" applyFont="1" applyFill="1" applyBorder="1"/>
    <xf numFmtId="0" fontId="15" fillId="0" borderId="0" xfId="0" applyFont="1" applyAlignment="1">
      <alignment vertical="center"/>
    </xf>
    <xf numFmtId="0" fontId="15" fillId="0" borderId="0" xfId="0" applyFont="1" applyAlignment="1">
      <alignment vertical="top" wrapText="1"/>
    </xf>
    <xf numFmtId="2" fontId="15" fillId="0" borderId="1" xfId="0" applyNumberFormat="1" applyFont="1" applyFill="1" applyBorder="1" applyAlignment="1">
      <alignment vertical="center"/>
    </xf>
    <xf numFmtId="2" fontId="15" fillId="0" borderId="1" xfId="0" applyNumberFormat="1" applyFont="1" applyBorder="1" applyAlignment="1">
      <alignment vertical="center"/>
    </xf>
    <xf numFmtId="2" fontId="15" fillId="0" borderId="1" xfId="15" applyNumberFormat="1" applyFont="1" applyFill="1" applyBorder="1" applyAlignment="1">
      <alignment vertical="center"/>
    </xf>
    <xf numFmtId="0" fontId="15" fillId="0" borderId="1" xfId="0" applyFont="1" applyFill="1" applyBorder="1" applyAlignment="1">
      <alignment vertical="center"/>
    </xf>
    <xf numFmtId="2" fontId="19" fillId="0" borderId="1" xfId="0" applyNumberFormat="1" applyFont="1" applyFill="1" applyBorder="1" applyAlignment="1">
      <alignment vertical="center"/>
    </xf>
    <xf numFmtId="0" fontId="25" fillId="0" borderId="0" xfId="0" applyFont="1" applyAlignment="1">
      <alignment vertical="center"/>
    </xf>
    <xf numFmtId="0" fontId="15" fillId="4" borderId="1" xfId="0" applyFont="1" applyFill="1" applyBorder="1" applyAlignment="1">
      <alignment vertical="top" wrapText="1"/>
    </xf>
    <xf numFmtId="0" fontId="14" fillId="3" borderId="0" xfId="0" applyFont="1" applyFill="1"/>
    <xf numFmtId="0" fontId="16" fillId="0" borderId="0" xfId="0" applyFont="1"/>
    <xf numFmtId="2" fontId="0" fillId="0" borderId="0" xfId="0" applyNumberFormat="1" applyAlignment="1">
      <alignment horizontal="center"/>
    </xf>
    <xf numFmtId="2" fontId="19" fillId="0" borderId="1" xfId="0" applyNumberFormat="1" applyFont="1" applyBorder="1" applyAlignment="1">
      <alignment vertical="center"/>
    </xf>
    <xf numFmtId="164" fontId="15" fillId="0" borderId="0" xfId="0" applyNumberFormat="1" applyFont="1"/>
    <xf numFmtId="2" fontId="0" fillId="0" borderId="0" xfId="0" applyNumberFormat="1" applyBorder="1" applyAlignment="1">
      <alignment horizontal="center" wrapText="1"/>
    </xf>
    <xf numFmtId="0" fontId="0" fillId="0" borderId="0" xfId="0" applyFill="1" applyBorder="1" applyAlignment="1">
      <alignment horizontal="center"/>
    </xf>
    <xf numFmtId="165" fontId="0" fillId="0" borderId="1" xfId="0" applyNumberFormat="1" applyFont="1" applyFill="1" applyBorder="1" applyAlignment="1">
      <alignment horizontal="center" vertical="center"/>
    </xf>
    <xf numFmtId="2" fontId="0" fillId="0" borderId="0" xfId="0" applyNumberFormat="1" applyFill="1" applyBorder="1" applyAlignment="1">
      <alignment horizontal="center" wrapText="1"/>
    </xf>
    <xf numFmtId="2" fontId="12" fillId="0" borderId="0" xfId="0" applyNumberFormat="1" applyFont="1" applyFill="1" applyBorder="1" applyAlignment="1">
      <alignment horizontal="center"/>
    </xf>
    <xf numFmtId="2" fontId="0" fillId="0" borderId="0" xfId="0" applyNumberFormat="1" applyFill="1" applyBorder="1" applyAlignment="1">
      <alignment wrapText="1"/>
    </xf>
    <xf numFmtId="167" fontId="0" fillId="0" borderId="0" xfId="0" applyNumberFormat="1" applyFill="1" applyBorder="1"/>
    <xf numFmtId="0" fontId="16" fillId="0" borderId="1" xfId="0" applyFont="1" applyFill="1" applyBorder="1" applyAlignment="1">
      <alignment horizontal="center" wrapText="1"/>
    </xf>
    <xf numFmtId="0" fontId="0" fillId="0" borderId="1" xfId="0" applyFill="1" applyBorder="1" applyAlignment="1">
      <alignment horizontal="center" vertical="center"/>
    </xf>
    <xf numFmtId="0" fontId="16" fillId="0" borderId="0" xfId="0" applyFont="1" applyFill="1" applyBorder="1" applyAlignment="1">
      <alignment horizontal="center" wrapText="1"/>
    </xf>
    <xf numFmtId="0" fontId="15" fillId="0" borderId="1" xfId="0" applyFont="1" applyFill="1" applyBorder="1" applyAlignment="1"/>
    <xf numFmtId="168" fontId="15" fillId="0" borderId="1" xfId="10" applyNumberFormat="1" applyFont="1" applyBorder="1"/>
    <xf numFmtId="168" fontId="15" fillId="0" borderId="1" xfId="10" applyNumberFormat="1" applyFont="1" applyFill="1" applyBorder="1"/>
    <xf numFmtId="0" fontId="0" fillId="0" borderId="1" xfId="0" applyBorder="1"/>
    <xf numFmtId="1"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2" fontId="0" fillId="0" borderId="1" xfId="0" applyNumberFormat="1" applyFont="1" applyFill="1" applyBorder="1" applyAlignment="1">
      <alignment horizontal="center" vertical="center"/>
    </xf>
    <xf numFmtId="165" fontId="0" fillId="0" borderId="1" xfId="0" applyNumberFormat="1" applyBorder="1" applyAlignment="1">
      <alignment horizontal="center"/>
    </xf>
    <xf numFmtId="0" fontId="16" fillId="0" borderId="0" xfId="0" applyFont="1" applyFill="1" applyBorder="1" applyAlignment="1">
      <alignment horizontal="left" wrapText="1"/>
    </xf>
    <xf numFmtId="2" fontId="0" fillId="0" borderId="0" xfId="0" applyNumberFormat="1" applyFill="1" applyBorder="1" applyAlignment="1">
      <alignment horizontal="center"/>
    </xf>
    <xf numFmtId="2" fontId="0" fillId="6" borderId="1" xfId="0" applyNumberFormat="1" applyFill="1" applyBorder="1" applyAlignment="1">
      <alignment horizontal="center"/>
    </xf>
  </cellXfs>
  <cellStyles count="21">
    <cellStyle name="Comma" xfId="6" builtinId="3"/>
    <cellStyle name="Comma 2" xfId="10"/>
    <cellStyle name="Comma 3" xfId="14"/>
    <cellStyle name="Comma 4 2" xfId="19"/>
    <cellStyle name="Explanatory Text" xfId="17" builtinId="53"/>
    <cellStyle name="Normal" xfId="0" builtinId="0"/>
    <cellStyle name="Normal 2" xfId="4"/>
    <cellStyle name="Normal 2 2" xfId="1"/>
    <cellStyle name="Normal 2 2 2" xfId="9"/>
    <cellStyle name="Normal 2 6" xfId="15"/>
    <cellStyle name="Normal 20" xfId="8"/>
    <cellStyle name="Normal 3" xfId="2"/>
    <cellStyle name="Normal 3 2" xfId="12"/>
    <cellStyle name="Normal 4" xfId="5"/>
    <cellStyle name="Normal 4 2" xfId="13"/>
    <cellStyle name="Normal 5" xfId="7"/>
    <cellStyle name="Normal 5 2" xfId="11"/>
    <cellStyle name="Normal 5 2 2" xfId="18"/>
    <cellStyle name="Normal 6" xfId="16"/>
    <cellStyle name="Normal 9" xfId="3"/>
    <cellStyle name="Percent 2" xfId="20"/>
  </cellStyles>
  <dxfs count="3">
    <dxf>
      <font>
        <color rgb="FF006100"/>
      </font>
      <fill>
        <patternFill>
          <bgColor rgb="FFC6EFCE"/>
        </patternFill>
      </fill>
    </dxf>
    <dxf>
      <font>
        <color rgb="FF9C0006"/>
      </font>
      <fill>
        <patternFill>
          <bgColor rgb="FFFFC7CE"/>
        </patternFill>
      </fill>
    </dxf>
    <dxf>
      <font>
        <color theme="0"/>
      </font>
    </dxf>
  </dxfs>
  <tableStyles count="0" defaultTableStyle="TableStyleMedium2" defaultPivotStyle="PivotStyleMedium9"/>
  <colors>
    <mruColors>
      <color rgb="FFFFC5C5"/>
      <color rgb="FFD2ECB6"/>
      <color rgb="FFFFD9D9"/>
      <color rgb="FFE23114"/>
      <color rgb="FFFFF1C5"/>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Flow monitors, modelled allowance £m</a:t>
            </a:r>
          </a:p>
          <a:p>
            <a:pPr>
              <a:defRPr/>
            </a:pPr>
            <a:r>
              <a:rPr lang="en-GB"/>
              <a:t> (before 'min of' applied)</a:t>
            </a:r>
          </a:p>
        </c:rich>
      </c:tx>
      <c:layout>
        <c:manualLayout>
          <c:xMode val="edge"/>
          <c:yMode val="edge"/>
          <c:x val="0.26472727215236896"/>
          <c:y val="2.02099770534058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025371828521432E-2"/>
          <c:y val="0.17171296296296298"/>
          <c:w val="0.89019685039370078"/>
          <c:h val="0.61498432487605714"/>
        </c:manualLayout>
      </c:layout>
      <c:barChart>
        <c:barDir val="col"/>
        <c:grouping val="clustered"/>
        <c:varyColors val="0"/>
        <c:ser>
          <c:idx val="2"/>
          <c:order val="2"/>
          <c:tx>
            <c:strRef>
              <c:f>Analysis!$E$5</c:f>
              <c:strCache>
                <c:ptCount val="1"/>
                <c:pt idx="0">
                  <c:v>Requested Company Capex £m (including any reallocations)</c:v>
                </c:pt>
              </c:strCache>
            </c:strRef>
          </c:tx>
          <c:spPr>
            <a:solidFill>
              <a:schemeClr val="accent3"/>
            </a:solidFill>
            <a:ln>
              <a:noFill/>
            </a:ln>
            <a:effectLst/>
          </c:spPr>
          <c:invertIfNegative val="0"/>
          <c:dLbls>
            <c:dLbl>
              <c:idx val="5"/>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Analysis!$B$6:$B$16</c:f>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f>Analysis!$E$6:$E$16</c:f>
              <c:numCache>
                <c:formatCode>0.000</c:formatCode>
                <c:ptCount val="11"/>
                <c:pt idx="0">
                  <c:v>16.70901874676596</c:v>
                </c:pt>
                <c:pt idx="1">
                  <c:v>0.13125000000000001</c:v>
                </c:pt>
                <c:pt idx="2">
                  <c:v>4.7080000000000002</c:v>
                </c:pt>
                <c:pt idx="3">
                  <c:v>7.3145530954811901</c:v>
                </c:pt>
                <c:pt idx="4">
                  <c:v>0.24</c:v>
                </c:pt>
                <c:pt idx="5">
                  <c:v>3.8289999999999997</c:v>
                </c:pt>
                <c:pt idx="6">
                  <c:v>1.61</c:v>
                </c:pt>
                <c:pt idx="7">
                  <c:v>22.907873843600001</c:v>
                </c:pt>
                <c:pt idx="8">
                  <c:v>20.778000000000002</c:v>
                </c:pt>
                <c:pt idx="9">
                  <c:v>14.555362500000008</c:v>
                </c:pt>
                <c:pt idx="10">
                  <c:v>15.840000000000002</c:v>
                </c:pt>
              </c:numCache>
            </c:numRef>
          </c:val>
        </c:ser>
        <c:ser>
          <c:idx val="10"/>
          <c:order val="10"/>
          <c:tx>
            <c:strRef>
              <c:f>Analysis!$H$5</c:f>
              <c:strCache>
                <c:ptCount val="1"/>
                <c:pt idx="0">
                  <c:v>Revised (modelled) Capex allowance, £m</c:v>
                </c:pt>
              </c:strCache>
            </c:strRef>
          </c:tx>
          <c:spPr>
            <a:solidFill>
              <a:schemeClr val="accent5">
                <a:lumMod val="60000"/>
              </a:schemeClr>
            </a:solidFill>
            <a:ln>
              <a:noFill/>
            </a:ln>
            <a:effectLst/>
          </c:spPr>
          <c:invertIfNegative val="0"/>
          <c:dLbls>
            <c:dLbl>
              <c:idx val="0"/>
              <c:layout>
                <c:manualLayout>
                  <c:x val="4.4444444444444446E-2"/>
                  <c:y val="2.777777777777777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6111111111111108E-2"/>
                  <c:y val="3.703703703703703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9444444444444393E-2"/>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0555555555555506E-2"/>
                  <c:y val="-8.4875562720133283E-17"/>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3333333333333333E-2"/>
                  <c:y val="4.629629629629629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Analysis!$B$6:$B$16</c:f>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f>Analysis!$H$6:$H$16</c:f>
              <c:numCache>
                <c:formatCode>0.000</c:formatCode>
                <c:ptCount val="11"/>
                <c:pt idx="0">
                  <c:v>16.70901874676596</c:v>
                </c:pt>
                <c:pt idx="1">
                  <c:v>0.75265850210657481</c:v>
                </c:pt>
                <c:pt idx="2">
                  <c:v>3.5124063431640153</c:v>
                </c:pt>
                <c:pt idx="3">
                  <c:v>7.5265850210657472</c:v>
                </c:pt>
                <c:pt idx="4">
                  <c:v>0.20070893389508659</c:v>
                </c:pt>
                <c:pt idx="5">
                  <c:v>10.035446694754331</c:v>
                </c:pt>
                <c:pt idx="6">
                  <c:v>4.8671916469558507</c:v>
                </c:pt>
                <c:pt idx="7">
                  <c:v>6.1717997172739132</c:v>
                </c:pt>
                <c:pt idx="8">
                  <c:v>20.923906358562778</c:v>
                </c:pt>
                <c:pt idx="9">
                  <c:v>3.1611657088476139</c:v>
                </c:pt>
                <c:pt idx="10">
                  <c:v>12.042536033705197</c:v>
                </c:pt>
              </c:numCache>
            </c:numRef>
          </c:val>
        </c:ser>
        <c:dLbls>
          <c:showLegendKey val="0"/>
          <c:showVal val="0"/>
          <c:showCatName val="0"/>
          <c:showSerName val="0"/>
          <c:showPercent val="0"/>
          <c:showBubbleSize val="0"/>
        </c:dLbls>
        <c:gapWidth val="219"/>
        <c:overlap val="-27"/>
        <c:axId val="844161944"/>
        <c:axId val="844160768"/>
        <c:extLst>
          <c:ext xmlns:c15="http://schemas.microsoft.com/office/drawing/2012/chart" uri="{02D57815-91ED-43cb-92C2-25804820EDAC}">
            <c15:filteredBarSeries>
              <c15:ser>
                <c:idx val="0"/>
                <c:order val="0"/>
                <c:tx>
                  <c:strRef>
                    <c:extLst>
                      <c:ext uri="{02D57815-91ED-43cb-92C2-25804820EDAC}">
                        <c15:formulaRef>
                          <c15:sqref>Analysis!$C$5</c15:sqref>
                        </c15:formulaRef>
                      </c:ext>
                    </c:extLst>
                    <c:strCache>
                      <c:ptCount val="1"/>
                      <c:pt idx="0">
                        <c:v>Number of schemes - Company view from WWS4 line 6</c:v>
                      </c:pt>
                    </c:strCache>
                  </c:strRef>
                </c:tx>
                <c:spPr>
                  <a:solidFill>
                    <a:schemeClr val="accent1"/>
                  </a:solidFill>
                  <a:ln>
                    <a:noFill/>
                  </a:ln>
                  <a:effectLst/>
                </c:spPr>
                <c:invertIfNegative val="0"/>
                <c:cat>
                  <c:strRef>
                    <c:extLst>
                      <c:ex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c:ext uri="{02D57815-91ED-43cb-92C2-25804820EDAC}">
                        <c15:formulaRef>
                          <c15:sqref>Analysis!$C$6:$C$16</c15:sqref>
                        </c15:formulaRef>
                      </c:ext>
                    </c:extLst>
                    <c:numCache>
                      <c:formatCode>0</c:formatCode>
                      <c:ptCount val="11"/>
                      <c:pt idx="0">
                        <c:v>333</c:v>
                      </c:pt>
                      <c:pt idx="1">
                        <c:v>15</c:v>
                      </c:pt>
                      <c:pt idx="2">
                        <c:v>70</c:v>
                      </c:pt>
                      <c:pt idx="3">
                        <c:v>150</c:v>
                      </c:pt>
                      <c:pt idx="4">
                        <c:v>4</c:v>
                      </c:pt>
                      <c:pt idx="5">
                        <c:v>200</c:v>
                      </c:pt>
                      <c:pt idx="6">
                        <c:v>97</c:v>
                      </c:pt>
                      <c:pt idx="7">
                        <c:v>123</c:v>
                      </c:pt>
                      <c:pt idx="8">
                        <c:v>417</c:v>
                      </c:pt>
                      <c:pt idx="9">
                        <c:v>63</c:v>
                      </c:pt>
                      <c:pt idx="10">
                        <c:v>240</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Analysis!$D$5</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Analysis!$D$6:$D$16</c15:sqref>
                        </c15:formulaRef>
                      </c:ext>
                    </c:extLst>
                    <c:numCache>
                      <c:formatCode>General</c:formatCode>
                      <c:ptCount val="11"/>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Analysis!$F$5</c15:sqref>
                        </c15:formulaRef>
                      </c:ext>
                    </c:extLst>
                    <c:strCache>
                      <c:ptCount val="1"/>
                      <c:pt idx="0">
                        <c:v>cost per scheme 2020-2025</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Analysis!$F$6:$F$16</c15:sqref>
                        </c15:formulaRef>
                      </c:ext>
                    </c:extLst>
                    <c:numCache>
                      <c:formatCode>0.00</c:formatCode>
                      <c:ptCount val="11"/>
                      <c:pt idx="0">
                        <c:v>50177.233473771652</c:v>
                      </c:pt>
                      <c:pt idx="1">
                        <c:v>8750</c:v>
                      </c:pt>
                      <c:pt idx="2">
                        <c:v>67257.14285714287</c:v>
                      </c:pt>
                      <c:pt idx="3">
                        <c:v>48763.687303207931</c:v>
                      </c:pt>
                      <c:pt idx="4">
                        <c:v>60000</c:v>
                      </c:pt>
                      <c:pt idx="5">
                        <c:v>19145</c:v>
                      </c:pt>
                      <c:pt idx="6">
                        <c:v>16597.938144329899</c:v>
                      </c:pt>
                      <c:pt idx="7">
                        <c:v>186242.87677723577</c:v>
                      </c:pt>
                      <c:pt idx="8">
                        <c:v>49827.338129496406</c:v>
                      </c:pt>
                      <c:pt idx="9">
                        <c:v>231037.50000000012</c:v>
                      </c:pt>
                      <c:pt idx="10">
                        <c:v>66000</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'Test ...'!#REF!</c15:sqref>
                        </c15:formulaRef>
                      </c:ext>
                    </c:extLst>
                    <c:strCache>
                      <c:ptCount val="1"/>
                      <c:pt idx="0">
                        <c:v>#REF!</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'Test ...'!#REF!</c15:sqref>
                        </c15:formulaRef>
                      </c:ext>
                    </c:extLst>
                    <c:numCache>
                      <c:formatCode>General</c:formatCode>
                      <c:ptCount val="1"/>
                      <c:pt idx="0">
                        <c:v>1</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'Test ...'!#REF!</c15:sqref>
                        </c15:formulaRef>
                      </c:ext>
                    </c:extLst>
                    <c:strCache>
                      <c:ptCount val="1"/>
                      <c:pt idx="0">
                        <c:v>#REF!</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'Test ...'!#REF!</c15:sqref>
                        </c15:formulaRef>
                      </c:ext>
                    </c:extLst>
                    <c:numCache>
                      <c:formatCode>General</c:formatCode>
                      <c:ptCount val="1"/>
                      <c:pt idx="0">
                        <c:v>1</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'Test ...'!#REF!</c15:sqref>
                        </c15:formulaRef>
                      </c:ext>
                    </c:extLst>
                    <c:strCache>
                      <c:ptCount val="1"/>
                      <c:pt idx="0">
                        <c:v>#REF!</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'Test ...'!#REF!</c15:sqref>
                        </c15:formulaRef>
                      </c:ext>
                    </c:extLst>
                    <c:numCache>
                      <c:formatCode>General</c:formatCode>
                      <c:ptCount val="1"/>
                      <c:pt idx="0">
                        <c:v>1</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'Test ...'!#REF!</c15:sqref>
                        </c15:formulaRef>
                      </c:ext>
                    </c:extLst>
                    <c:strCache>
                      <c:ptCount val="1"/>
                      <c:pt idx="0">
                        <c:v>#REF!</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'Test ...'!#REF!</c15:sqref>
                        </c15:formulaRef>
                      </c:ext>
                    </c:extLst>
                    <c:numCache>
                      <c:formatCode>General</c:formatCode>
                      <c:ptCount val="1"/>
                      <c:pt idx="0">
                        <c:v>1</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Analysis!$G$5</c15:sqref>
                        </c15:formulaRef>
                      </c:ext>
                    </c:extLst>
                    <c:strCache>
                      <c:ptCount val="1"/>
                      <c:pt idx="0">
                        <c:v>variance from median forecast unit cost</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Analysis!$G$6:$G$16</c15:sqref>
                        </c15:formulaRef>
                      </c:ext>
                    </c:extLst>
                    <c:numCache>
                      <c:formatCode>"£"#,##0.00</c:formatCode>
                      <c:ptCount val="11"/>
                      <c:pt idx="0">
                        <c:v>0</c:v>
                      </c:pt>
                      <c:pt idx="1">
                        <c:v>-41427.233473771652</c:v>
                      </c:pt>
                      <c:pt idx="2">
                        <c:v>17079.909383371218</c:v>
                      </c:pt>
                      <c:pt idx="3">
                        <c:v>-1413.5461705637208</c:v>
                      </c:pt>
                      <c:pt idx="4">
                        <c:v>9822.7665262283481</c:v>
                      </c:pt>
                      <c:pt idx="5">
                        <c:v>-31032.233473771652</c:v>
                      </c:pt>
                      <c:pt idx="6">
                        <c:v>-33579.295329441753</c:v>
                      </c:pt>
                      <c:pt idx="7">
                        <c:v>136065.64330346411</c:v>
                      </c:pt>
                      <c:pt idx="8">
                        <c:v>-349.89534427524632</c:v>
                      </c:pt>
                      <c:pt idx="9">
                        <c:v>180860.26652622846</c:v>
                      </c:pt>
                      <c:pt idx="10">
                        <c:v>15822.766526228348</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'Test ...'!#REF!</c15:sqref>
                        </c15:formulaRef>
                      </c:ext>
                    </c:extLst>
                    <c:strCache>
                      <c:ptCount val="1"/>
                      <c:pt idx="0">
                        <c:v>#REF!</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Analysis!$B$6:$B$16</c15:sqref>
                        </c15:formulaRef>
                      </c:ext>
                    </c:extLst>
                    <c:strCache>
                      <c:ptCount val="11"/>
                      <c:pt idx="0">
                        <c:v>ANH</c:v>
                      </c:pt>
                      <c:pt idx="1">
                        <c:v>HDD</c:v>
                      </c:pt>
                      <c:pt idx="2">
                        <c:v>NES</c:v>
                      </c:pt>
                      <c:pt idx="3">
                        <c:v>NWT</c:v>
                      </c:pt>
                      <c:pt idx="4">
                        <c:v>SRN</c:v>
                      </c:pt>
                      <c:pt idx="5">
                        <c:v>SVE</c:v>
                      </c:pt>
                      <c:pt idx="6">
                        <c:v>SWB</c:v>
                      </c:pt>
                      <c:pt idx="7">
                        <c:v>TMS</c:v>
                      </c:pt>
                      <c:pt idx="8">
                        <c:v>WSH</c:v>
                      </c:pt>
                      <c:pt idx="9">
                        <c:v>WSX</c:v>
                      </c:pt>
                      <c:pt idx="10">
                        <c:v>YKY</c:v>
                      </c:pt>
                    </c:strCache>
                  </c:strRef>
                </c:cat>
                <c:val>
                  <c:numRef>
                    <c:extLst xmlns:c15="http://schemas.microsoft.com/office/drawing/2012/chart">
                      <c:ext xmlns:c15="http://schemas.microsoft.com/office/drawing/2012/chart" uri="{02D57815-91ED-43cb-92C2-25804820EDAC}">
                        <c15:formulaRef>
                          <c15:sqref>'Test ...'!#REF!</c15:sqref>
                        </c15:formulaRef>
                      </c:ext>
                    </c:extLst>
                    <c:numCache>
                      <c:formatCode>General</c:formatCode>
                      <c:ptCount val="1"/>
                      <c:pt idx="0">
                        <c:v>1</c:v>
                      </c:pt>
                    </c:numCache>
                  </c:numRef>
                </c:val>
              </c15:ser>
            </c15:filteredBarSeries>
          </c:ext>
        </c:extLst>
      </c:barChart>
      <c:catAx>
        <c:axId val="84416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160768"/>
        <c:crosses val="autoZero"/>
        <c:auto val="1"/>
        <c:lblAlgn val="ctr"/>
        <c:lblOffset val="100"/>
        <c:noMultiLvlLbl val="0"/>
      </c:catAx>
      <c:valAx>
        <c:axId val="844160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 capex</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4161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12</xdr:row>
      <xdr:rowOff>72572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84667" y="471714"/>
          <a:ext cx="9168493" cy="2249715"/>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Flow monitoring enhancement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r>
            <a:rPr lang="en-GB" sz="1100" b="0" i="0">
              <a:solidFill>
                <a:schemeClr val="dk1"/>
              </a:solidFill>
              <a:effectLst/>
              <a:latin typeface="+mn-lt"/>
              <a:ea typeface="+mn-ea"/>
              <a:cs typeface="+mn-cs"/>
            </a:rPr>
            <a:t>We assess the investment for this line using the median value from a unit cost model of capex requested for the reported number of monitors for flow monitoring at STWs. The model provides an allowance per company based on the median unit cost. Where a company’s requested investment level is less than our determination, we use the company’s business plan costs.</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314775</xdr:colOff>
      <xdr:row>18</xdr:row>
      <xdr:rowOff>124314</xdr:rowOff>
    </xdr:from>
    <xdr:to>
      <xdr:col>10</xdr:col>
      <xdr:colOff>312963</xdr:colOff>
      <xdr:row>38</xdr:row>
      <xdr:rowOff>166687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6"/>
  <sheetViews>
    <sheetView showGridLines="0" tabSelected="1" zoomScale="90" zoomScaleNormal="90" workbookViewId="0"/>
  </sheetViews>
  <sheetFormatPr defaultColWidth="8.6328125" defaultRowHeight="13" x14ac:dyDescent="0.3"/>
  <cols>
    <col min="1" max="1" width="1.26953125" style="2" customWidth="1"/>
    <col min="2" max="2" width="11.26953125" style="2" customWidth="1"/>
    <col min="3" max="3" width="100.26953125" style="2" customWidth="1"/>
    <col min="4" max="4" width="18" style="39" customWidth="1"/>
    <col min="5" max="16384" width="8.6328125" style="2"/>
  </cols>
  <sheetData>
    <row r="1" spans="2:4" ht="20.25" customHeight="1" x14ac:dyDescent="0.35">
      <c r="B1" s="37" t="s">
        <v>70</v>
      </c>
      <c r="C1" s="38"/>
      <c r="D1" s="38"/>
    </row>
    <row r="2" spans="2:4" ht="17.25" customHeight="1" x14ac:dyDescent="0.3"/>
    <row r="3" spans="2:4" ht="17.25" customHeight="1" x14ac:dyDescent="0.3"/>
    <row r="4" spans="2:4" ht="17.25" customHeight="1" x14ac:dyDescent="0.3"/>
    <row r="5" spans="2:4" ht="17.25" customHeight="1" x14ac:dyDescent="0.3"/>
    <row r="6" spans="2:4" ht="17.25" customHeight="1" x14ac:dyDescent="0.3"/>
    <row r="7" spans="2:4" ht="17.25" customHeight="1" x14ac:dyDescent="0.3"/>
    <row r="8" spans="2:4" ht="17.25" customHeight="1" x14ac:dyDescent="0.3"/>
    <row r="9" spans="2:4" ht="17.25" customHeight="1" x14ac:dyDescent="0.3"/>
    <row r="10" spans="2:4" ht="17.25" customHeight="1" x14ac:dyDescent="0.3"/>
    <row r="11" spans="2:4" ht="17.25" customHeight="1" x14ac:dyDescent="0.3"/>
    <row r="12" spans="2:4" ht="17.25" customHeight="1" x14ac:dyDescent="0.3"/>
    <row r="13" spans="2:4" ht="17.25" customHeight="1" x14ac:dyDescent="0.3"/>
    <row r="14" spans="2:4" ht="17.25" customHeight="1" x14ac:dyDescent="0.3"/>
    <row r="15" spans="2:4" ht="17.25" customHeight="1" x14ac:dyDescent="0.3"/>
    <row r="16" spans="2:4" ht="17.25" customHeight="1" x14ac:dyDescent="0.3"/>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5"/>
  <sheetViews>
    <sheetView showGridLines="0" zoomScale="99" zoomScaleNormal="99" workbookViewId="0">
      <pane xSplit="3" ySplit="5" topLeftCell="D6" activePane="bottomRight" state="frozen"/>
      <selection activeCell="C18" sqref="C18"/>
      <selection pane="topRight" activeCell="C18" sqref="C18"/>
      <selection pane="bottomLeft" activeCell="C18" sqref="C18"/>
      <selection pane="bottomRight"/>
    </sheetView>
  </sheetViews>
  <sheetFormatPr defaultColWidth="8.6328125" defaultRowHeight="13" x14ac:dyDescent="0.3"/>
  <cols>
    <col min="1" max="1" width="10.6328125" style="62" customWidth="1"/>
    <col min="2" max="2" width="11.26953125" style="62" customWidth="1"/>
    <col min="3" max="3" width="10.26953125" style="62" customWidth="1"/>
    <col min="4" max="6" width="13.6328125" style="2" customWidth="1"/>
    <col min="7" max="16384" width="8.6328125" style="2"/>
  </cols>
  <sheetData>
    <row r="1" spans="1:6" ht="15.5" x14ac:dyDescent="0.3">
      <c r="A1" s="69" t="s">
        <v>81</v>
      </c>
    </row>
    <row r="4" spans="1:6" s="63" customFormat="1" ht="26" x14ac:dyDescent="0.35">
      <c r="A4" s="70" t="s">
        <v>0</v>
      </c>
      <c r="B4" s="70" t="s">
        <v>1</v>
      </c>
      <c r="C4" s="70" t="s">
        <v>2</v>
      </c>
      <c r="D4" s="70" t="s">
        <v>73</v>
      </c>
      <c r="E4" s="70" t="s">
        <v>71</v>
      </c>
      <c r="F4" s="70" t="s">
        <v>75</v>
      </c>
    </row>
    <row r="5" spans="1:6" ht="52" x14ac:dyDescent="0.3">
      <c r="A5" s="70" t="s">
        <v>102</v>
      </c>
      <c r="B5" s="70" t="s">
        <v>13</v>
      </c>
      <c r="C5" s="70" t="s">
        <v>101</v>
      </c>
      <c r="D5" s="70" t="s">
        <v>103</v>
      </c>
      <c r="E5" s="70" t="s">
        <v>104</v>
      </c>
      <c r="F5" s="70" t="s">
        <v>105</v>
      </c>
    </row>
    <row r="6" spans="1:6" x14ac:dyDescent="0.3">
      <c r="A6" s="66" t="s">
        <v>16</v>
      </c>
      <c r="B6" s="67" t="s">
        <v>3</v>
      </c>
      <c r="C6" s="67" t="s">
        <v>117</v>
      </c>
      <c r="D6" s="64">
        <v>10.2585073647654</v>
      </c>
      <c r="E6" s="65">
        <v>551.50375405476098</v>
      </c>
      <c r="F6" s="65">
        <v>257</v>
      </c>
    </row>
    <row r="7" spans="1:6" x14ac:dyDescent="0.3">
      <c r="A7" s="66" t="s">
        <v>17</v>
      </c>
      <c r="B7" s="67" t="s">
        <v>3</v>
      </c>
      <c r="C7" s="67" t="s">
        <v>118</v>
      </c>
      <c r="D7" s="64">
        <v>4.3255448872793103</v>
      </c>
      <c r="E7" s="65">
        <v>653.12795659695598</v>
      </c>
      <c r="F7" s="65">
        <v>72</v>
      </c>
    </row>
    <row r="8" spans="1:6" x14ac:dyDescent="0.3">
      <c r="A8" s="66" t="s">
        <v>18</v>
      </c>
      <c r="B8" s="67" t="s">
        <v>3</v>
      </c>
      <c r="C8" s="67" t="s">
        <v>119</v>
      </c>
      <c r="D8" s="64">
        <v>0</v>
      </c>
      <c r="E8" s="65">
        <v>659.79125581432402</v>
      </c>
      <c r="F8" s="65">
        <v>0</v>
      </c>
    </row>
    <row r="9" spans="1:6" x14ac:dyDescent="0.3">
      <c r="A9" s="66" t="s">
        <v>19</v>
      </c>
      <c r="B9" s="67" t="s">
        <v>3</v>
      </c>
      <c r="C9" s="67" t="s">
        <v>120</v>
      </c>
      <c r="D9" s="64">
        <v>2.1449664947212499</v>
      </c>
      <c r="E9" s="65">
        <v>762.56025220065897</v>
      </c>
      <c r="F9" s="65">
        <v>4</v>
      </c>
    </row>
    <row r="10" spans="1:6" x14ac:dyDescent="0.3">
      <c r="A10" s="66" t="s">
        <v>20</v>
      </c>
      <c r="B10" s="67" t="s">
        <v>3</v>
      </c>
      <c r="C10" s="67" t="s">
        <v>121</v>
      </c>
      <c r="D10" s="64">
        <v>0</v>
      </c>
      <c r="E10" s="65">
        <v>701.76121450352298</v>
      </c>
      <c r="F10" s="65">
        <v>0</v>
      </c>
    </row>
    <row r="11" spans="1:6" x14ac:dyDescent="0.3">
      <c r="A11" s="66" t="s">
        <v>21</v>
      </c>
      <c r="B11" s="67" t="s">
        <v>4</v>
      </c>
      <c r="C11" s="67" t="s">
        <v>117</v>
      </c>
      <c r="D11" s="64">
        <v>0.94099999999999995</v>
      </c>
      <c r="E11" s="65">
        <v>194.71899999999999</v>
      </c>
      <c r="F11" s="65">
        <v>0</v>
      </c>
    </row>
    <row r="12" spans="1:6" x14ac:dyDescent="0.3">
      <c r="A12" s="66" t="s">
        <v>22</v>
      </c>
      <c r="B12" s="67" t="s">
        <v>4</v>
      </c>
      <c r="C12" s="67" t="s">
        <v>118</v>
      </c>
      <c r="D12" s="64">
        <v>0.94099999999999995</v>
      </c>
      <c r="E12" s="65">
        <v>225.87200000000001</v>
      </c>
      <c r="F12" s="65">
        <v>17</v>
      </c>
    </row>
    <row r="13" spans="1:6" x14ac:dyDescent="0.3">
      <c r="A13" s="66" t="s">
        <v>23</v>
      </c>
      <c r="B13" s="67" t="s">
        <v>4</v>
      </c>
      <c r="C13" s="67" t="s">
        <v>119</v>
      </c>
      <c r="D13" s="64">
        <v>0.94199999999999995</v>
      </c>
      <c r="E13" s="65">
        <v>250.01400000000001</v>
      </c>
      <c r="F13" s="65">
        <v>0</v>
      </c>
    </row>
    <row r="14" spans="1:6" x14ac:dyDescent="0.3">
      <c r="A14" s="66" t="s">
        <v>24</v>
      </c>
      <c r="B14" s="67" t="s">
        <v>4</v>
      </c>
      <c r="C14" s="67" t="s">
        <v>120</v>
      </c>
      <c r="D14" s="64">
        <v>0.94199999999999995</v>
      </c>
      <c r="E14" s="65">
        <v>314.52300000000002</v>
      </c>
      <c r="F14" s="65">
        <v>25</v>
      </c>
    </row>
    <row r="15" spans="1:6" x14ac:dyDescent="0.3">
      <c r="A15" s="66" t="s">
        <v>25</v>
      </c>
      <c r="B15" s="67" t="s">
        <v>4</v>
      </c>
      <c r="C15" s="67" t="s">
        <v>121</v>
      </c>
      <c r="D15" s="64">
        <v>0.94199999999999995</v>
      </c>
      <c r="E15" s="65">
        <v>258.24900000000002</v>
      </c>
      <c r="F15" s="65">
        <v>28</v>
      </c>
    </row>
    <row r="16" spans="1:6" x14ac:dyDescent="0.3">
      <c r="A16" s="66" t="s">
        <v>26</v>
      </c>
      <c r="B16" s="67" t="s">
        <v>5</v>
      </c>
      <c r="C16" s="67" t="s">
        <v>117</v>
      </c>
      <c r="D16" s="64">
        <v>1.42111502396904</v>
      </c>
      <c r="E16" s="65">
        <v>557.40503234329799</v>
      </c>
      <c r="F16" s="65">
        <v>91</v>
      </c>
    </row>
    <row r="17" spans="1:6" x14ac:dyDescent="0.3">
      <c r="A17" s="66" t="s">
        <v>27</v>
      </c>
      <c r="B17" s="67" t="s">
        <v>5</v>
      </c>
      <c r="C17" s="67" t="s">
        <v>118</v>
      </c>
      <c r="D17" s="64">
        <v>1.4445257304408701</v>
      </c>
      <c r="E17" s="65">
        <v>584.41680129680901</v>
      </c>
      <c r="F17" s="65">
        <v>0</v>
      </c>
    </row>
    <row r="18" spans="1:6" x14ac:dyDescent="0.3">
      <c r="A18" s="66" t="s">
        <v>28</v>
      </c>
      <c r="B18" s="67" t="s">
        <v>5</v>
      </c>
      <c r="C18" s="67" t="s">
        <v>119</v>
      </c>
      <c r="D18" s="64">
        <v>1.6064856380964401</v>
      </c>
      <c r="E18" s="65">
        <v>527.23793476313404</v>
      </c>
      <c r="F18" s="65">
        <v>21</v>
      </c>
    </row>
    <row r="19" spans="1:6" x14ac:dyDescent="0.3">
      <c r="A19" s="66" t="s">
        <v>29</v>
      </c>
      <c r="B19" s="67" t="s">
        <v>5</v>
      </c>
      <c r="C19" s="67" t="s">
        <v>120</v>
      </c>
      <c r="D19" s="64">
        <v>1.4240128514844299</v>
      </c>
      <c r="E19" s="65">
        <v>706.99058633935101</v>
      </c>
      <c r="F19" s="65">
        <v>22</v>
      </c>
    </row>
    <row r="20" spans="1:6" x14ac:dyDescent="0.3">
      <c r="A20" s="66" t="s">
        <v>30</v>
      </c>
      <c r="B20" s="67" t="s">
        <v>5</v>
      </c>
      <c r="C20" s="67" t="s">
        <v>121</v>
      </c>
      <c r="D20" s="64">
        <v>1.4184138514904101</v>
      </c>
      <c r="E20" s="65">
        <v>637.00849885031198</v>
      </c>
      <c r="F20" s="65">
        <v>16</v>
      </c>
    </row>
    <row r="21" spans="1:6" x14ac:dyDescent="0.3">
      <c r="A21" s="66" t="s">
        <v>31</v>
      </c>
      <c r="B21" s="67" t="s">
        <v>6</v>
      </c>
      <c r="C21" s="67" t="s">
        <v>117</v>
      </c>
      <c r="D21" s="64">
        <v>4.8000000000000001E-2</v>
      </c>
      <c r="E21" s="65">
        <v>462.08100000000002</v>
      </c>
      <c r="F21" s="65">
        <v>0</v>
      </c>
    </row>
    <row r="22" spans="1:6" x14ac:dyDescent="0.3">
      <c r="A22" s="66" t="s">
        <v>32</v>
      </c>
      <c r="B22" s="67" t="s">
        <v>6</v>
      </c>
      <c r="C22" s="67" t="s">
        <v>118</v>
      </c>
      <c r="D22" s="64">
        <v>4.8000000000000001E-2</v>
      </c>
      <c r="E22" s="65">
        <v>610.50400000000002</v>
      </c>
      <c r="F22" s="65">
        <v>1</v>
      </c>
    </row>
    <row r="23" spans="1:6" x14ac:dyDescent="0.3">
      <c r="A23" s="66" t="s">
        <v>33</v>
      </c>
      <c r="B23" s="67" t="s">
        <v>6</v>
      </c>
      <c r="C23" s="67" t="s">
        <v>119</v>
      </c>
      <c r="D23" s="64">
        <v>4.8000000000000001E-2</v>
      </c>
      <c r="E23" s="65">
        <v>633.11300000000006</v>
      </c>
      <c r="F23" s="65">
        <v>1</v>
      </c>
    </row>
    <row r="24" spans="1:6" x14ac:dyDescent="0.3">
      <c r="A24" s="66" t="s">
        <v>34</v>
      </c>
      <c r="B24" s="67" t="s">
        <v>6</v>
      </c>
      <c r="C24" s="67" t="s">
        <v>120</v>
      </c>
      <c r="D24" s="64">
        <v>4.8000000000000001E-2</v>
      </c>
      <c r="E24" s="65">
        <v>495.7</v>
      </c>
      <c r="F24" s="65">
        <v>1</v>
      </c>
    </row>
    <row r="25" spans="1:6" x14ac:dyDescent="0.3">
      <c r="A25" s="66" t="s">
        <v>35</v>
      </c>
      <c r="B25" s="67" t="s">
        <v>6</v>
      </c>
      <c r="C25" s="67" t="s">
        <v>121</v>
      </c>
      <c r="D25" s="64">
        <v>4.8000000000000001E-2</v>
      </c>
      <c r="E25" s="65">
        <v>408.06400000000002</v>
      </c>
      <c r="F25" s="65">
        <v>1</v>
      </c>
    </row>
    <row r="26" spans="1:6" x14ac:dyDescent="0.3">
      <c r="A26" s="66" t="s">
        <v>36</v>
      </c>
      <c r="B26" s="67" t="s">
        <v>7</v>
      </c>
      <c r="C26" s="67" t="s">
        <v>117</v>
      </c>
      <c r="D26" s="64">
        <v>0</v>
      </c>
      <c r="E26" s="65">
        <v>0</v>
      </c>
      <c r="F26" s="65">
        <v>0</v>
      </c>
    </row>
    <row r="27" spans="1:6" x14ac:dyDescent="0.3">
      <c r="A27" s="66" t="s">
        <v>37</v>
      </c>
      <c r="B27" s="67" t="s">
        <v>7</v>
      </c>
      <c r="C27" s="67" t="s">
        <v>118</v>
      </c>
      <c r="D27" s="64">
        <v>0</v>
      </c>
      <c r="E27" s="65">
        <v>0</v>
      </c>
      <c r="F27" s="65">
        <v>0</v>
      </c>
    </row>
    <row r="28" spans="1:6" x14ac:dyDescent="0.3">
      <c r="A28" s="66" t="s">
        <v>38</v>
      </c>
      <c r="B28" s="67" t="s">
        <v>7</v>
      </c>
      <c r="C28" s="67" t="s">
        <v>119</v>
      </c>
      <c r="D28" s="64">
        <v>0</v>
      </c>
      <c r="E28" s="65">
        <v>0</v>
      </c>
      <c r="F28" s="65">
        <v>0</v>
      </c>
    </row>
    <row r="29" spans="1:6" x14ac:dyDescent="0.3">
      <c r="A29" s="66" t="s">
        <v>39</v>
      </c>
      <c r="B29" s="67" t="s">
        <v>7</v>
      </c>
      <c r="C29" s="67" t="s">
        <v>120</v>
      </c>
      <c r="D29" s="64">
        <v>0</v>
      </c>
      <c r="E29" s="65">
        <v>0</v>
      </c>
      <c r="F29" s="65">
        <v>0</v>
      </c>
    </row>
    <row r="30" spans="1:6" x14ac:dyDescent="0.3">
      <c r="A30" s="66" t="s">
        <v>40</v>
      </c>
      <c r="B30" s="67" t="s">
        <v>7</v>
      </c>
      <c r="C30" s="67" t="s">
        <v>121</v>
      </c>
      <c r="D30" s="64">
        <v>0</v>
      </c>
      <c r="E30" s="65">
        <v>0</v>
      </c>
      <c r="F30" s="65">
        <v>0</v>
      </c>
    </row>
    <row r="31" spans="1:6" x14ac:dyDescent="0.3">
      <c r="A31" s="66" t="s">
        <v>41</v>
      </c>
      <c r="B31" s="67" t="s">
        <v>8</v>
      </c>
      <c r="C31" s="67" t="s">
        <v>117</v>
      </c>
      <c r="D31" s="64">
        <v>0.46800000000000003</v>
      </c>
      <c r="E31" s="65">
        <v>209.88399999999999</v>
      </c>
      <c r="F31" s="65">
        <v>84</v>
      </c>
    </row>
    <row r="32" spans="1:6" x14ac:dyDescent="0.3">
      <c r="A32" s="66" t="s">
        <v>42</v>
      </c>
      <c r="B32" s="67" t="s">
        <v>8</v>
      </c>
      <c r="C32" s="67" t="s">
        <v>118</v>
      </c>
      <c r="D32" s="64">
        <v>0.22800000000000001</v>
      </c>
      <c r="E32" s="65">
        <v>205.41800000000001</v>
      </c>
      <c r="F32" s="65">
        <v>0</v>
      </c>
    </row>
    <row r="33" spans="1:6" x14ac:dyDescent="0.3">
      <c r="A33" s="66" t="s">
        <v>43</v>
      </c>
      <c r="B33" s="67" t="s">
        <v>8</v>
      </c>
      <c r="C33" s="67" t="s">
        <v>119</v>
      </c>
      <c r="D33" s="64">
        <v>0.22800000000000001</v>
      </c>
      <c r="E33" s="65">
        <v>184.16300000000001</v>
      </c>
      <c r="F33" s="65">
        <v>0</v>
      </c>
    </row>
    <row r="34" spans="1:6" x14ac:dyDescent="0.3">
      <c r="A34" s="66" t="s">
        <v>44</v>
      </c>
      <c r="B34" s="67" t="s">
        <v>8</v>
      </c>
      <c r="C34" s="67" t="s">
        <v>120</v>
      </c>
      <c r="D34" s="64">
        <v>0.38800000000000001</v>
      </c>
      <c r="E34" s="65">
        <v>182.45099999999999</v>
      </c>
      <c r="F34" s="65">
        <v>0</v>
      </c>
    </row>
    <row r="35" spans="1:6" x14ac:dyDescent="0.3">
      <c r="A35" s="66" t="s">
        <v>45</v>
      </c>
      <c r="B35" s="67" t="s">
        <v>8</v>
      </c>
      <c r="C35" s="67" t="s">
        <v>121</v>
      </c>
      <c r="D35" s="64">
        <v>0.29799999999999999</v>
      </c>
      <c r="E35" s="65">
        <v>169.172</v>
      </c>
      <c r="F35" s="65">
        <v>13</v>
      </c>
    </row>
    <row r="36" spans="1:6" x14ac:dyDescent="0.3">
      <c r="A36" s="66" t="s">
        <v>46</v>
      </c>
      <c r="B36" s="67" t="s">
        <v>9</v>
      </c>
      <c r="C36" s="67" t="s">
        <v>117</v>
      </c>
      <c r="D36" s="64">
        <v>4.5760513211999996</v>
      </c>
      <c r="E36" s="65">
        <v>943.20508384003995</v>
      </c>
      <c r="F36" s="65">
        <v>49</v>
      </c>
    </row>
    <row r="37" spans="1:6" x14ac:dyDescent="0.3">
      <c r="A37" s="66" t="s">
        <v>47</v>
      </c>
      <c r="B37" s="67" t="s">
        <v>9</v>
      </c>
      <c r="C37" s="67" t="s">
        <v>118</v>
      </c>
      <c r="D37" s="64">
        <v>4.5161072475999999</v>
      </c>
      <c r="E37" s="65">
        <v>1059.5585860040801</v>
      </c>
      <c r="F37" s="65">
        <v>14</v>
      </c>
    </row>
    <row r="38" spans="1:6" x14ac:dyDescent="0.3">
      <c r="A38" s="66" t="s">
        <v>48</v>
      </c>
      <c r="B38" s="67" t="s">
        <v>9</v>
      </c>
      <c r="C38" s="67" t="s">
        <v>119</v>
      </c>
      <c r="D38" s="64">
        <v>4.5603826382000001</v>
      </c>
      <c r="E38" s="65">
        <v>1043.6785429854101</v>
      </c>
      <c r="F38" s="65">
        <v>17</v>
      </c>
    </row>
    <row r="39" spans="1:6" x14ac:dyDescent="0.3">
      <c r="A39" s="66" t="s">
        <v>49</v>
      </c>
      <c r="B39" s="67" t="s">
        <v>9</v>
      </c>
      <c r="C39" s="67" t="s">
        <v>120</v>
      </c>
      <c r="D39" s="64">
        <v>4.6050924012000003</v>
      </c>
      <c r="E39" s="65">
        <v>989.85067441146896</v>
      </c>
      <c r="F39" s="65">
        <v>16</v>
      </c>
    </row>
    <row r="40" spans="1:6" x14ac:dyDescent="0.3">
      <c r="A40" s="66" t="s">
        <v>50</v>
      </c>
      <c r="B40" s="67" t="s">
        <v>9</v>
      </c>
      <c r="C40" s="67" t="s">
        <v>121</v>
      </c>
      <c r="D40" s="64">
        <v>4.6502402354000001</v>
      </c>
      <c r="E40" s="65">
        <v>960.87480281767398</v>
      </c>
      <c r="F40" s="65">
        <v>27</v>
      </c>
    </row>
    <row r="41" spans="1:6" x14ac:dyDescent="0.3">
      <c r="A41" s="66" t="s">
        <v>51</v>
      </c>
      <c r="B41" s="67" t="s">
        <v>10</v>
      </c>
      <c r="C41" s="67" t="s">
        <v>117</v>
      </c>
      <c r="D41" s="64">
        <v>4.2560000000000002</v>
      </c>
      <c r="E41" s="65">
        <v>358.459</v>
      </c>
      <c r="F41" s="65">
        <v>83</v>
      </c>
    </row>
    <row r="42" spans="1:6" x14ac:dyDescent="0.3">
      <c r="A42" s="66" t="s">
        <v>52</v>
      </c>
      <c r="B42" s="67" t="s">
        <v>10</v>
      </c>
      <c r="C42" s="67" t="s">
        <v>118</v>
      </c>
      <c r="D42" s="64">
        <v>4.2060000000000004</v>
      </c>
      <c r="E42" s="65">
        <v>291.94099999999997</v>
      </c>
      <c r="F42" s="65">
        <v>83</v>
      </c>
    </row>
    <row r="43" spans="1:6" x14ac:dyDescent="0.3">
      <c r="A43" s="66" t="s">
        <v>53</v>
      </c>
      <c r="B43" s="67" t="s">
        <v>10</v>
      </c>
      <c r="C43" s="67" t="s">
        <v>119</v>
      </c>
      <c r="D43" s="64">
        <v>4.157</v>
      </c>
      <c r="E43" s="65">
        <v>301.45100000000002</v>
      </c>
      <c r="F43" s="65">
        <v>83</v>
      </c>
    </row>
    <row r="44" spans="1:6" x14ac:dyDescent="0.3">
      <c r="A44" s="66" t="s">
        <v>54</v>
      </c>
      <c r="B44" s="67" t="s">
        <v>10</v>
      </c>
      <c r="C44" s="67" t="s">
        <v>120</v>
      </c>
      <c r="D44" s="64">
        <v>4.1029999999999998</v>
      </c>
      <c r="E44" s="65">
        <v>290.19</v>
      </c>
      <c r="F44" s="65">
        <v>84</v>
      </c>
    </row>
    <row r="45" spans="1:6" x14ac:dyDescent="0.3">
      <c r="A45" s="66" t="s">
        <v>55</v>
      </c>
      <c r="B45" s="67" t="s">
        <v>10</v>
      </c>
      <c r="C45" s="67" t="s">
        <v>121</v>
      </c>
      <c r="D45" s="64">
        <v>4.056</v>
      </c>
      <c r="E45" s="65">
        <v>287.05399999999997</v>
      </c>
      <c r="F45" s="65">
        <v>84</v>
      </c>
    </row>
    <row r="46" spans="1:6" x14ac:dyDescent="0.3">
      <c r="A46" s="66" t="s">
        <v>56</v>
      </c>
      <c r="B46" s="67" t="s">
        <v>11</v>
      </c>
      <c r="C46" s="67" t="s">
        <v>117</v>
      </c>
      <c r="D46" s="64">
        <v>4.5833053846153904</v>
      </c>
      <c r="E46" s="65">
        <v>334.40990139956699</v>
      </c>
      <c r="F46" s="65">
        <v>0</v>
      </c>
    </row>
    <row r="47" spans="1:6" x14ac:dyDescent="0.3">
      <c r="A47" s="66" t="s">
        <v>57</v>
      </c>
      <c r="B47" s="67" t="s">
        <v>11</v>
      </c>
      <c r="C47" s="67" t="s">
        <v>118</v>
      </c>
      <c r="D47" s="64">
        <v>3.80668153846154</v>
      </c>
      <c r="E47" s="65">
        <v>310.35824991875199</v>
      </c>
      <c r="F47" s="65">
        <v>6</v>
      </c>
    </row>
    <row r="48" spans="1:6" x14ac:dyDescent="0.3">
      <c r="A48" s="66" t="s">
        <v>58</v>
      </c>
      <c r="B48" s="67" t="s">
        <v>11</v>
      </c>
      <c r="C48" s="67" t="s">
        <v>119</v>
      </c>
      <c r="D48" s="64">
        <v>4.7537065384615396</v>
      </c>
      <c r="E48" s="65">
        <v>316.21891660017798</v>
      </c>
      <c r="F48" s="65">
        <v>19</v>
      </c>
    </row>
    <row r="49" spans="1:6" x14ac:dyDescent="0.3">
      <c r="A49" s="66" t="s">
        <v>59</v>
      </c>
      <c r="B49" s="67" t="s">
        <v>11</v>
      </c>
      <c r="C49" s="67" t="s">
        <v>120</v>
      </c>
      <c r="D49" s="64">
        <v>0.43729961538461498</v>
      </c>
      <c r="E49" s="65">
        <v>314.555053101689</v>
      </c>
      <c r="F49" s="65">
        <v>21</v>
      </c>
    </row>
    <row r="50" spans="1:6" x14ac:dyDescent="0.3">
      <c r="A50" s="66" t="s">
        <v>60</v>
      </c>
      <c r="B50" s="67" t="s">
        <v>11</v>
      </c>
      <c r="C50" s="67" t="s">
        <v>121</v>
      </c>
      <c r="D50" s="64">
        <v>0.97436942307692298</v>
      </c>
      <c r="E50" s="65">
        <v>297.66581065083898</v>
      </c>
      <c r="F50" s="65">
        <v>17</v>
      </c>
    </row>
    <row r="51" spans="1:6" x14ac:dyDescent="0.3">
      <c r="A51" s="66" t="s">
        <v>61</v>
      </c>
      <c r="B51" s="67" t="s">
        <v>12</v>
      </c>
      <c r="C51" s="67" t="s">
        <v>117</v>
      </c>
      <c r="D51" s="68">
        <v>4.0949999999999998</v>
      </c>
      <c r="E51" s="65">
        <v>707.06500000000005</v>
      </c>
      <c r="F51" s="65">
        <v>0</v>
      </c>
    </row>
    <row r="52" spans="1:6" x14ac:dyDescent="0.3">
      <c r="A52" s="66" t="s">
        <v>62</v>
      </c>
      <c r="B52" s="67" t="s">
        <v>12</v>
      </c>
      <c r="C52" s="67" t="s">
        <v>118</v>
      </c>
      <c r="D52" s="68">
        <v>4.4260000000000002</v>
      </c>
      <c r="E52" s="65">
        <v>713.04899999999998</v>
      </c>
      <c r="F52" s="65">
        <v>60</v>
      </c>
    </row>
    <row r="53" spans="1:6" x14ac:dyDescent="0.3">
      <c r="A53" s="66" t="s">
        <v>63</v>
      </c>
      <c r="B53" s="67" t="s">
        <v>12</v>
      </c>
      <c r="C53" s="67" t="s">
        <v>119</v>
      </c>
      <c r="D53" s="68">
        <v>3.895</v>
      </c>
      <c r="E53" s="65">
        <v>603.85599999999999</v>
      </c>
      <c r="F53" s="74">
        <v>60</v>
      </c>
    </row>
    <row r="54" spans="1:6" x14ac:dyDescent="0.3">
      <c r="A54" s="66" t="s">
        <v>64</v>
      </c>
      <c r="B54" s="67" t="s">
        <v>12</v>
      </c>
      <c r="C54" s="67" t="s">
        <v>120</v>
      </c>
      <c r="D54" s="68">
        <v>2.62</v>
      </c>
      <c r="E54" s="65">
        <v>488.68900000000002</v>
      </c>
      <c r="F54" s="74">
        <v>60</v>
      </c>
    </row>
    <row r="55" spans="1:6" x14ac:dyDescent="0.3">
      <c r="A55" s="66" t="s">
        <v>65</v>
      </c>
      <c r="B55" s="67" t="s">
        <v>12</v>
      </c>
      <c r="C55" s="67" t="s">
        <v>121</v>
      </c>
      <c r="D55" s="68">
        <v>0.80400000000000005</v>
      </c>
      <c r="E55" s="65">
        <v>381.36700000000002</v>
      </c>
      <c r="F55" s="74">
        <v>60</v>
      </c>
    </row>
    <row r="56" spans="1:6" x14ac:dyDescent="0.3">
      <c r="A56" s="66" t="str">
        <f t="shared" ref="A56" si="0">B56&amp;RIGHT(C56,2)</f>
        <v>SVE21</v>
      </c>
      <c r="B56" s="3" t="s">
        <v>66</v>
      </c>
      <c r="C56" s="67" t="s">
        <v>117</v>
      </c>
      <c r="D56" s="64">
        <v>0.88600000000000001</v>
      </c>
      <c r="E56" s="65">
        <v>560.93585269017797</v>
      </c>
      <c r="F56" s="65">
        <v>135</v>
      </c>
    </row>
    <row r="57" spans="1:6" x14ac:dyDescent="0.3">
      <c r="A57" s="66" t="str">
        <f>B57&amp;RIGHT(C57,2)</f>
        <v>SVE22</v>
      </c>
      <c r="B57" s="3" t="s">
        <v>66</v>
      </c>
      <c r="C57" s="67" t="s">
        <v>118</v>
      </c>
      <c r="D57" s="64">
        <v>0.88600000000000001</v>
      </c>
      <c r="E57" s="65">
        <v>614.47872550832301</v>
      </c>
      <c r="F57" s="65">
        <v>1</v>
      </c>
    </row>
    <row r="58" spans="1:6" x14ac:dyDescent="0.3">
      <c r="A58" s="66" t="str">
        <f>B58&amp;RIGHT(C58,2)</f>
        <v>SVE23</v>
      </c>
      <c r="B58" s="3" t="s">
        <v>66</v>
      </c>
      <c r="C58" s="67" t="s">
        <v>119</v>
      </c>
      <c r="D58" s="64">
        <v>0.84499999999999997</v>
      </c>
      <c r="E58" s="65">
        <v>621.22299129652799</v>
      </c>
      <c r="F58" s="65">
        <v>0</v>
      </c>
    </row>
    <row r="59" spans="1:6" x14ac:dyDescent="0.3">
      <c r="A59" s="66" t="str">
        <f>B59&amp;RIGHT(C59,2)</f>
        <v>SVE24</v>
      </c>
      <c r="B59" s="3" t="s">
        <v>66</v>
      </c>
      <c r="C59" s="67" t="s">
        <v>120</v>
      </c>
      <c r="D59" s="64">
        <v>0.60599999999999998</v>
      </c>
      <c r="E59" s="65">
        <v>610.59658027129899</v>
      </c>
      <c r="F59" s="65">
        <v>0</v>
      </c>
    </row>
    <row r="60" spans="1:6" x14ac:dyDescent="0.3">
      <c r="A60" s="66" t="str">
        <f>B60&amp;RIGHT(C60,2)</f>
        <v>SVE25</v>
      </c>
      <c r="B60" s="3" t="s">
        <v>66</v>
      </c>
      <c r="C60" s="67" t="s">
        <v>121</v>
      </c>
      <c r="D60" s="64">
        <v>0.60599999999999998</v>
      </c>
      <c r="E60" s="65">
        <v>545.43688543661597</v>
      </c>
      <c r="F60" s="65">
        <v>64</v>
      </c>
    </row>
    <row r="61" spans="1:6" x14ac:dyDescent="0.3">
      <c r="A61" s="66" t="str">
        <f t="shared" ref="A61" si="1">B61&amp;RIGHT(C61,2)</f>
        <v>HDD21</v>
      </c>
      <c r="B61" s="3" t="s">
        <v>67</v>
      </c>
      <c r="C61" s="67" t="s">
        <v>117</v>
      </c>
      <c r="D61" s="64">
        <v>2.6249999999999999E-2</v>
      </c>
      <c r="E61" s="65">
        <v>4.3490774731552699</v>
      </c>
      <c r="F61" s="65">
        <v>3</v>
      </c>
    </row>
    <row r="62" spans="1:6" x14ac:dyDescent="0.3">
      <c r="A62" s="66" t="str">
        <f>B62&amp;RIGHT(C62,2)</f>
        <v>HDD22</v>
      </c>
      <c r="B62" s="3" t="s">
        <v>67</v>
      </c>
      <c r="C62" s="67" t="s">
        <v>118</v>
      </c>
      <c r="D62" s="64">
        <v>2.6249999999999999E-2</v>
      </c>
      <c r="E62" s="65">
        <v>4.8159413760622201</v>
      </c>
      <c r="F62" s="65">
        <v>3</v>
      </c>
    </row>
    <row r="63" spans="1:6" x14ac:dyDescent="0.3">
      <c r="A63" s="66" t="str">
        <f>B63&amp;RIGHT(C63,2)</f>
        <v>HDD23</v>
      </c>
      <c r="B63" s="3" t="s">
        <v>67</v>
      </c>
      <c r="C63" s="67" t="s">
        <v>119</v>
      </c>
      <c r="D63" s="64">
        <v>2.6249999999999999E-2</v>
      </c>
      <c r="E63" s="65">
        <v>5.0266953078384402</v>
      </c>
      <c r="F63" s="65">
        <v>3</v>
      </c>
    </row>
    <row r="64" spans="1:6" x14ac:dyDescent="0.3">
      <c r="A64" s="66" t="str">
        <f>B64&amp;RIGHT(C64,2)</f>
        <v>HDD24</v>
      </c>
      <c r="B64" s="3" t="s">
        <v>67</v>
      </c>
      <c r="C64" s="67" t="s">
        <v>120</v>
      </c>
      <c r="D64" s="64">
        <v>2.6249999999999999E-2</v>
      </c>
      <c r="E64" s="65">
        <v>6.13945027329786</v>
      </c>
      <c r="F64" s="65">
        <v>3</v>
      </c>
    </row>
    <row r="65" spans="1:6" x14ac:dyDescent="0.3">
      <c r="A65" s="66" t="str">
        <f>B65&amp;RIGHT(C65,2)</f>
        <v>HDD25</v>
      </c>
      <c r="B65" s="3" t="s">
        <v>67</v>
      </c>
      <c r="C65" s="67" t="s">
        <v>121</v>
      </c>
      <c r="D65" s="64">
        <v>2.6249999999999999E-2</v>
      </c>
      <c r="E65" s="65">
        <v>4.5652000305771701</v>
      </c>
      <c r="F65" s="65">
        <v>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32"/>
  <sheetViews>
    <sheetView showGridLines="0" zoomScale="80" zoomScaleNormal="80" workbookViewId="0"/>
  </sheetViews>
  <sheetFormatPr defaultRowHeight="14.5" x14ac:dyDescent="0.35"/>
  <cols>
    <col min="1" max="1" width="3.6328125" customWidth="1"/>
    <col min="2" max="2" width="11.7265625" customWidth="1"/>
    <col min="3" max="3" width="20.1796875" customWidth="1"/>
    <col min="4" max="4" width="3" customWidth="1"/>
    <col min="5" max="5" width="17.26953125" customWidth="1"/>
    <col min="6" max="6" width="21.6328125" customWidth="1"/>
    <col min="7" max="7" width="18" customWidth="1"/>
    <col min="8" max="8" width="11.26953125" customWidth="1"/>
    <col min="9" max="9" width="56" customWidth="1"/>
    <col min="10" max="10" width="3.6328125" customWidth="1"/>
    <col min="11" max="11" width="15.6328125" customWidth="1"/>
    <col min="12" max="12" width="12.7265625" customWidth="1"/>
    <col min="13" max="13" width="12.7265625" style="18" customWidth="1"/>
    <col min="14" max="17" width="14.26953125" style="1" customWidth="1"/>
    <col min="18" max="21" width="14.26953125" customWidth="1"/>
  </cols>
  <sheetData>
    <row r="1" spans="2:21" x14ac:dyDescent="0.35">
      <c r="B1" s="4"/>
      <c r="C1" s="5"/>
      <c r="D1" s="5"/>
      <c r="E1" s="5"/>
      <c r="F1" s="5"/>
      <c r="G1" s="5"/>
      <c r="H1" s="5"/>
    </row>
    <row r="2" spans="2:21" x14ac:dyDescent="0.35">
      <c r="B2" s="72" t="s">
        <v>124</v>
      </c>
      <c r="C2" s="5"/>
      <c r="D2" s="5"/>
      <c r="E2" s="5"/>
      <c r="F2" s="5"/>
      <c r="G2" s="5"/>
      <c r="H2" s="5"/>
    </row>
    <row r="3" spans="2:21" x14ac:dyDescent="0.35">
      <c r="M3" s="31"/>
      <c r="N3" s="32"/>
      <c r="O3" s="32"/>
      <c r="P3" s="32"/>
      <c r="Q3" s="77"/>
      <c r="R3" s="16"/>
      <c r="S3" s="16"/>
      <c r="T3" s="16"/>
      <c r="U3" s="16"/>
    </row>
    <row r="4" spans="2:21" ht="27" customHeight="1" x14ac:dyDescent="0.35">
      <c r="C4" s="1"/>
      <c r="D4" s="85"/>
      <c r="E4" s="1"/>
      <c r="F4" s="1"/>
      <c r="G4" s="1"/>
      <c r="H4" s="1"/>
      <c r="I4" s="1"/>
      <c r="J4" s="1"/>
      <c r="K4" s="97" t="s">
        <v>112</v>
      </c>
      <c r="L4" s="97"/>
      <c r="M4" s="97"/>
      <c r="N4" s="97"/>
      <c r="O4" s="33"/>
      <c r="P4"/>
      <c r="Q4" s="81"/>
      <c r="R4" s="81"/>
      <c r="S4" s="81"/>
      <c r="T4" s="16"/>
      <c r="U4" s="16"/>
    </row>
    <row r="5" spans="2:21" ht="72.5" x14ac:dyDescent="0.35">
      <c r="C5" s="6" t="s">
        <v>106</v>
      </c>
      <c r="D5" s="83"/>
      <c r="E5" s="6" t="s">
        <v>107</v>
      </c>
      <c r="F5" s="6" t="s">
        <v>76</v>
      </c>
      <c r="G5" s="6" t="s">
        <v>77</v>
      </c>
      <c r="H5" s="6" t="s">
        <v>100</v>
      </c>
      <c r="I5" s="27" t="s">
        <v>99</v>
      </c>
      <c r="K5" s="29" t="s">
        <v>68</v>
      </c>
      <c r="L5" s="29" t="s">
        <v>113</v>
      </c>
      <c r="M5" s="29" t="s">
        <v>69</v>
      </c>
      <c r="N5" s="29" t="s">
        <v>114</v>
      </c>
      <c r="O5" s="5"/>
      <c r="P5"/>
      <c r="Q5" s="16"/>
      <c r="R5" s="16"/>
      <c r="S5" s="16"/>
      <c r="T5" s="16"/>
      <c r="U5" s="16"/>
    </row>
    <row r="6" spans="2:21" x14ac:dyDescent="0.35">
      <c r="B6" s="8" t="s">
        <v>3</v>
      </c>
      <c r="C6" s="10">
        <v>333</v>
      </c>
      <c r="D6" s="84"/>
      <c r="E6" s="35">
        <f>Allowance!H13</f>
        <v>16.70901874676596</v>
      </c>
      <c r="F6" s="34">
        <f t="shared" ref="F6:F16" si="0">(E6/C6)*1000000</f>
        <v>50177.233473771652</v>
      </c>
      <c r="G6" s="11">
        <f>F6-$M$6</f>
        <v>0</v>
      </c>
      <c r="H6" s="78">
        <f>C6*$M$6/1000000</f>
        <v>16.70901874676596</v>
      </c>
      <c r="I6" s="12" t="s">
        <v>78</v>
      </c>
      <c r="K6" s="30">
        <f>(E17/C17)*1000000</f>
        <v>63448.048005751851</v>
      </c>
      <c r="L6" s="30">
        <f>_xlfn.QUARTILE.INC(F6:F16,1)</f>
        <v>33954.343651603966</v>
      </c>
      <c r="M6" s="30">
        <f>_xlfn.QUARTILE.INC(F6:F16,2)</f>
        <v>50177.233473771652</v>
      </c>
      <c r="N6" s="30">
        <f>_xlfn.QUARTILE.INC(F6:F16,3)</f>
        <v>66628.571428571435</v>
      </c>
      <c r="O6" s="5"/>
      <c r="P6"/>
      <c r="Q6" s="16"/>
      <c r="R6" s="16"/>
      <c r="S6" s="16"/>
      <c r="T6" s="16"/>
      <c r="U6" s="16"/>
    </row>
    <row r="7" spans="2:21" ht="29" x14ac:dyDescent="0.35">
      <c r="B7" s="8" t="s">
        <v>67</v>
      </c>
      <c r="C7" s="7">
        <v>15</v>
      </c>
      <c r="D7" s="84"/>
      <c r="E7" s="35">
        <f>Allowance!H14</f>
        <v>0.13125000000000001</v>
      </c>
      <c r="F7" s="34">
        <f t="shared" si="0"/>
        <v>8750</v>
      </c>
      <c r="G7" s="11">
        <f>F7-$M$6</f>
        <v>-41427.233473771652</v>
      </c>
      <c r="H7" s="78">
        <f>C7*$M$6/1000000</f>
        <v>0.75265850210657481</v>
      </c>
      <c r="I7" s="14" t="s">
        <v>109</v>
      </c>
      <c r="K7" s="76"/>
      <c r="L7" s="76"/>
      <c r="M7" s="76"/>
      <c r="N7" s="76"/>
      <c r="O7" s="5"/>
      <c r="P7"/>
      <c r="Q7" s="16"/>
      <c r="R7" s="16"/>
      <c r="S7" s="16"/>
      <c r="T7" s="16"/>
      <c r="U7" s="16"/>
    </row>
    <row r="8" spans="2:21" x14ac:dyDescent="0.35">
      <c r="B8" s="8" t="s">
        <v>4</v>
      </c>
      <c r="C8" s="10">
        <v>70</v>
      </c>
      <c r="D8" s="84"/>
      <c r="E8" s="35">
        <f>Allowance!H15</f>
        <v>4.7080000000000002</v>
      </c>
      <c r="F8" s="34">
        <f t="shared" si="0"/>
        <v>67257.14285714287</v>
      </c>
      <c r="G8" s="11">
        <f t="shared" ref="G8:G15" si="1">F8-$M$6</f>
        <v>17079.909383371218</v>
      </c>
      <c r="H8" s="78">
        <f>C8*$M$6/1000000</f>
        <v>3.5124063431640153</v>
      </c>
      <c r="I8" s="13" t="s">
        <v>83</v>
      </c>
      <c r="K8" s="77"/>
      <c r="L8" s="77"/>
      <c r="M8" s="77"/>
      <c r="N8" s="77"/>
      <c r="O8" s="5"/>
      <c r="P8"/>
      <c r="Q8" s="16"/>
      <c r="R8" s="16"/>
      <c r="S8" s="16"/>
      <c r="T8" s="16"/>
      <c r="U8" s="16"/>
    </row>
    <row r="9" spans="2:21" x14ac:dyDescent="0.35">
      <c r="B9" s="8" t="s">
        <v>5</v>
      </c>
      <c r="C9" s="10">
        <v>150</v>
      </c>
      <c r="D9" s="84"/>
      <c r="E9" s="35">
        <f>Allowance!H16</f>
        <v>7.3145530954811901</v>
      </c>
      <c r="F9" s="34">
        <f t="shared" si="0"/>
        <v>48763.687303207931</v>
      </c>
      <c r="G9" s="11">
        <f t="shared" si="1"/>
        <v>-1413.5461705637208</v>
      </c>
      <c r="H9" s="78">
        <f>C9*$M$6/1000000</f>
        <v>7.5265850210657472</v>
      </c>
      <c r="I9" s="14" t="s">
        <v>82</v>
      </c>
      <c r="K9" s="77"/>
      <c r="L9" s="77"/>
      <c r="M9" s="77"/>
      <c r="N9" s="77"/>
      <c r="O9"/>
      <c r="P9"/>
      <c r="Q9" s="16"/>
      <c r="R9" s="16"/>
      <c r="S9" s="16"/>
      <c r="T9" s="16"/>
      <c r="U9" s="16"/>
    </row>
    <row r="10" spans="2:21" x14ac:dyDescent="0.35">
      <c r="B10" s="8" t="s">
        <v>6</v>
      </c>
      <c r="C10" s="10">
        <v>4</v>
      </c>
      <c r="D10" s="84"/>
      <c r="E10" s="35">
        <f>Allowance!H17</f>
        <v>0.24</v>
      </c>
      <c r="F10" s="34">
        <f t="shared" si="0"/>
        <v>60000</v>
      </c>
      <c r="G10" s="11">
        <f>F10-$M$6</f>
        <v>9822.7665262283481</v>
      </c>
      <c r="H10" s="78">
        <f>C10*$M$6/1000000</f>
        <v>0.20070893389508659</v>
      </c>
      <c r="I10" s="13" t="s">
        <v>98</v>
      </c>
      <c r="K10" s="96"/>
      <c r="L10" s="96"/>
      <c r="M10" s="96"/>
      <c r="N10" s="96"/>
      <c r="O10"/>
      <c r="P10"/>
      <c r="Q10" s="16"/>
      <c r="R10" s="16"/>
      <c r="S10" s="16"/>
      <c r="T10" s="16"/>
      <c r="U10" s="16"/>
    </row>
    <row r="11" spans="2:21" x14ac:dyDescent="0.35">
      <c r="B11" s="8" t="s">
        <v>66</v>
      </c>
      <c r="C11" s="10">
        <v>200</v>
      </c>
      <c r="D11" s="84"/>
      <c r="E11" s="35">
        <f>Allowance!H18</f>
        <v>3.8289999999999997</v>
      </c>
      <c r="F11" s="34">
        <f t="shared" si="0"/>
        <v>19145</v>
      </c>
      <c r="G11" s="11">
        <f t="shared" si="1"/>
        <v>-31032.233473771652</v>
      </c>
      <c r="H11" s="78">
        <f t="shared" ref="H11:H13" si="2">C11*$M$6/1000000</f>
        <v>10.035446694754331</v>
      </c>
      <c r="I11" s="13" t="s">
        <v>79</v>
      </c>
      <c r="K11" s="79"/>
      <c r="L11" s="79"/>
      <c r="M11" s="79"/>
      <c r="N11" s="79"/>
      <c r="O11"/>
      <c r="P11"/>
      <c r="Q11" s="16"/>
      <c r="R11" s="16"/>
      <c r="S11" s="16"/>
      <c r="T11" s="16"/>
      <c r="U11" s="16"/>
    </row>
    <row r="12" spans="2:21" x14ac:dyDescent="0.35">
      <c r="B12" s="8" t="s">
        <v>8</v>
      </c>
      <c r="C12" s="10">
        <v>97</v>
      </c>
      <c r="D12" s="84"/>
      <c r="E12" s="35">
        <f>Allowance!H19</f>
        <v>1.61</v>
      </c>
      <c r="F12" s="34">
        <f t="shared" si="0"/>
        <v>16597.938144329899</v>
      </c>
      <c r="G12" s="11">
        <f t="shared" si="1"/>
        <v>-33579.295329441753</v>
      </c>
      <c r="H12" s="78">
        <f t="shared" si="2"/>
        <v>4.8671916469558507</v>
      </c>
      <c r="I12" s="13" t="s">
        <v>79</v>
      </c>
      <c r="K12" s="80"/>
      <c r="L12" s="80"/>
      <c r="M12" s="80"/>
      <c r="N12" s="80"/>
      <c r="O12"/>
      <c r="P12"/>
      <c r="Q12" s="16"/>
      <c r="R12" s="16"/>
      <c r="S12" s="16"/>
      <c r="T12" s="16"/>
      <c r="U12" s="16"/>
    </row>
    <row r="13" spans="2:21" x14ac:dyDescent="0.35">
      <c r="B13" s="8" t="s">
        <v>9</v>
      </c>
      <c r="C13" s="10">
        <v>123</v>
      </c>
      <c r="D13" s="84"/>
      <c r="E13" s="35">
        <f>Allowance!H20</f>
        <v>22.907873843600001</v>
      </c>
      <c r="F13" s="34">
        <f t="shared" si="0"/>
        <v>186242.87677723577</v>
      </c>
      <c r="G13" s="11">
        <f t="shared" si="1"/>
        <v>136065.64330346411</v>
      </c>
      <c r="H13" s="78">
        <f t="shared" si="2"/>
        <v>6.1717997172739132</v>
      </c>
      <c r="I13" s="14" t="s">
        <v>80</v>
      </c>
      <c r="K13" s="77"/>
      <c r="L13" s="77"/>
      <c r="M13" s="77"/>
      <c r="N13" s="77"/>
      <c r="O13"/>
      <c r="P13"/>
      <c r="Q13" s="16"/>
      <c r="R13" s="16"/>
      <c r="S13" s="16"/>
      <c r="T13" s="16"/>
      <c r="U13" s="16"/>
    </row>
    <row r="14" spans="2:21" ht="43.5" x14ac:dyDescent="0.35">
      <c r="B14" s="8" t="s">
        <v>10</v>
      </c>
      <c r="C14" s="10">
        <v>417</v>
      </c>
      <c r="D14" s="84"/>
      <c r="E14" s="35">
        <f>Allowance!H21</f>
        <v>20.778000000000002</v>
      </c>
      <c r="F14" s="34">
        <f t="shared" si="0"/>
        <v>49827.338129496406</v>
      </c>
      <c r="G14" s="11">
        <f t="shared" si="1"/>
        <v>-349.89534427524632</v>
      </c>
      <c r="H14" s="78">
        <f>C14*$M$6/1000000</f>
        <v>20.923906358562778</v>
      </c>
      <c r="I14" s="14" t="s">
        <v>110</v>
      </c>
      <c r="K14" s="77"/>
      <c r="L14" s="77"/>
      <c r="M14" s="77"/>
      <c r="N14" s="77"/>
      <c r="O14"/>
      <c r="P14"/>
      <c r="Q14" s="16"/>
      <c r="R14" s="16"/>
      <c r="S14" s="16"/>
      <c r="T14" s="16"/>
      <c r="U14" s="16"/>
    </row>
    <row r="15" spans="2:21" ht="29" x14ac:dyDescent="0.35">
      <c r="B15" s="8" t="s">
        <v>11</v>
      </c>
      <c r="C15" s="10">
        <v>63</v>
      </c>
      <c r="D15" s="84"/>
      <c r="E15" s="35">
        <f>Allowance!H22</f>
        <v>14.555362500000008</v>
      </c>
      <c r="F15" s="34">
        <f t="shared" si="0"/>
        <v>231037.50000000012</v>
      </c>
      <c r="G15" s="11">
        <f t="shared" si="1"/>
        <v>180860.26652622846</v>
      </c>
      <c r="H15" s="78">
        <f>C15*$M$6/1000000</f>
        <v>3.1611657088476139</v>
      </c>
      <c r="I15" s="14" t="s">
        <v>111</v>
      </c>
      <c r="K15" s="1"/>
      <c r="L15" s="1"/>
      <c r="M15" s="73"/>
      <c r="O15"/>
      <c r="P15"/>
      <c r="Q15" s="16"/>
      <c r="R15" s="16"/>
      <c r="S15" s="16"/>
      <c r="T15" s="16"/>
      <c r="U15" s="16"/>
    </row>
    <row r="16" spans="2:21" ht="58" x14ac:dyDescent="0.35">
      <c r="B16" s="8" t="s">
        <v>12</v>
      </c>
      <c r="C16" s="10">
        <v>240</v>
      </c>
      <c r="D16" s="84"/>
      <c r="E16" s="35">
        <f>Allowance!H23</f>
        <v>15.840000000000002</v>
      </c>
      <c r="F16" s="34">
        <f t="shared" si="0"/>
        <v>66000</v>
      </c>
      <c r="G16" s="11">
        <f>F16-$M$6</f>
        <v>15822.766526228348</v>
      </c>
      <c r="H16" s="78">
        <f>C16*$M$6/1000000</f>
        <v>12.042536033705197</v>
      </c>
      <c r="I16" s="14" t="s">
        <v>108</v>
      </c>
      <c r="K16" s="1"/>
      <c r="L16" s="9"/>
      <c r="M16" s="73"/>
      <c r="O16"/>
      <c r="P16"/>
      <c r="Q16" s="16"/>
      <c r="R16" s="16"/>
      <c r="S16" s="16"/>
      <c r="T16" s="16"/>
      <c r="U16" s="16"/>
    </row>
    <row r="17" spans="2:21" x14ac:dyDescent="0.35">
      <c r="B17" s="89"/>
      <c r="C17" s="90">
        <f>SUM(C6:C16)</f>
        <v>1712</v>
      </c>
      <c r="D17" s="91"/>
      <c r="E17" s="92">
        <f>SUM(E6:E16)</f>
        <v>108.62305818584716</v>
      </c>
      <c r="F17" s="92">
        <f>SUM(F6:F16)</f>
        <v>803798.71668518463</v>
      </c>
      <c r="G17" s="93">
        <f>F17-$M$6</f>
        <v>753621.48321141303</v>
      </c>
      <c r="H17" s="94">
        <f>SUM(H6:H16)</f>
        <v>85.90342370709709</v>
      </c>
      <c r="K17" s="1"/>
      <c r="L17" s="9"/>
      <c r="M17" s="1"/>
      <c r="O17"/>
      <c r="P17"/>
      <c r="Q17" s="16"/>
      <c r="R17" s="16"/>
      <c r="S17" s="16"/>
      <c r="T17" s="16"/>
      <c r="U17" s="16"/>
    </row>
    <row r="18" spans="2:21" x14ac:dyDescent="0.35">
      <c r="B18" s="5"/>
      <c r="C18" s="77"/>
      <c r="D18" s="32"/>
      <c r="F18" s="32"/>
      <c r="G18" s="1"/>
      <c r="I18" s="1"/>
      <c r="K18" s="1"/>
      <c r="L18" s="19"/>
      <c r="M18" s="9"/>
      <c r="N18" s="28"/>
      <c r="Q18" s="16"/>
      <c r="R18" s="16"/>
      <c r="S18" s="16"/>
      <c r="T18" s="16"/>
      <c r="U18" s="16"/>
    </row>
    <row r="19" spans="2:21" x14ac:dyDescent="0.35">
      <c r="Q19" s="77"/>
      <c r="R19" s="16"/>
      <c r="S19" s="82"/>
      <c r="T19" s="16"/>
      <c r="U19" s="16"/>
    </row>
    <row r="20" spans="2:21" x14ac:dyDescent="0.35">
      <c r="B20" s="16"/>
      <c r="C20" s="16"/>
      <c r="D20" s="16"/>
      <c r="Q20" s="77"/>
      <c r="R20" s="16"/>
      <c r="S20" s="16"/>
      <c r="T20" s="16"/>
      <c r="U20" s="16"/>
    </row>
    <row r="21" spans="2:21" x14ac:dyDescent="0.35">
      <c r="B21" s="16"/>
      <c r="C21" s="16"/>
      <c r="D21" s="16"/>
    </row>
    <row r="22" spans="2:21" x14ac:dyDescent="0.35">
      <c r="B22" s="95"/>
      <c r="C22" s="95"/>
      <c r="D22" s="95"/>
    </row>
    <row r="23" spans="2:21" x14ac:dyDescent="0.35">
      <c r="B23" s="17"/>
      <c r="C23" s="17"/>
      <c r="D23" s="20"/>
      <c r="E23" s="21"/>
    </row>
    <row r="24" spans="2:21" x14ac:dyDescent="0.35">
      <c r="B24" s="21"/>
      <c r="C24" s="21"/>
      <c r="D24" s="21"/>
      <c r="E24" s="21"/>
    </row>
    <row r="25" spans="2:21" x14ac:dyDescent="0.35">
      <c r="B25" s="21"/>
      <c r="C25" s="22"/>
      <c r="D25" s="22"/>
      <c r="E25" s="21"/>
    </row>
    <row r="26" spans="2:21" x14ac:dyDescent="0.35">
      <c r="B26" s="17"/>
      <c r="C26" s="22"/>
      <c r="D26" s="22"/>
      <c r="E26" s="21"/>
    </row>
    <row r="27" spans="2:21" x14ac:dyDescent="0.35">
      <c r="B27" s="17"/>
      <c r="C27" s="23"/>
      <c r="D27" s="23"/>
      <c r="E27" s="21"/>
    </row>
    <row r="28" spans="2:21" x14ac:dyDescent="0.35">
      <c r="B28" s="17"/>
      <c r="C28" s="23"/>
      <c r="D28" s="23"/>
      <c r="E28" s="21"/>
    </row>
    <row r="29" spans="2:21" x14ac:dyDescent="0.35">
      <c r="B29" s="21"/>
      <c r="C29" s="21"/>
      <c r="D29" s="21"/>
    </row>
    <row r="30" spans="2:21" x14ac:dyDescent="0.35">
      <c r="B30" s="21"/>
      <c r="C30" s="23"/>
      <c r="D30" s="23"/>
    </row>
    <row r="31" spans="2:21" x14ac:dyDescent="0.35">
      <c r="B31" s="17"/>
      <c r="C31" s="23"/>
      <c r="D31" s="23"/>
    </row>
    <row r="32" spans="2:21" x14ac:dyDescent="0.35">
      <c r="C32" s="15"/>
      <c r="D32" s="22"/>
    </row>
  </sheetData>
  <mergeCells count="3">
    <mergeCell ref="B22:D22"/>
    <mergeCell ref="K10:N10"/>
    <mergeCell ref="K4:N4"/>
  </mergeCells>
  <conditionalFormatting sqref="B1">
    <cfRule type="cellIs" dxfId="2" priority="8"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M31"/>
  <sheetViews>
    <sheetView showGridLines="0" zoomScale="80" zoomScaleNormal="80" workbookViewId="0"/>
  </sheetViews>
  <sheetFormatPr defaultColWidth="9.26953125" defaultRowHeight="13" x14ac:dyDescent="0.3"/>
  <cols>
    <col min="1" max="2" width="2.6328125" style="2" customWidth="1"/>
    <col min="3" max="3" width="14.26953125" style="2" customWidth="1"/>
    <col min="4" max="4" width="19.26953125" style="2" customWidth="1"/>
    <col min="5" max="5" width="14.26953125" style="2" customWidth="1"/>
    <col min="6" max="6" width="15.6328125" style="2" customWidth="1"/>
    <col min="7" max="8" width="12.7265625" style="2" customWidth="1"/>
    <col min="9" max="9" width="13.7265625" style="50" customWidth="1"/>
    <col min="10" max="10" width="11.6328125" style="2" bestFit="1" customWidth="1"/>
    <col min="11" max="11" width="11.6328125" style="2" customWidth="1"/>
    <col min="12" max="12" width="11.26953125" style="2" bestFit="1" customWidth="1"/>
    <col min="13" max="13" width="12.6328125" style="2" customWidth="1"/>
    <col min="14" max="14" width="31.26953125" style="2" bestFit="1" customWidth="1"/>
    <col min="15" max="16384" width="9.26953125" style="2"/>
  </cols>
  <sheetData>
    <row r="1" spans="2:13" ht="18.5" x14ac:dyDescent="0.45">
      <c r="B1" s="71" t="s">
        <v>84</v>
      </c>
      <c r="C1" s="40"/>
      <c r="D1" s="40"/>
      <c r="E1" s="40"/>
      <c r="F1" s="40"/>
      <c r="G1" s="40"/>
      <c r="H1" s="40"/>
      <c r="I1" s="41"/>
      <c r="J1" s="40"/>
      <c r="K1" s="40"/>
      <c r="L1" s="40"/>
    </row>
    <row r="3" spans="2:13" x14ac:dyDescent="0.3">
      <c r="C3" s="42" t="s">
        <v>14</v>
      </c>
      <c r="D3" s="86" t="s">
        <v>115</v>
      </c>
      <c r="E3" s="43"/>
      <c r="F3" s="43"/>
      <c r="G3" s="43"/>
      <c r="H3" s="43"/>
      <c r="I3" s="44"/>
    </row>
    <row r="4" spans="2:13" x14ac:dyDescent="0.3">
      <c r="C4" s="42" t="s">
        <v>85</v>
      </c>
      <c r="D4" s="86" t="s">
        <v>116</v>
      </c>
      <c r="E4" s="43"/>
      <c r="F4" s="43"/>
      <c r="G4" s="43"/>
      <c r="H4" s="43"/>
      <c r="I4" s="44"/>
    </row>
    <row r="5" spans="2:13" x14ac:dyDescent="0.3">
      <c r="C5" s="42" t="s">
        <v>86</v>
      </c>
      <c r="D5" s="86" t="s">
        <v>72</v>
      </c>
      <c r="E5" s="45"/>
      <c r="F5" s="45"/>
      <c r="G5" s="45"/>
      <c r="H5" s="45"/>
      <c r="I5" s="46"/>
      <c r="J5" s="47"/>
      <c r="K5" s="47"/>
    </row>
    <row r="6" spans="2:13" x14ac:dyDescent="0.3">
      <c r="C6" s="42" t="s">
        <v>87</v>
      </c>
      <c r="D6" s="86" t="s">
        <v>103</v>
      </c>
      <c r="E6" s="45"/>
      <c r="F6" s="45"/>
      <c r="G6" s="45"/>
      <c r="H6" s="45"/>
      <c r="I6" s="48"/>
    </row>
    <row r="7" spans="2:13" x14ac:dyDescent="0.3">
      <c r="C7" s="49" t="s">
        <v>15</v>
      </c>
      <c r="D7" s="86" t="s">
        <v>74</v>
      </c>
      <c r="E7" s="43"/>
      <c r="F7" s="43"/>
      <c r="G7" s="43"/>
      <c r="H7" s="43"/>
      <c r="I7" s="44"/>
    </row>
    <row r="10" spans="2:13" ht="12.75" customHeight="1" x14ac:dyDescent="0.3">
      <c r="B10" s="24" t="s">
        <v>88</v>
      </c>
    </row>
    <row r="11" spans="2:13" ht="12.75" customHeight="1" x14ac:dyDescent="0.3">
      <c r="B11" s="47"/>
      <c r="C11" s="47"/>
      <c r="D11" s="47"/>
      <c r="E11" s="47"/>
      <c r="F11" s="47"/>
      <c r="G11" s="47"/>
      <c r="H11" s="47"/>
      <c r="I11" s="51"/>
      <c r="J11" s="52"/>
      <c r="K11" s="47"/>
    </row>
    <row r="12" spans="2:13" ht="52" x14ac:dyDescent="0.3">
      <c r="C12" s="25" t="s">
        <v>13</v>
      </c>
      <c r="D12" s="25" t="s">
        <v>95</v>
      </c>
      <c r="E12" s="25" t="s">
        <v>91</v>
      </c>
      <c r="F12" s="25" t="s">
        <v>92</v>
      </c>
      <c r="G12" s="25" t="s">
        <v>93</v>
      </c>
      <c r="H12" s="25" t="s">
        <v>122</v>
      </c>
      <c r="I12" s="36" t="s">
        <v>123</v>
      </c>
      <c r="J12" s="26" t="s">
        <v>94</v>
      </c>
      <c r="K12" s="25" t="s">
        <v>96</v>
      </c>
      <c r="L12" s="25" t="s">
        <v>97</v>
      </c>
      <c r="M12" s="25" t="s">
        <v>89</v>
      </c>
    </row>
    <row r="13" spans="2:13" x14ac:dyDescent="0.3">
      <c r="B13" s="53">
        <v>1</v>
      </c>
      <c r="C13" s="54" t="s">
        <v>3</v>
      </c>
      <c r="D13" s="55">
        <f>SUMIF(Data!$B$6:$B$65,Allowance!$C13,Data!$D$6:$D$65)</f>
        <v>16.729018746765959</v>
      </c>
      <c r="E13" s="87">
        <v>0</v>
      </c>
      <c r="F13" s="87">
        <v>-0.02</v>
      </c>
      <c r="G13" s="88">
        <f>F13-E13</f>
        <v>-0.02</v>
      </c>
      <c r="H13" s="55">
        <f>D13+G13</f>
        <v>16.70901874676596</v>
      </c>
      <c r="I13" s="56">
        <f>INDEX(Analysis!$H$6:$H$16,MATCH(Allowance!$C13,Analysis!$B$6:$B$16,0))</f>
        <v>16.70901874676596</v>
      </c>
      <c r="J13" s="57">
        <f>MIN(H13,I13)</f>
        <v>16.70901874676596</v>
      </c>
      <c r="K13" s="55">
        <v>0</v>
      </c>
      <c r="L13" s="55">
        <f>$J13*$K13</f>
        <v>0</v>
      </c>
      <c r="M13" s="55">
        <f>$J13*(1-$K13)</f>
        <v>16.70901874676596</v>
      </c>
    </row>
    <row r="14" spans="2:13" x14ac:dyDescent="0.3">
      <c r="B14" s="53">
        <v>2</v>
      </c>
      <c r="C14" s="54" t="s">
        <v>67</v>
      </c>
      <c r="D14" s="55">
        <f>SUMIF(Data!$B$6:$B$65,Allowance!$C14,Data!$D$6:$D$65)</f>
        <v>0.13125000000000001</v>
      </c>
      <c r="E14" s="87">
        <v>0</v>
      </c>
      <c r="F14" s="87">
        <v>0</v>
      </c>
      <c r="G14" s="88">
        <f t="shared" ref="G14:G23" si="0">F14-E14</f>
        <v>0</v>
      </c>
      <c r="H14" s="55">
        <f t="shared" ref="H14" si="1">D14+G14</f>
        <v>0.13125000000000001</v>
      </c>
      <c r="I14" s="56">
        <f>INDEX(Analysis!$H$6:$H$16,MATCH(Allowance!$C14,Analysis!$B$6:$B$16,0))</f>
        <v>0.75265850210657481</v>
      </c>
      <c r="J14" s="57">
        <f t="shared" ref="J14" si="2">MIN(H14,I14)</f>
        <v>0.13125000000000001</v>
      </c>
      <c r="K14" s="55">
        <v>0</v>
      </c>
      <c r="L14" s="55">
        <f t="shared" ref="L14:L23" si="3">$J14*$K14</f>
        <v>0</v>
      </c>
      <c r="M14" s="55">
        <f t="shared" ref="M14:M23" si="4">$J14*(1-$K14)</f>
        <v>0.13125000000000001</v>
      </c>
    </row>
    <row r="15" spans="2:13" x14ac:dyDescent="0.3">
      <c r="B15" s="53">
        <v>3</v>
      </c>
      <c r="C15" s="54" t="s">
        <v>4</v>
      </c>
      <c r="D15" s="55">
        <f>SUMIF(Data!$B$6:$B$65,Allowance!$C15,Data!$D$6:$D$65)</f>
        <v>4.7080000000000002</v>
      </c>
      <c r="E15" s="87">
        <v>0</v>
      </c>
      <c r="F15" s="87">
        <v>0</v>
      </c>
      <c r="G15" s="88">
        <f t="shared" si="0"/>
        <v>0</v>
      </c>
      <c r="H15" s="55">
        <f t="shared" ref="H15:H23" si="5">D15+G15</f>
        <v>4.7080000000000002</v>
      </c>
      <c r="I15" s="56">
        <f>INDEX(Analysis!$H$6:$H$16,MATCH(Allowance!$C15,Analysis!$B$6:$B$16,0))</f>
        <v>3.5124063431640153</v>
      </c>
      <c r="J15" s="57">
        <f t="shared" ref="J15:J23" si="6">MIN(H15,I15)</f>
        <v>3.5124063431640153</v>
      </c>
      <c r="K15" s="55">
        <v>0</v>
      </c>
      <c r="L15" s="55">
        <f t="shared" si="3"/>
        <v>0</v>
      </c>
      <c r="M15" s="55">
        <f t="shared" si="4"/>
        <v>3.5124063431640153</v>
      </c>
    </row>
    <row r="16" spans="2:13" x14ac:dyDescent="0.3">
      <c r="B16" s="53">
        <v>4</v>
      </c>
      <c r="C16" s="54" t="s">
        <v>5</v>
      </c>
      <c r="D16" s="55">
        <f>SUMIF(Data!$B$6:$B$65,Allowance!$C16,Data!$D$6:$D$65)</f>
        <v>7.3145530954811901</v>
      </c>
      <c r="E16" s="87">
        <v>0</v>
      </c>
      <c r="F16" s="87">
        <v>0</v>
      </c>
      <c r="G16" s="88">
        <f t="shared" si="0"/>
        <v>0</v>
      </c>
      <c r="H16" s="55">
        <f t="shared" si="5"/>
        <v>7.3145530954811901</v>
      </c>
      <c r="I16" s="56">
        <f>INDEX(Analysis!$H$6:$H$16,MATCH(Allowance!$C16,Analysis!$B$6:$B$16,0))</f>
        <v>7.5265850210657472</v>
      </c>
      <c r="J16" s="57">
        <f t="shared" si="6"/>
        <v>7.3145530954811901</v>
      </c>
      <c r="K16" s="55">
        <v>0</v>
      </c>
      <c r="L16" s="55">
        <f t="shared" si="3"/>
        <v>0</v>
      </c>
      <c r="M16" s="55">
        <f t="shared" si="4"/>
        <v>7.3145530954811901</v>
      </c>
    </row>
    <row r="17" spans="2:13" x14ac:dyDescent="0.3">
      <c r="B17" s="53">
        <v>5</v>
      </c>
      <c r="C17" s="54" t="s">
        <v>6</v>
      </c>
      <c r="D17" s="55">
        <f>SUMIF(Data!$B$6:$B$65,Allowance!$C17,Data!$D$6:$D$65)</f>
        <v>0.24</v>
      </c>
      <c r="E17" s="87">
        <v>0</v>
      </c>
      <c r="F17" s="87">
        <v>0</v>
      </c>
      <c r="G17" s="88">
        <f t="shared" si="0"/>
        <v>0</v>
      </c>
      <c r="H17" s="55">
        <f t="shared" si="5"/>
        <v>0.24</v>
      </c>
      <c r="I17" s="56">
        <f>INDEX(Analysis!$H$6:$H$16,MATCH(Allowance!$C17,Analysis!$B$6:$B$16,0))</f>
        <v>0.20070893389508659</v>
      </c>
      <c r="J17" s="57">
        <f t="shared" si="6"/>
        <v>0.20070893389508659</v>
      </c>
      <c r="K17" s="55">
        <v>0</v>
      </c>
      <c r="L17" s="55">
        <f t="shared" si="3"/>
        <v>0</v>
      </c>
      <c r="M17" s="55">
        <f t="shared" si="4"/>
        <v>0.20070893389508659</v>
      </c>
    </row>
    <row r="18" spans="2:13" x14ac:dyDescent="0.3">
      <c r="B18" s="53">
        <v>6</v>
      </c>
      <c r="C18" s="54" t="s">
        <v>66</v>
      </c>
      <c r="D18" s="55">
        <f>SUMIF(Data!$B$6:$B$65,Allowance!$C18,Data!$D$6:$D$65)</f>
        <v>3.8289999999999997</v>
      </c>
      <c r="E18" s="87">
        <v>0</v>
      </c>
      <c r="F18" s="87">
        <v>0</v>
      </c>
      <c r="G18" s="88">
        <f t="shared" si="0"/>
        <v>0</v>
      </c>
      <c r="H18" s="55">
        <f t="shared" ref="H18" si="7">D18+G18</f>
        <v>3.8289999999999997</v>
      </c>
      <c r="I18" s="56">
        <f>INDEX(Analysis!$H$6:$H$16,MATCH(Allowance!$C18,Analysis!$B$6:$B$16,0))</f>
        <v>10.035446694754331</v>
      </c>
      <c r="J18" s="57">
        <f t="shared" ref="J18" si="8">MIN(H18,I18)</f>
        <v>3.8289999999999997</v>
      </c>
      <c r="K18" s="55">
        <v>0</v>
      </c>
      <c r="L18" s="55">
        <f t="shared" si="3"/>
        <v>0</v>
      </c>
      <c r="M18" s="55">
        <f t="shared" si="4"/>
        <v>3.8289999999999997</v>
      </c>
    </row>
    <row r="19" spans="2:13" x14ac:dyDescent="0.3">
      <c r="B19" s="53">
        <v>7</v>
      </c>
      <c r="C19" s="54" t="s">
        <v>8</v>
      </c>
      <c r="D19" s="55">
        <f>SUMIF(Data!$B$6:$B$65,Allowance!$C19,Data!$D$6:$D$65)</f>
        <v>1.61</v>
      </c>
      <c r="E19" s="87">
        <v>0</v>
      </c>
      <c r="F19" s="87">
        <v>0</v>
      </c>
      <c r="G19" s="88">
        <f t="shared" si="0"/>
        <v>0</v>
      </c>
      <c r="H19" s="55">
        <f t="shared" si="5"/>
        <v>1.61</v>
      </c>
      <c r="I19" s="56">
        <f>INDEX(Analysis!$H$6:$H$16,MATCH(Allowance!$C19,Analysis!$B$6:$B$16,0))</f>
        <v>4.8671916469558507</v>
      </c>
      <c r="J19" s="57">
        <f t="shared" si="6"/>
        <v>1.61</v>
      </c>
      <c r="K19" s="55">
        <v>0</v>
      </c>
      <c r="L19" s="55">
        <f t="shared" si="3"/>
        <v>0</v>
      </c>
      <c r="M19" s="55">
        <f t="shared" si="4"/>
        <v>1.61</v>
      </c>
    </row>
    <row r="20" spans="2:13" x14ac:dyDescent="0.3">
      <c r="B20" s="53">
        <v>8</v>
      </c>
      <c r="C20" s="54" t="s">
        <v>9</v>
      </c>
      <c r="D20" s="55">
        <f>SUMIF(Data!$B$6:$B$65,Allowance!$C20,Data!$D$6:$D$65)</f>
        <v>22.907873843600001</v>
      </c>
      <c r="E20" s="87">
        <v>0</v>
      </c>
      <c r="F20" s="87">
        <v>0</v>
      </c>
      <c r="G20" s="88">
        <f t="shared" si="0"/>
        <v>0</v>
      </c>
      <c r="H20" s="55">
        <f t="shared" si="5"/>
        <v>22.907873843600001</v>
      </c>
      <c r="I20" s="56">
        <f>INDEX(Analysis!$H$6:$H$16,MATCH(Allowance!$C20,Analysis!$B$6:$B$16,0))</f>
        <v>6.1717997172739132</v>
      </c>
      <c r="J20" s="57">
        <f t="shared" si="6"/>
        <v>6.1717997172739132</v>
      </c>
      <c r="K20" s="55">
        <v>0</v>
      </c>
      <c r="L20" s="55">
        <f t="shared" si="3"/>
        <v>0</v>
      </c>
      <c r="M20" s="55">
        <f t="shared" si="4"/>
        <v>6.1717997172739132</v>
      </c>
    </row>
    <row r="21" spans="2:13" x14ac:dyDescent="0.3">
      <c r="B21" s="53">
        <v>9</v>
      </c>
      <c r="C21" s="54" t="s">
        <v>10</v>
      </c>
      <c r="D21" s="55">
        <f>SUMIF(Data!$B$6:$B$65,Allowance!$C21,Data!$D$6:$D$65)</f>
        <v>20.778000000000002</v>
      </c>
      <c r="E21" s="87">
        <v>0</v>
      </c>
      <c r="F21" s="87">
        <v>0</v>
      </c>
      <c r="G21" s="88">
        <f t="shared" si="0"/>
        <v>0</v>
      </c>
      <c r="H21" s="55">
        <f t="shared" si="5"/>
        <v>20.778000000000002</v>
      </c>
      <c r="I21" s="56">
        <f>INDEX(Analysis!$H$6:$H$16,MATCH(Allowance!$C21,Analysis!$B$6:$B$16,0))</f>
        <v>20.923906358562778</v>
      </c>
      <c r="J21" s="57">
        <f t="shared" si="6"/>
        <v>20.778000000000002</v>
      </c>
      <c r="K21" s="55">
        <v>0</v>
      </c>
      <c r="L21" s="55">
        <f t="shared" si="3"/>
        <v>0</v>
      </c>
      <c r="M21" s="55">
        <f t="shared" si="4"/>
        <v>20.778000000000002</v>
      </c>
    </row>
    <row r="22" spans="2:13" x14ac:dyDescent="0.3">
      <c r="B22" s="53">
        <v>10</v>
      </c>
      <c r="C22" s="54" t="s">
        <v>11</v>
      </c>
      <c r="D22" s="55">
        <f>SUMIF(Data!$B$6:$B$65,Allowance!$C22,Data!$D$6:$D$65)</f>
        <v>14.555362500000008</v>
      </c>
      <c r="E22" s="87">
        <v>0</v>
      </c>
      <c r="F22" s="87">
        <v>0</v>
      </c>
      <c r="G22" s="88">
        <f t="shared" si="0"/>
        <v>0</v>
      </c>
      <c r="H22" s="55">
        <f t="shared" si="5"/>
        <v>14.555362500000008</v>
      </c>
      <c r="I22" s="56">
        <f>INDEX(Analysis!$H$6:$H$16,MATCH(Allowance!$C22,Analysis!$B$6:$B$16,0))</f>
        <v>3.1611657088476139</v>
      </c>
      <c r="J22" s="57">
        <f t="shared" si="6"/>
        <v>3.1611657088476139</v>
      </c>
      <c r="K22" s="55">
        <v>0</v>
      </c>
      <c r="L22" s="55">
        <f t="shared" si="3"/>
        <v>0</v>
      </c>
      <c r="M22" s="55">
        <f t="shared" si="4"/>
        <v>3.1611657088476139</v>
      </c>
    </row>
    <row r="23" spans="2:13" x14ac:dyDescent="0.3">
      <c r="B23" s="53">
        <v>11</v>
      </c>
      <c r="C23" s="54" t="s">
        <v>12</v>
      </c>
      <c r="D23" s="55">
        <f>SUMIF(Data!$B$6:$B$65,Allowance!$C23,Data!$D$6:$D$65)</f>
        <v>15.840000000000002</v>
      </c>
      <c r="E23" s="87">
        <v>0</v>
      </c>
      <c r="F23" s="87">
        <v>0</v>
      </c>
      <c r="G23" s="88">
        <f t="shared" si="0"/>
        <v>0</v>
      </c>
      <c r="H23" s="55">
        <f t="shared" si="5"/>
        <v>15.840000000000002</v>
      </c>
      <c r="I23" s="56">
        <f>INDEX(Analysis!$H$6:$H$16,MATCH(Allowance!$C23,Analysis!$B$6:$B$16,0))</f>
        <v>12.042536033705197</v>
      </c>
      <c r="J23" s="57">
        <f t="shared" si="6"/>
        <v>12.042536033705197</v>
      </c>
      <c r="K23" s="55">
        <v>0</v>
      </c>
      <c r="L23" s="55">
        <f t="shared" si="3"/>
        <v>0</v>
      </c>
      <c r="M23" s="55">
        <f t="shared" si="4"/>
        <v>12.042536033705197</v>
      </c>
    </row>
    <row r="24" spans="2:13" x14ac:dyDescent="0.3">
      <c r="C24" s="58" t="s">
        <v>90</v>
      </c>
      <c r="D24" s="59">
        <f t="shared" ref="D24:M24" si="9">SUM(D13:D23)</f>
        <v>108.64305818584717</v>
      </c>
      <c r="E24" s="59">
        <f t="shared" ref="E24:G24" si="10">SUM(E13:E23)</f>
        <v>0</v>
      </c>
      <c r="F24" s="59">
        <f t="shared" si="10"/>
        <v>-0.02</v>
      </c>
      <c r="G24" s="59">
        <f t="shared" si="10"/>
        <v>-0.02</v>
      </c>
      <c r="H24" s="59">
        <f t="shared" si="9"/>
        <v>108.62305818584716</v>
      </c>
      <c r="I24" s="60">
        <f t="shared" si="9"/>
        <v>85.90342370709709</v>
      </c>
      <c r="J24" s="61">
        <f t="shared" si="9"/>
        <v>75.460438579132983</v>
      </c>
      <c r="K24" s="59">
        <f t="shared" si="9"/>
        <v>0</v>
      </c>
      <c r="L24" s="59">
        <f t="shared" si="9"/>
        <v>0</v>
      </c>
      <c r="M24" s="59">
        <f t="shared" si="9"/>
        <v>75.460438579132983</v>
      </c>
    </row>
    <row r="25" spans="2:13" x14ac:dyDescent="0.3">
      <c r="I25" s="2"/>
      <c r="L25" s="50"/>
      <c r="M25" s="50"/>
    </row>
    <row r="26" spans="2:13" x14ac:dyDescent="0.3">
      <c r="I26" s="2"/>
    </row>
    <row r="27" spans="2:13" x14ac:dyDescent="0.3">
      <c r="D27" s="75"/>
      <c r="I27" s="2"/>
      <c r="L27" s="50"/>
      <c r="M27" s="50"/>
    </row>
    <row r="28" spans="2:13" x14ac:dyDescent="0.3">
      <c r="I28" s="2"/>
      <c r="L28" s="50"/>
      <c r="M28" s="50"/>
    </row>
    <row r="29" spans="2:13" x14ac:dyDescent="0.3">
      <c r="D29" s="50"/>
      <c r="E29" s="50"/>
      <c r="F29" s="50"/>
      <c r="G29" s="50"/>
      <c r="H29" s="50"/>
      <c r="J29" s="50"/>
      <c r="K29" s="50"/>
      <c r="L29" s="50"/>
      <c r="M29" s="50"/>
    </row>
    <row r="30" spans="2:13" x14ac:dyDescent="0.3">
      <c r="D30" s="50"/>
      <c r="E30" s="50"/>
      <c r="F30" s="50"/>
      <c r="G30" s="50"/>
      <c r="H30" s="50"/>
      <c r="J30" s="50"/>
      <c r="K30" s="50"/>
      <c r="L30" s="50"/>
      <c r="M30" s="50"/>
    </row>
    <row r="31" spans="2:13" x14ac:dyDescent="0.3">
      <c r="D31" s="50"/>
      <c r="E31" s="50"/>
      <c r="F31" s="50"/>
      <c r="G31" s="50"/>
      <c r="H31" s="50"/>
      <c r="J31" s="50"/>
      <c r="K31" s="50"/>
      <c r="L31" s="50"/>
      <c r="M31" s="50"/>
    </row>
  </sheetData>
  <conditionalFormatting sqref="G13:G23">
    <cfRule type="cellIs" dxfId="1" priority="1" operator="lessThan">
      <formula>0</formula>
    </cfRule>
    <cfRule type="cellIs" dxfId="0" priority="2" operator="greaterThan">
      <formula>0</formula>
    </cfRule>
  </conditionalFormatting>
  <dataValidations count="1">
    <dataValidation type="list" allowBlank="1" showInputMessage="1" showErrorMessage="1" sqref="D7:I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Data</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2019-01-24T10:22:07Z</dcterms:created>
  <dcterms:modified xsi:type="dcterms:W3CDTF">2019-01-25T15:44:06Z</dcterms:modified>
  <cp:category/>
  <cp:contentStatus/>
</cp:coreProperties>
</file>