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fileSharing readOnlyRecommended="1"/>
  <workbookPr filterPrivacy="1" codeName="ThisWorkbook" defaultThemeVersion="153222"/>
  <bookViews>
    <workbookView xWindow="0" yWindow="0" windowWidth="15945" windowHeight="12735"/>
  </bookViews>
  <sheets>
    <sheet name="Cover" sheetId="8" r:id="rId1"/>
    <sheet name="Controls" sheetId="4" r:id="rId2"/>
    <sheet name="Data" sheetId="1" r:id="rId3"/>
    <sheet name="Coeffs" sheetId="2" r:id="rId4"/>
    <sheet name="Forecast drivers" sheetId="12" r:id="rId5"/>
    <sheet name="Selected forecast drivers" sheetId="9" r:id="rId6"/>
    <sheet name="Modelled costs" sheetId="3" r:id="rId7"/>
    <sheet name="Allowance" sheetId="7" r:id="rId8"/>
    <sheet name="Apportioned allowances" sheetId="11"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s>
  <definedNames>
    <definedName name="____net1" localSheetId="4" hidden="1">{"NET",#N/A,FALSE,"401C11"}</definedName>
    <definedName name="____net1" hidden="1">{"NET",#N/A,FALSE,"401C11"}</definedName>
    <definedName name="__123Graph_A" localSheetId="8" hidden="1">'[1]2002PCTs'!#REF!</definedName>
    <definedName name="__123Graph_A" hidden="1">'[1]2002PCTs'!#REF!</definedName>
    <definedName name="__123Graph_B" localSheetId="8" hidden="1">[2]Dnurse!#REF!</definedName>
    <definedName name="__123Graph_B" hidden="1">[2]Dnurse!#REF!</definedName>
    <definedName name="__123Graph_C" localSheetId="8" hidden="1">[2]Dnurse!#REF!</definedName>
    <definedName name="__123Graph_C" hidden="1">[2]Dnurse!#REF!</definedName>
    <definedName name="__123Graph_X" localSheetId="8" hidden="1">[2]Dnurse!#REF!</definedName>
    <definedName name="__123Graph_X" localSheetId="4" hidden="1">[3]Aln!#REF!</definedName>
    <definedName name="__123Graph_X" hidden="1">[2]Dnurse!#REF!</definedName>
    <definedName name="__net1" localSheetId="4" hidden="1">{"NET",#N/A,FALSE,"401C11"}</definedName>
    <definedName name="__net1" hidden="1">{"NET",#N/A,FALSE,"401C11"}</definedName>
    <definedName name="_1_0__123Grap" localSheetId="8" hidden="1">'[4]#REF'!#REF!</definedName>
    <definedName name="_1_0__123Grap" hidden="1">'[4]#REF'!#REF!</definedName>
    <definedName name="_1_123Grap" localSheetId="8" hidden="1">'[5]#REF'!#REF!</definedName>
    <definedName name="_1_123Grap" hidden="1">'[5]#REF'!#REF!</definedName>
    <definedName name="_123Graph_F" hidden="1">'[6]Chelmsford '!$G$18:$G$28</definedName>
    <definedName name="_2_0__123Grap" localSheetId="8" hidden="1">'[5]#REF'!#REF!</definedName>
    <definedName name="_2_0__123Grap" localSheetId="4" hidden="1">'[5]#REF'!#REF!</definedName>
    <definedName name="_2_0__123Grap" hidden="1">'[5]#REF'!#REF!</definedName>
    <definedName name="_2_123Grap" localSheetId="8" hidden="1">'[2]#REF'!#REF!</definedName>
    <definedName name="_2_123Grap" localSheetId="4" hidden="1">'[2]#REF'!#REF!</definedName>
    <definedName name="_2_123Grap" hidden="1">'[2]#REF'!#REF!</definedName>
    <definedName name="_3_0_S" localSheetId="8" hidden="1">'[4]#REF'!#REF!</definedName>
    <definedName name="_3_0_S" localSheetId="4" hidden="1">'[4]#REF'!#REF!</definedName>
    <definedName name="_3_0_S" hidden="1">'[4]#REF'!#REF!</definedName>
    <definedName name="_3_123Grap" localSheetId="8" hidden="1">'[5]#REF'!#REF!</definedName>
    <definedName name="_3_123Grap" localSheetId="4" hidden="1">'[5]#REF'!#REF!</definedName>
    <definedName name="_3_123Grap" hidden="1">'[5]#REF'!#REF!</definedName>
    <definedName name="_34_123Grap" localSheetId="8" hidden="1">'[5]#REF'!#REF!</definedName>
    <definedName name="_34_123Grap" hidden="1">'[5]#REF'!#REF!</definedName>
    <definedName name="_42S" localSheetId="8" hidden="1">'[5]#REF'!#REF!</definedName>
    <definedName name="_42S" hidden="1">'[5]#REF'!#REF!</definedName>
    <definedName name="_4S" localSheetId="8" hidden="1">'[5]#REF'!#REF!</definedName>
    <definedName name="_4S" hidden="1">'[5]#REF'!#REF!</definedName>
    <definedName name="_5_0__123Grap" localSheetId="8" hidden="1">'[5]#REF'!#REF!</definedName>
    <definedName name="_5_0__123Grap" hidden="1">'[5]#REF'!#REF!</definedName>
    <definedName name="_6_0_S" localSheetId="8" hidden="1">'[5]#REF'!#REF!</definedName>
    <definedName name="_6_0_S" hidden="1">'[5]#REF'!#REF!</definedName>
    <definedName name="_6_123Grap" localSheetId="8" hidden="1">'[2]#REF'!#REF!</definedName>
    <definedName name="_6_123Grap" hidden="1">'[2]#REF'!#REF!</definedName>
    <definedName name="_8_123Grap" localSheetId="8" hidden="1">'[5]#REF'!#REF!</definedName>
    <definedName name="_8_123Grap" hidden="1">'[5]#REF'!#REF!</definedName>
    <definedName name="_8S" localSheetId="8" hidden="1">'[2]#REF'!#REF!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8" hidden="1">#REF!</definedName>
    <definedName name="_Dist_Values" localSheetId="4" hidden="1">#REF!</definedName>
    <definedName name="_Dist_Values" hidden="1">#REF!</definedName>
    <definedName name="_Fill" localSheetId="8" hidden="1">#REF!</definedName>
    <definedName name="_Fill" localSheetId="4" hidden="1">#REF!</definedName>
    <definedName name="_Fill" hidden="1">#REF!</definedName>
    <definedName name="_xlnm._FilterDatabase" localSheetId="2" hidden="1">Data!$A$7:$N$175</definedName>
    <definedName name="_xlnm._FilterDatabase" localSheetId="4" hidden="1">'Forecast drivers'!$A$1:$A$42</definedName>
    <definedName name="_Key1" localSheetId="8" hidden="1">'[2]#REF'!#REF!</definedName>
    <definedName name="_Key1" localSheetId="4" hidden="1">#REF!</definedName>
    <definedName name="_Key1" hidden="1">'[2]#REF'!#REF!</definedName>
    <definedName name="_Key2" localSheetId="8" hidden="1">#REF!</definedName>
    <definedName name="_Key2" localSheetId="4" hidden="1">#REF!</definedName>
    <definedName name="_Key2" hidden="1">#REF!</definedName>
    <definedName name="_net1" localSheetId="4" hidden="1">{"NET",#N/A,FALSE,"401C11"}</definedName>
    <definedName name="_net1" hidden="1">{"NET",#N/A,FALSE,"401C11"}</definedName>
    <definedName name="_Order1" hidden="1">255</definedName>
    <definedName name="_Order2" hidden="1">255</definedName>
    <definedName name="_Sort" localSheetId="8" hidden="1">#REF!</definedName>
    <definedName name="_Sort" localSheetId="4" hidden="1">#REF!</definedName>
    <definedName name="_Sort" hidden="1">#REF!</definedName>
    <definedName name="a" localSheetId="4" hidden="1">{"CHARGE",#N/A,FALSE,"401C11"}</definedName>
    <definedName name="a" hidden="1">{"CHARGE",#N/A,FALSE,"401C11"}</definedName>
    <definedName name="aa" localSheetId="4" hidden="1">{"CHARGE",#N/A,FALSE,"401C11"}</definedName>
    <definedName name="aa" hidden="1">{"CHARGE",#N/A,FALSE,"401C11"}</definedName>
    <definedName name="aaa" localSheetId="4" hidden="1">{"CHARGE",#N/A,FALSE,"401C11"}</definedName>
    <definedName name="aaa" hidden="1">{"CHARGE",#N/A,FALSE,"401C11"}</definedName>
    <definedName name="aaaa" localSheetId="4" hidden="1">{"CHARGE",#N/A,FALSE,"401C11"}</definedName>
    <definedName name="aaaa" hidden="1">{"CHARGE",#N/A,FALSE,"401C11"}</definedName>
    <definedName name="abc" localSheetId="4" hidden="1">{"NET",#N/A,FALSE,"401C11"}</definedName>
    <definedName name="abc" hidden="1">{"NET",#N/A,FALSE,"401C11"}</definedName>
    <definedName name="adbr" localSheetId="4" hidden="1">{"CHARGE",#N/A,FALSE,"401C11"}</definedName>
    <definedName name="adbr" hidden="1">{"CHARGE",#N/A,FALSE,"401C11"}</definedName>
    <definedName name="amp.totex" localSheetId="4">'[7]Exp''ture &amp; materiality'!$AE$182:$AE$200</definedName>
    <definedName name="amp.totex">'[8]Exp''ture &amp; materiality'!$AE$182:$AE$200</definedName>
    <definedName name="amp.totex.compnames" localSheetId="4">'[7]Exp''ture &amp; materiality'!$A$182:$A$200</definedName>
    <definedName name="amp.totex.compnames">'[8]Exp''ture &amp; materiality'!$A$182:$A$200</definedName>
    <definedName name="AVON" localSheetId="8">#REF!</definedName>
    <definedName name="AVON" localSheetId="4">#REF!</definedName>
    <definedName name="AVON">#REF!</definedName>
    <definedName name="b" localSheetId="4" hidden="1">{"CHARGE",#N/A,FALSE,"401C11"}</definedName>
    <definedName name="b" hidden="1">{"CHARGE",#N/A,FALSE,"401C11"}</definedName>
    <definedName name="BEDS" localSheetId="8">#REF!</definedName>
    <definedName name="BEDS" localSheetId="4">#REF!</definedName>
    <definedName name="BEDS">#REF!</definedName>
    <definedName name="BERKS" localSheetId="8">#REF!</definedName>
    <definedName name="BERKS" localSheetId="4">#REF!</definedName>
    <definedName name="BERKS">#REF!</definedName>
    <definedName name="BMGHIndex" hidden="1">"O"</definedName>
    <definedName name="BUCKS" localSheetId="8">#REF!</definedName>
    <definedName name="BUCKS" localSheetId="4">#REF!</definedName>
    <definedName name="BUCKS">#REF!</definedName>
    <definedName name="CAMBS" localSheetId="8">#REF!</definedName>
    <definedName name="CAMBS" localSheetId="4">#REF!</definedName>
    <definedName name="CAMBS">#REF!</definedName>
    <definedName name="change1" localSheetId="4" hidden="1">{"CHARGE",#N/A,FALSE,"401C11"}</definedName>
    <definedName name="change1" hidden="1">{"CHARGE",#N/A,FALSE,"401C11"}</definedName>
    <definedName name="charge" localSheetId="4" hidden="1">{"CHARGE",#N/A,FALSE,"401C11"}</definedName>
    <definedName name="charge" hidden="1">{"CHARGE",#N/A,FALSE,"401C11"}</definedName>
    <definedName name="CHESHIRE" localSheetId="8">#REF!</definedName>
    <definedName name="CHESHIRE" localSheetId="4">#REF!</definedName>
    <definedName name="CHESHIRE">#REF!</definedName>
    <definedName name="CHK_TOL" localSheetId="4">[9]InpActive!$F$1891</definedName>
    <definedName name="CHK_TOL">[10]InpActive!$F$1891</definedName>
    <definedName name="CHK_TOL_TAX" localSheetId="4">[9]InpActive!$F$1893</definedName>
    <definedName name="CHK_TOL_TAX">[10]InpActive!$F$1893</definedName>
    <definedName name="CLEVELAND" localSheetId="8">#REF!</definedName>
    <definedName name="CLEVELAND" localSheetId="4">#REF!</definedName>
    <definedName name="CLEVELAND">#REF!</definedName>
    <definedName name="CLWYD" localSheetId="8">#REF!</definedName>
    <definedName name="CLWYD" localSheetId="4">#REF!</definedName>
    <definedName name="CLWYD">#REF!</definedName>
    <definedName name="Codes" localSheetId="8">#REF!</definedName>
    <definedName name="Codes" localSheetId="4">#REF!</definedName>
    <definedName name="Codes">#REF!</definedName>
    <definedName name="CORNWALL" localSheetId="8">#REF!</definedName>
    <definedName name="CORNWALL" localSheetId="4">#REF!</definedName>
    <definedName name="CORNWALL">#REF!</definedName>
    <definedName name="CUMBRIA" localSheetId="8">#REF!</definedName>
    <definedName name="CUMBRIA" localSheetId="4">#REF!</definedName>
    <definedName name="CUMBRIA">#REF!</definedName>
    <definedName name="da" localSheetId="8" hidden="1">#REF!</definedName>
    <definedName name="da" localSheetId="4" hidden="1">#REF!</definedName>
    <definedName name="da" hidden="1">#REF!</definedName>
    <definedName name="_xlnm.Database" localSheetId="8">#REF!</definedName>
    <definedName name="_xlnm.Database" localSheetId="4">#REF!</definedName>
    <definedName name="_xlnm.Database">#REF!</definedName>
    <definedName name="DERBYSHIRE" localSheetId="8">#REF!</definedName>
    <definedName name="DERBYSHIRE" localSheetId="4">#REF!</definedName>
    <definedName name="DERBYSHIRE">#REF!</definedName>
    <definedName name="DEVON" localSheetId="8">#REF!</definedName>
    <definedName name="DEVON" localSheetId="4">#REF!</definedName>
    <definedName name="DEVON">#REF!</definedName>
    <definedName name="dnonames" localSheetId="8">#REF!</definedName>
    <definedName name="dnonames" localSheetId="4">#REF!</definedName>
    <definedName name="dnonames">#REF!</definedName>
    <definedName name="dog" localSheetId="4" hidden="1">{"NET",#N/A,FALSE,"401C11"}</definedName>
    <definedName name="dog" hidden="1">{"NET",#N/A,FALSE,"401C11"}</definedName>
    <definedName name="DORSET" localSheetId="8">#REF!</definedName>
    <definedName name="DORSET" localSheetId="4">#REF!</definedName>
    <definedName name="DORSET">#REF!</definedName>
    <definedName name="DURHAM" localSheetId="8">#REF!</definedName>
    <definedName name="DURHAM" localSheetId="4">#REF!</definedName>
    <definedName name="DURHAM">#REF!</definedName>
    <definedName name="DYFED" localSheetId="8">#REF!</definedName>
    <definedName name="DYFED" localSheetId="4">#REF!</definedName>
    <definedName name="DYFED">#REF!</definedName>
    <definedName name="E_SUSSEX" localSheetId="8">#REF!</definedName>
    <definedName name="E_SUSSEX" localSheetId="4">#REF!</definedName>
    <definedName name="E_SUSSEX">#REF!</definedName>
    <definedName name="eff_update" localSheetId="8">#REF!</definedName>
    <definedName name="eff_update" localSheetId="4">#REF!</definedName>
    <definedName name="eff_update">#REF!</definedName>
    <definedName name="el3.bp.capex" localSheetId="4">'[7]Exp''ture &amp; materiality'!$AG$66:$AG$84</definedName>
    <definedName name="el3.bp.capex">'[8]Exp''ture &amp; materiality'!$AG$66:$AG$84</definedName>
    <definedName name="el3.compnames">'[7]Exp''ture &amp; materiality'!$A$66:$A$84</definedName>
    <definedName name="ESSEX" localSheetId="8">#REF!</definedName>
    <definedName name="ESSEX" localSheetId="4">#REF!</definedName>
    <definedName name="ESSEX">#REF!</definedName>
    <definedName name="EV__LASTREFTIME__" hidden="1">40339.4799074074</definedName>
    <definedName name="Expired" hidden="1">FALSE</definedName>
    <definedName name="F" localSheetId="4" hidden="1">{"bal",#N/A,FALSE,"working papers";"income",#N/A,FALSE,"working papers"}</definedName>
    <definedName name="F" hidden="1">{"bal",#N/A,FALSE,"working papers";"income",#N/A,FALSE,"working papers"}</definedName>
    <definedName name="fdraf" localSheetId="4" hidden="1">{"bal",#N/A,FALSE,"working papers";"income",#N/A,FALSE,"working papers"}</definedName>
    <definedName name="fdraf" hidden="1">{"bal",#N/A,FALSE,"working papers";"income",#N/A,FALSE,"working papers"}</definedName>
    <definedName name="Fdraft" localSheetId="4" hidden="1">{"bal",#N/A,FALSE,"working papers";"income",#N/A,FALSE,"working papers"}</definedName>
    <definedName name="Fdraft" hidden="1">{"bal",#N/A,FALSE,"working papers";"income",#N/A,FALSE,"working papers"}</definedName>
    <definedName name="fe" localSheetId="8">#REF!</definedName>
    <definedName name="fe" localSheetId="4">#REF!</definedName>
    <definedName name="fe">#REF!</definedName>
    <definedName name="Foutput" localSheetId="8" hidden="1">#REF!</definedName>
    <definedName name="Foutput" localSheetId="4" hidden="1">#REF!</definedName>
    <definedName name="Foutput" hidden="1">#REF!</definedName>
    <definedName name="fsdfffd" localSheetId="8" hidden="1">#REF!</definedName>
    <definedName name="fsdfffd" localSheetId="4" hidden="1">#REF!</definedName>
    <definedName name="fsdfffd" hidden="1">#REF!</definedName>
    <definedName name="fsdfsd" localSheetId="8" hidden="1">#REF!</definedName>
    <definedName name="fsdfsd" localSheetId="4" hidden="1">#REF!</definedName>
    <definedName name="fsdfsd" hidden="1">#REF!</definedName>
    <definedName name="fsfds" localSheetId="8" hidden="1">#REF!</definedName>
    <definedName name="fsfds" localSheetId="4" hidden="1">#REF!</definedName>
    <definedName name="fsfds" hidden="1">#REF!</definedName>
    <definedName name="fsfsd" localSheetId="8" hidden="1">#REF!</definedName>
    <definedName name="fsfsd" localSheetId="4" hidden="1">#REF!</definedName>
    <definedName name="fsfsd" hidden="1">#REF!</definedName>
    <definedName name="General" localSheetId="8">#REF!</definedName>
    <definedName name="General" localSheetId="4">#REF!</definedName>
    <definedName name="General">#REF!</definedName>
    <definedName name="General1" localSheetId="8">#REF!</definedName>
    <definedName name="General1" localSheetId="4">#REF!</definedName>
    <definedName name="General1">#REF!</definedName>
    <definedName name="General2" localSheetId="8">#REF!</definedName>
    <definedName name="General2" localSheetId="4">#REF!</definedName>
    <definedName name="General2">#REF!</definedName>
    <definedName name="GEOG9703" localSheetId="8">#REF!</definedName>
    <definedName name="GEOG9703" localSheetId="4">#REF!</definedName>
    <definedName name="GEOG9703">#REF!</definedName>
    <definedName name="gfff" localSheetId="4" hidden="1">{"CHARGE",#N/A,FALSE,"401C11"}</definedName>
    <definedName name="gfff" hidden="1">{"CHARGE",#N/A,FALSE,"401C11"}</definedName>
    <definedName name="GLOS" localSheetId="8">#REF!</definedName>
    <definedName name="GLOS" localSheetId="4">#REF!</definedName>
    <definedName name="GLOS">#REF!</definedName>
    <definedName name="gross" localSheetId="4" hidden="1">{"GROSS",#N/A,FALSE,"401C11"}</definedName>
    <definedName name="gross" hidden="1">{"GROSS",#N/A,FALSE,"401C11"}</definedName>
    <definedName name="gross1" localSheetId="4" hidden="1">{"GROSS",#N/A,FALSE,"401C11"}</definedName>
    <definedName name="gross1" hidden="1">{"GROSS",#N/A,FALSE,"401C11"}</definedName>
    <definedName name="GTR_MAN" localSheetId="8">#REF!</definedName>
    <definedName name="GTR_MAN" localSheetId="4">#REF!</definedName>
    <definedName name="GTR_MAN">#REF!</definedName>
    <definedName name="GWENT" localSheetId="8">#REF!</definedName>
    <definedName name="GWENT" localSheetId="4">#REF!</definedName>
    <definedName name="GWENT">#REF!</definedName>
    <definedName name="GWYNEDD" localSheetId="8">#REF!</definedName>
    <definedName name="GWYNEDD" localSheetId="4">#REF!</definedName>
    <definedName name="GWYNEDD">#REF!</definedName>
    <definedName name="HANTS" localSheetId="8">#REF!</definedName>
    <definedName name="HANTS" localSheetId="4">#REF!</definedName>
    <definedName name="HANTS">#REF!</definedName>
    <definedName name="hasdfjklhklj" localSheetId="4" hidden="1">{"NET",#N/A,FALSE,"401C11"}</definedName>
    <definedName name="hasdfjklhklj" hidden="1">{"NET",#N/A,FALSE,"401C11"}</definedName>
    <definedName name="help" localSheetId="4" hidden="1">{"CHARGE",#N/A,FALSE,"401C11"}</definedName>
    <definedName name="help" hidden="1">{"CHARGE",#N/A,FALSE,"401C11"}</definedName>
    <definedName name="HEREFORD_W" localSheetId="8">#REF!</definedName>
    <definedName name="HEREFORD_W" localSheetId="4">#REF!</definedName>
    <definedName name="HEREFORD_W">#REF!</definedName>
    <definedName name="HERTS" localSheetId="8">#REF!</definedName>
    <definedName name="HERTS" localSheetId="4">#REF!</definedName>
    <definedName name="HERTS">#REF!</definedName>
    <definedName name="hghghhj" localSheetId="4" hidden="1">{"CHARGE",#N/A,FALSE,"401C11"}</definedName>
    <definedName name="hghghhj" hidden="1">{"CHARGE",#N/A,FALSE,"401C11"}</definedName>
    <definedName name="HRG_Codes" localSheetId="8">#REF!</definedName>
    <definedName name="HRG_Codes" localSheetId="4">#REF!</definedName>
    <definedName name="HRG_Codes">#REF!</definedName>
    <definedName name="HTML_CodePage" hidden="1">1252</definedName>
    <definedName name="HTML_Control" localSheetId="4"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 localSheetId="8">#REF!</definedName>
    <definedName name="HUMBERSIDE" localSheetId="4">#REF!</definedName>
    <definedName name="HUMBERSIDE">#REF!</definedName>
    <definedName name="I_OF_WIGHT" localSheetId="8">#REF!</definedName>
    <definedName name="I_OF_WIGHT" localSheetId="4">#REF!</definedName>
    <definedName name="I_OF_WIGHT">#REF!</definedName>
    <definedName name="ICD_Codes" localSheetId="8">#REF!</definedName>
    <definedName name="ICD_Codes" localSheetId="4">#REF!</definedName>
    <definedName name="ICD_Codes">#REF!</definedName>
    <definedName name="interpretation" localSheetId="4">#REF!</definedName>
    <definedName name="interpretation">'[11]Catch up efficiency'!$I$7:$I$13</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FELL" localSheetId="8" hidden="1">#REF!</definedName>
    <definedName name="JFELL" localSheetId="4" hidden="1">#REF!</definedName>
    <definedName name="JFELL" hidden="1">#REF!</definedName>
    <definedName name="KENT" localSheetId="8">#REF!</definedName>
    <definedName name="KENT" localSheetId="4">#REF!</definedName>
    <definedName name="KENT">#REF!</definedName>
    <definedName name="LANCS" localSheetId="8">#REF!</definedName>
    <definedName name="LANCS" localSheetId="4">#REF!</definedName>
    <definedName name="LANCS">#REF!</definedName>
    <definedName name="LEICS" localSheetId="8">#REF!</definedName>
    <definedName name="LEICS" localSheetId="4">#REF!</definedName>
    <definedName name="LEICS">#REF!</definedName>
    <definedName name="LINCS" localSheetId="8">#REF!</definedName>
    <definedName name="LINCS" localSheetId="4">#REF!</definedName>
    <definedName name="LINCS">#REF!</definedName>
    <definedName name="LONDON" localSheetId="8">#REF!</definedName>
    <definedName name="LONDON" localSheetId="4">#REF!</definedName>
    <definedName name="LONDON">#REF!</definedName>
    <definedName name="lst_acronyms">[12]F_Inputs_Clean!$C$7:$C$348</definedName>
    <definedName name="lst_all_companies">[12]Other_Inputs!$D$21:$U$21</definedName>
    <definedName name="lst_menus">'[12]Menu design'!$D$10:$I$10</definedName>
    <definedName name="lst_reference">[12]F_Inputs_Clean!$D$7:$D$348</definedName>
    <definedName name="lst_scenarios">[12]Scenarios!$E$3:$J$3</definedName>
    <definedName name="M_GLAM" localSheetId="8">#REF!</definedName>
    <definedName name="M_GLAM" localSheetId="4">#REF!</definedName>
    <definedName name="M_GLAM">#REF!</definedName>
    <definedName name="MERSEYSIDE" localSheetId="8">#REF!</definedName>
    <definedName name="MERSEYSIDE" localSheetId="4">#REF!</definedName>
    <definedName name="MERSEYSIDE">#REF!</definedName>
    <definedName name="MFF_2014_15" localSheetId="8">#REF!</definedName>
    <definedName name="MFF_2014_15" localSheetId="4">#REF!</definedName>
    <definedName name="MFF_2014_15">#REF!</definedName>
    <definedName name="N_YORKS" localSheetId="8">#REF!</definedName>
    <definedName name="N_YORKS" localSheetId="4">#REF!</definedName>
    <definedName name="N_YORKS">#REF!</definedName>
    <definedName name="New" localSheetId="8" hidden="1">#REF!</definedName>
    <definedName name="New" localSheetId="4" hidden="1">#REF!</definedName>
    <definedName name="New" hidden="1">#REF!</definedName>
    <definedName name="NORFOLK" localSheetId="8">#REF!</definedName>
    <definedName name="NORFOLK" localSheetId="4">#REF!</definedName>
    <definedName name="NORFOLK">#REF!</definedName>
    <definedName name="NORTHANTS" localSheetId="8">#REF!</definedName>
    <definedName name="NORTHANTS" localSheetId="4">#REF!</definedName>
    <definedName name="NORTHANTS">#REF!</definedName>
    <definedName name="NORTHUMBERLAND" localSheetId="8">#REF!</definedName>
    <definedName name="NORTHUMBERLAND" localSheetId="4">#REF!</definedName>
    <definedName name="NORTHUMBERLAND">#REF!</definedName>
    <definedName name="NOTTS" localSheetId="8">#REF!</definedName>
    <definedName name="NOTTS" localSheetId="4">#REF!</definedName>
    <definedName name="NOTTS">#REF!</definedName>
    <definedName name="ODS_Care_Trust_List" localSheetId="8">#REF!</definedName>
    <definedName name="ODS_Care_Trust_List" localSheetId="4">#REF!</definedName>
    <definedName name="ODS_Care_Trust_List">#REF!</definedName>
    <definedName name="ODS_List" localSheetId="8">#REF!</definedName>
    <definedName name="ODS_List" localSheetId="4">#REF!</definedName>
    <definedName name="ODS_List">#REF!</definedName>
    <definedName name="OISIII" localSheetId="8" hidden="1">#REF!</definedName>
    <definedName name="OISIII" localSheetId="4" hidden="1">#REF!</definedName>
    <definedName name="OISIII" hidden="1">#REF!</definedName>
    <definedName name="OPCS_Codes" localSheetId="8">#REF!</definedName>
    <definedName name="OPCS_Codes" localSheetId="4">#REF!</definedName>
    <definedName name="OPCS_Codes">#REF!</definedName>
    <definedName name="opt_actuals">'[12]Control Panel'!$H$22</definedName>
    <definedName name="opt_actuals_percentage">'[12]Control Panel'!$H$26</definedName>
    <definedName name="opt_baseline_bid_threshold">'[12]Control Panel'!$H$18</definedName>
    <definedName name="opt_baseline_cap">'[12]Control Panel'!$H$20</definedName>
    <definedName name="opt_bids">'[12]Control Panel'!$H$13</definedName>
    <definedName name="opt_bids_percentage">'[12]Control Panel'!$H$16</definedName>
    <definedName name="opt_gearing">'[12]Control Panel'!$H$44</definedName>
    <definedName name="opt_tax">'[12]Control Panel'!$H$46</definedName>
    <definedName name="opt_wacc">'[12]Control Panel'!$H$42</definedName>
    <definedName name="OXON" localSheetId="8">#REF!</definedName>
    <definedName name="OXON" localSheetId="4">#REF!</definedName>
    <definedName name="OXON">#REF!</definedName>
    <definedName name="POWYS" localSheetId="8">#REF!</definedName>
    <definedName name="POWYS" localSheetId="4">#REF!</definedName>
    <definedName name="POWYS">#REF!</definedName>
    <definedName name="qfx" localSheetId="4" hidden="1">{"NET",#N/A,FALSE,"401C11"}</definedName>
    <definedName name="qfx" hidden="1">{"NET",#N/A,FALSE,"401C11"}</definedName>
    <definedName name="qwefqefa" localSheetId="8" hidden="1">#REF!</definedName>
    <definedName name="qwefqefa" localSheetId="4" hidden="1">#REF!</definedName>
    <definedName name="qwefqefa" hidden="1">#REF!</definedName>
    <definedName name="real" localSheetId="8" hidden="1">#REF!</definedName>
    <definedName name="real" localSheetId="4" hidden="1">#REF!</definedName>
    <definedName name="real" hidden="1">#REF!</definedName>
    <definedName name="rge" localSheetId="8">#REF!</definedName>
    <definedName name="rge" localSheetId="4">#REF!</definedName>
    <definedName name="rge">#REF!</definedName>
    <definedName name="rgwer" localSheetId="8">#REF!</definedName>
    <definedName name="rgwer" localSheetId="4">#REF!</definedName>
    <definedName name="rgwer">#REF!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localSheetId="4" hidden="1">7</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ound_dp" localSheetId="8">#REF!</definedName>
    <definedName name="round_dp" localSheetId="4">#REF!</definedName>
    <definedName name="round_dp">#REF!</definedName>
    <definedName name="rytry" localSheetId="4" hidden="1">{"NET",#N/A,FALSE,"401C11"}</definedName>
    <definedName name="rytry" hidden="1">{"NET",#N/A,FALSE,"401C11"}</definedName>
    <definedName name="S_GLAM" localSheetId="8">#REF!</definedName>
    <definedName name="S_GLAM" localSheetId="4">#REF!</definedName>
    <definedName name="S_GLAM">#REF!</definedName>
    <definedName name="S_YORKS" localSheetId="8">#REF!</definedName>
    <definedName name="S_YORKS" localSheetId="4">#REF!</definedName>
    <definedName name="S_YORKS">#REF!</definedName>
    <definedName name="SAPBEXrevision" hidden="1">1</definedName>
    <definedName name="SAPBEXsysID" hidden="1">"BWB"</definedName>
    <definedName name="SAPBEXwbID" hidden="1">"49ZLUKBQR0WG29D9LLI3IBIIT"</definedName>
    <definedName name="SHROPS" localSheetId="8">#REF!</definedName>
    <definedName name="SHROPS" localSheetId="4">#REF!</definedName>
    <definedName name="SHROPS">#REF!</definedName>
    <definedName name="SOMERSET" localSheetId="8">#REF!</definedName>
    <definedName name="SOMERSET" localSheetId="4">#REF!</definedName>
    <definedName name="SOMERSET">#REF!</definedName>
    <definedName name="sort" localSheetId="8" hidden="1">#REF!</definedName>
    <definedName name="sort" localSheetId="4" hidden="1">#REF!</definedName>
    <definedName name="sort" hidden="1">#REF!</definedName>
    <definedName name="STAFFS" localSheetId="8">#REF!</definedName>
    <definedName name="STAFFS" localSheetId="4">#REF!</definedName>
    <definedName name="STAFFS">#REF!</definedName>
    <definedName name="SUFFOLK" localSheetId="8">#REF!</definedName>
    <definedName name="SUFFOLK" localSheetId="4">#REF!</definedName>
    <definedName name="SUFFOLK">#REF!</definedName>
    <definedName name="SURREY" localSheetId="8">#REF!</definedName>
    <definedName name="SURREY" localSheetId="4">#REF!</definedName>
    <definedName name="SURREY">#REF!</definedName>
    <definedName name="Table3.4" localSheetId="4" hidden="1">{"CHARGE",#N/A,FALSE,"401C11"}</definedName>
    <definedName name="Table3.4" hidden="1">{"CHARGE",#N/A,FALSE,"401C11"}</definedName>
    <definedName name="Test23" localSheetId="4" hidden="1">{"NET",#N/A,FALSE,"401C11"}</definedName>
    <definedName name="Test23" hidden="1">{"NET",#N/A,FALSE,"401C11"}</definedName>
    <definedName name="time" localSheetId="4">#REF!</definedName>
    <definedName name="time">'[11]Catch up efficiency'!$C$6:$H$6</definedName>
    <definedName name="trdhtr" localSheetId="8" hidden="1">#REF!</definedName>
    <definedName name="trdhtr" localSheetId="4" hidden="1">#REF!</definedName>
    <definedName name="trdhtr" hidden="1">#REF!</definedName>
    <definedName name="TRK_TOL" localSheetId="4">[9]InpActive!$F$1895</definedName>
    <definedName name="TRK_TOL">[10]InpActive!$F$1895</definedName>
    <definedName name="TYNE_WEAR" localSheetId="8">#REF!</definedName>
    <definedName name="TYNE_WEAR" localSheetId="4">#REF!</definedName>
    <definedName name="TYNE_WEAR">#REF!</definedName>
    <definedName name="W_GLAM" localSheetId="8">#REF!</definedName>
    <definedName name="W_GLAM" localSheetId="4">#REF!</definedName>
    <definedName name="W_GLAM">#REF!</definedName>
    <definedName name="W_MIDS" localSheetId="8">#REF!</definedName>
    <definedName name="W_MIDS" localSheetId="4">#REF!</definedName>
    <definedName name="W_MIDS">#REF!</definedName>
    <definedName name="W_SUSSEX" localSheetId="8">#REF!</definedName>
    <definedName name="W_SUSSEX" localSheetId="4">#REF!</definedName>
    <definedName name="W_SUSSEX">#REF!</definedName>
    <definedName name="W_YORKS" localSheetId="8">#REF!</definedName>
    <definedName name="W_YORKS" localSheetId="4">#REF!</definedName>
    <definedName name="W_YORKS">#REF!</definedName>
    <definedName name="WARWICKS" localSheetId="8">#REF!</definedName>
    <definedName name="WARWICKS" localSheetId="4">#REF!</definedName>
    <definedName name="WARWICKS">#REF!</definedName>
    <definedName name="wdfw" localSheetId="8">#REF!</definedName>
    <definedName name="wdfw" localSheetId="4">#REF!</definedName>
    <definedName name="wdfw">#REF!</definedName>
    <definedName name="wedfw" localSheetId="8">#REF!</definedName>
    <definedName name="wedfw" localSheetId="4">#REF!</definedName>
    <definedName name="wedfw">#REF!</definedName>
    <definedName name="wefw" localSheetId="8">#REF!</definedName>
    <definedName name="wefw" localSheetId="4">#REF!</definedName>
    <definedName name="wefw">#REF!</definedName>
    <definedName name="wefwe" localSheetId="8">#REF!</definedName>
    <definedName name="wefwe" localSheetId="4">#REF!</definedName>
    <definedName name="wefwe">#REF!</definedName>
    <definedName name="wefwerf" localSheetId="8">#REF!</definedName>
    <definedName name="wefwerf" localSheetId="4">#REF!</definedName>
    <definedName name="wefwerf">#REF!</definedName>
    <definedName name="wert" localSheetId="4" hidden="1">{"GROSS",#N/A,FALSE,"401C11"}</definedName>
    <definedName name="wert" hidden="1">{"GROSS",#N/A,FALSE,"401C11"}</definedName>
    <definedName name="WILTS" localSheetId="8">#REF!</definedName>
    <definedName name="WILTS" localSheetId="4">#REF!</definedName>
    <definedName name="WILTS">#REF!</definedName>
    <definedName name="wombat" localSheetId="8" hidden="1">#REF!</definedName>
    <definedName name="wombat" localSheetId="4" hidden="1">#REF!</definedName>
    <definedName name="wombat" hidden="1">#REF!</definedName>
    <definedName name="wotsthis" localSheetId="4"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4" hidden="1">{"CHARGE",#N/A,FALSE,"401C11"}</definedName>
    <definedName name="wrn.CHARGE." hidden="1">{"CHARGE",#N/A,FALSE,"401C11"}</definedName>
    <definedName name="wrn.GROSS." localSheetId="4" hidden="1">{"GROSS",#N/A,FALSE,"401C11"}</definedName>
    <definedName name="wrn.GROSS." hidden="1">{"GROSS",#N/A,FALSE,"401C11"}</definedName>
    <definedName name="wrn.NET." localSheetId="4" hidden="1">{"NET",#N/A,FALSE,"401C11"}</definedName>
    <definedName name="wrn.NET." hidden="1">{"NET",#N/A,FALSE,"401C11"}</definedName>
    <definedName name="wrn.papersdraft" localSheetId="4" hidden="1">{"bal",#N/A,FALSE,"working papers";"income",#N/A,FALSE,"working papers"}</definedName>
    <definedName name="wrn.papersdraft" hidden="1">{"bal",#N/A,FALSE,"working papers";"income",#N/A,FALSE,"working papers"}</definedName>
    <definedName name="wrn.Print._.5._.and._.12." localSheetId="4"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4"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4" hidden="1">{"bal",#N/A,FALSE,"working papers";"income",#N/A,FALSE,"working papers"}</definedName>
    <definedName name="wrn.wpapers." hidden="1">{"bal",#N/A,FALSE,"working papers";"income",#N/A,FALSE,"working papers"}</definedName>
    <definedName name="xxx" localSheetId="4" hidden="1">{"CHARGE",#N/A,FALSE,"401C11"}</definedName>
    <definedName name="xxx" hidden="1">{"CHARGE",#N/A,FALSE,"401C11"}</definedName>
    <definedName name="yhnry" localSheetId="8">#REF!</definedName>
    <definedName name="yhnry" localSheetId="4">#REF!</definedName>
    <definedName name="yhnry">#REF!</definedName>
    <definedName name="yyy" localSheetId="4" hidden="1">{"GROSS",#N/A,FALSE,"401C11"}</definedName>
    <definedName name="yyy" hidden="1">{"GROSS",#N/A,FALSE,"401C11"}</definedName>
    <definedName name="zzz" localSheetId="4" hidden="1">{"NET",#N/A,FALSE,"401C11"}</definedName>
    <definedName name="zzz" hidden="1">{"NET",#N/A,FALSE,"401C11"}</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41" i="12" l="1"/>
  <c r="AG40" i="12"/>
  <c r="AG39" i="12"/>
  <c r="AG38" i="12"/>
  <c r="AG37" i="12"/>
  <c r="AG36" i="12"/>
  <c r="AG35" i="12"/>
  <c r="AG34" i="12"/>
  <c r="AC34" i="12"/>
  <c r="AB34" i="12"/>
  <c r="AA34" i="12"/>
  <c r="Z34" i="12"/>
  <c r="Y34" i="12"/>
  <c r="X34" i="12"/>
  <c r="W34" i="12"/>
  <c r="AG33" i="12"/>
  <c r="AG32" i="12"/>
  <c r="AG31" i="12"/>
  <c r="AG30" i="12"/>
  <c r="AG29" i="12"/>
  <c r="AG28" i="12"/>
  <c r="AG21" i="12"/>
  <c r="AG20" i="12"/>
  <c r="AG19" i="12"/>
  <c r="AG18" i="12"/>
  <c r="AG17" i="12"/>
  <c r="AG16" i="12"/>
  <c r="AG15" i="12"/>
  <c r="AG14" i="12"/>
  <c r="AC14" i="12"/>
  <c r="AB14" i="12"/>
  <c r="AA14" i="12"/>
  <c r="Z14" i="12"/>
  <c r="Y14" i="12"/>
  <c r="X14" i="12"/>
  <c r="W14" i="12"/>
  <c r="AG13" i="12"/>
  <c r="AG12" i="12"/>
  <c r="AG11" i="12"/>
  <c r="AG10" i="12"/>
  <c r="AG9" i="12"/>
  <c r="AG8" i="12"/>
  <c r="H40" i="12" l="1"/>
  <c r="H20" i="12"/>
  <c r="H21" i="12" l="1"/>
  <c r="H41" i="12"/>
  <c r="W8" i="12" l="1"/>
  <c r="W28" i="12" l="1"/>
  <c r="X28" i="12"/>
  <c r="X8" i="12"/>
  <c r="Y8" i="12" l="1"/>
  <c r="Y28" i="12"/>
  <c r="Z28" i="12" l="1"/>
  <c r="Z8" i="12"/>
  <c r="AA8" i="12" l="1"/>
  <c r="AA28" i="12"/>
  <c r="AA10" i="12" l="1"/>
  <c r="Y10" i="12"/>
  <c r="Y35" i="12" l="1"/>
  <c r="Y19" i="12"/>
  <c r="AC32" i="12"/>
  <c r="Y11" i="12"/>
  <c r="X19" i="12"/>
  <c r="AC13" i="12"/>
  <c r="Z17" i="12"/>
  <c r="X13" i="12"/>
  <c r="AB32" i="12"/>
  <c r="AA30" i="12"/>
  <c r="W11" i="12"/>
  <c r="Y16" i="12"/>
  <c r="X17" i="12"/>
  <c r="W30" i="12"/>
  <c r="Z10" i="12"/>
  <c r="Z38" i="12"/>
  <c r="AC35" i="12"/>
  <c r="AB13" i="12"/>
  <c r="AA35" i="12"/>
  <c r="X11" i="12"/>
  <c r="W16" i="12"/>
  <c r="AC36" i="12"/>
  <c r="Y18" i="12"/>
  <c r="W10" i="12"/>
  <c r="AC17" i="12"/>
  <c r="W19" i="12"/>
  <c r="AA15" i="12"/>
  <c r="AA18" i="12"/>
  <c r="AA13" i="12"/>
  <c r="AB17" i="12"/>
  <c r="Y31" i="12"/>
  <c r="AC12" i="12"/>
  <c r="X31" i="12"/>
  <c r="Z35" i="12"/>
  <c r="Z30" i="12"/>
  <c r="Y30" i="12"/>
  <c r="X10" i="12"/>
  <c r="Z12" i="12"/>
  <c r="W38" i="12"/>
  <c r="W36" i="12"/>
  <c r="AB11" i="12"/>
  <c r="Y32" i="12"/>
  <c r="Z16" i="12"/>
  <c r="Z18" i="12"/>
  <c r="Y15" i="12"/>
  <c r="AC11" i="12"/>
  <c r="W31" i="12"/>
  <c r="X30" i="12"/>
  <c r="W37" i="12" l="1"/>
  <c r="Z39" i="12"/>
  <c r="AB29" i="12"/>
  <c r="AC29" i="12"/>
  <c r="Z36" i="12"/>
  <c r="AC30" i="12"/>
  <c r="AA32" i="12"/>
  <c r="AC38" i="12"/>
  <c r="AB37" i="12"/>
  <c r="Z32" i="12"/>
  <c r="AA36" i="12"/>
  <c r="X36" i="12"/>
  <c r="Y38" i="12"/>
  <c r="Y13" i="12"/>
  <c r="W18" i="12"/>
  <c r="AB35" i="12"/>
  <c r="W35" i="12"/>
  <c r="W17" i="12"/>
  <c r="X18" i="12"/>
  <c r="Z19" i="12"/>
  <c r="Y17" i="12"/>
  <c r="AC15" i="12"/>
  <c r="AA12" i="12"/>
  <c r="AC18" i="12"/>
  <c r="W12" i="12"/>
  <c r="AA11" i="12"/>
  <c r="AA9" i="12"/>
  <c r="Z29" i="12"/>
  <c r="X9" i="12"/>
  <c r="AC8" i="12"/>
  <c r="X39" i="12"/>
  <c r="AB38" i="12"/>
  <c r="Z37" i="12"/>
  <c r="AC39" i="12"/>
  <c r="AC31" i="12"/>
  <c r="Y39" i="12"/>
  <c r="Z31" i="12"/>
  <c r="AA37" i="12"/>
  <c r="AA16" i="12"/>
  <c r="AB19" i="12"/>
  <c r="AB31" i="12"/>
  <c r="Z13" i="12"/>
  <c r="AC10" i="12"/>
  <c r="AB36" i="12"/>
  <c r="W15" i="12"/>
  <c r="AB12" i="12"/>
  <c r="W32" i="12"/>
  <c r="AB39" i="12"/>
  <c r="X15" i="12"/>
  <c r="X35" i="12"/>
  <c r="W39" i="12"/>
  <c r="AB30" i="12"/>
  <c r="X37" i="12"/>
  <c r="AC37" i="12"/>
  <c r="Z15" i="12"/>
  <c r="AB15" i="12"/>
  <c r="AC19" i="12"/>
  <c r="Y12" i="12"/>
  <c r="AA17" i="12"/>
  <c r="AA31" i="12"/>
  <c r="AB18" i="12"/>
  <c r="Z11" i="12"/>
  <c r="AC28" i="12"/>
  <c r="I20" i="12"/>
  <c r="W20" i="12" s="1"/>
  <c r="W9" i="12"/>
  <c r="K20" i="12"/>
  <c r="Y20" i="12" s="1"/>
  <c r="Y9" i="12"/>
  <c r="AB28" i="12"/>
  <c r="AB8" i="12"/>
  <c r="X29" i="12"/>
  <c r="Y36" i="12"/>
  <c r="X32" i="12"/>
  <c r="AC16" i="12"/>
  <c r="AB10" i="12"/>
  <c r="AB16" i="12"/>
  <c r="AA19" i="12"/>
  <c r="X12" i="12"/>
  <c r="Y37" i="12"/>
  <c r="W13" i="12"/>
  <c r="AA38" i="12"/>
  <c r="AA39" i="12"/>
  <c r="X38" i="12"/>
  <c r="X16" i="12"/>
  <c r="O41" i="12" l="1"/>
  <c r="AC41" i="12" s="1"/>
  <c r="AB9" i="12"/>
  <c r="N20" i="12"/>
  <c r="AB20" i="12" s="1"/>
  <c r="N40" i="12"/>
  <c r="AB40" i="12" s="1"/>
  <c r="AB33" i="12"/>
  <c r="Y29" i="12"/>
  <c r="K41" i="12"/>
  <c r="Y41" i="12" s="1"/>
  <c r="K21" i="12"/>
  <c r="Y21" i="12" s="1"/>
  <c r="O40" i="12"/>
  <c r="AC40" i="12" s="1"/>
  <c r="AC33" i="12"/>
  <c r="J40" i="12"/>
  <c r="X40" i="12" s="1"/>
  <c r="X33" i="12"/>
  <c r="AA33" i="12"/>
  <c r="M40" i="12"/>
  <c r="AA40" i="12" s="1"/>
  <c r="K40" i="12"/>
  <c r="Y40" i="12" s="1"/>
  <c r="Y33" i="12"/>
  <c r="L41" i="12"/>
  <c r="Z41" i="12" s="1"/>
  <c r="N21" i="12"/>
  <c r="AB21" i="12" s="1"/>
  <c r="N41" i="12"/>
  <c r="AB41" i="12" s="1"/>
  <c r="I21" i="12"/>
  <c r="W21" i="12" s="1"/>
  <c r="J21" i="12"/>
  <c r="X21" i="12" s="1"/>
  <c r="O20" i="12"/>
  <c r="AC20" i="12" s="1"/>
  <c r="AC9" i="12"/>
  <c r="AA29" i="12"/>
  <c r="M41" i="12"/>
  <c r="AA41" i="12" s="1"/>
  <c r="J41" i="12"/>
  <c r="X41" i="12" s="1"/>
  <c r="Z9" i="12"/>
  <c r="L20" i="12"/>
  <c r="Z20" i="12" s="1"/>
  <c r="L21" i="12"/>
  <c r="Z21" i="12" s="1"/>
  <c r="Z33" i="12"/>
  <c r="L40" i="12"/>
  <c r="Z40" i="12" s="1"/>
  <c r="W33" i="12"/>
  <c r="I40" i="12"/>
  <c r="W40" i="12" s="1"/>
  <c r="M21" i="12"/>
  <c r="AA21" i="12" s="1"/>
  <c r="W29" i="12"/>
  <c r="I41" i="12"/>
  <c r="W41" i="12" s="1"/>
  <c r="O21" i="12"/>
  <c r="AC21" i="12" s="1"/>
  <c r="J20" i="12"/>
  <c r="X20" i="12" s="1"/>
  <c r="M20" i="12"/>
  <c r="AA20" i="12" s="1"/>
  <c r="F40" i="12" l="1"/>
  <c r="E40" i="12"/>
  <c r="E20" i="12"/>
  <c r="G20" i="12"/>
  <c r="F20" i="12"/>
  <c r="U19" i="12"/>
  <c r="C20" i="12"/>
  <c r="U39" i="12" l="1"/>
  <c r="R17" i="12"/>
  <c r="T32" i="12"/>
  <c r="T19" i="12"/>
  <c r="Q19" i="12"/>
  <c r="Q39" i="12"/>
  <c r="B40" i="12"/>
  <c r="V39" i="12"/>
  <c r="R10" i="12"/>
  <c r="U10" i="12"/>
  <c r="V10" i="12"/>
  <c r="Q10" i="12"/>
  <c r="P10" i="12"/>
  <c r="S10" i="12"/>
  <c r="T10" i="12"/>
  <c r="D40" i="12"/>
  <c r="U35" i="12"/>
  <c r="B20" i="12"/>
  <c r="P17" i="12"/>
  <c r="V17" i="12"/>
  <c r="U17" i="12"/>
  <c r="T17" i="12"/>
  <c r="Q17" i="12"/>
  <c r="S17" i="12"/>
  <c r="G21" i="12"/>
  <c r="V19" i="12"/>
  <c r="P19" i="12"/>
  <c r="T39" i="12"/>
  <c r="G40" i="12"/>
  <c r="C40" i="12"/>
  <c r="D20" i="12"/>
  <c r="S18" i="12"/>
  <c r="S19" i="12"/>
  <c r="F21" i="12"/>
  <c r="R12" i="12"/>
  <c r="V12" i="12"/>
  <c r="U12" i="12"/>
  <c r="S12" i="12"/>
  <c r="T12" i="12"/>
  <c r="Q12" i="12"/>
  <c r="P12" i="12"/>
  <c r="S39" i="12"/>
  <c r="R39" i="12"/>
  <c r="R15" i="12"/>
  <c r="S15" i="12"/>
  <c r="T15" i="12"/>
  <c r="V15" i="12"/>
  <c r="U15" i="12"/>
  <c r="P15" i="12"/>
  <c r="Q15" i="12"/>
  <c r="E21" i="12"/>
  <c r="S11" i="12"/>
  <c r="Q35" i="12"/>
  <c r="T35" i="12"/>
  <c r="R35" i="12"/>
  <c r="P35" i="12"/>
  <c r="S35" i="12"/>
  <c r="V35" i="12"/>
  <c r="R19" i="12"/>
  <c r="P39" i="12"/>
  <c r="R30" i="12" l="1"/>
  <c r="R32" i="12"/>
  <c r="S32" i="12"/>
  <c r="P37" i="12"/>
  <c r="E41" i="12"/>
  <c r="U32" i="12"/>
  <c r="F41" i="12"/>
  <c r="D41" i="12"/>
  <c r="P32" i="12"/>
  <c r="V32" i="12"/>
  <c r="Q32" i="12"/>
  <c r="Q37" i="12"/>
  <c r="T30" i="12"/>
  <c r="R14" i="12"/>
  <c r="V14" i="12"/>
  <c r="U18" i="12"/>
  <c r="V11" i="12"/>
  <c r="R11" i="12"/>
  <c r="S34" i="12"/>
  <c r="R34" i="12"/>
  <c r="S16" i="12"/>
  <c r="V16" i="12"/>
  <c r="T16" i="12"/>
  <c r="P16" i="12"/>
  <c r="U16" i="12"/>
  <c r="R16" i="12"/>
  <c r="U31" i="12"/>
  <c r="V31" i="12"/>
  <c r="S31" i="12"/>
  <c r="P31" i="12"/>
  <c r="T31" i="12"/>
  <c r="R31" i="12"/>
  <c r="G41" i="12"/>
  <c r="V38" i="12"/>
  <c r="R38" i="12"/>
  <c r="P38" i="12"/>
  <c r="U38" i="12"/>
  <c r="S38" i="12"/>
  <c r="Q38" i="12"/>
  <c r="T38" i="12"/>
  <c r="S30" i="12"/>
  <c r="Q30" i="12"/>
  <c r="T14" i="12"/>
  <c r="S14" i="12"/>
  <c r="Q31" i="12"/>
  <c r="T37" i="12"/>
  <c r="R37" i="12"/>
  <c r="T11" i="12"/>
  <c r="P11" i="12"/>
  <c r="V40" i="12"/>
  <c r="P40" i="12"/>
  <c r="S40" i="12"/>
  <c r="R40" i="12"/>
  <c r="T40" i="12"/>
  <c r="U40" i="12"/>
  <c r="Q40" i="12"/>
  <c r="U34" i="12"/>
  <c r="P30" i="12"/>
  <c r="V30" i="12"/>
  <c r="Q14" i="12"/>
  <c r="V20" i="12"/>
  <c r="P20" i="12"/>
  <c r="Q20" i="12"/>
  <c r="T20" i="12"/>
  <c r="R20" i="12"/>
  <c r="U20" i="12"/>
  <c r="S20" i="12"/>
  <c r="U37" i="12"/>
  <c r="V37" i="12"/>
  <c r="Q11" i="12"/>
  <c r="Q34" i="12"/>
  <c r="P34" i="12"/>
  <c r="Q16" i="12"/>
  <c r="Q8" i="12"/>
  <c r="B21" i="12"/>
  <c r="R8" i="12"/>
  <c r="P8" i="12"/>
  <c r="V8" i="12"/>
  <c r="S8" i="12"/>
  <c r="T8" i="12"/>
  <c r="U8" i="12"/>
  <c r="S37" i="12"/>
  <c r="Q36" i="12"/>
  <c r="V36" i="12"/>
  <c r="T36" i="12"/>
  <c r="U36" i="12"/>
  <c r="P36" i="12"/>
  <c r="S36" i="12"/>
  <c r="R36" i="12"/>
  <c r="C41" i="12"/>
  <c r="V18" i="12"/>
  <c r="Q18" i="12"/>
  <c r="P18" i="12"/>
  <c r="T18" i="12"/>
  <c r="R18" i="12"/>
  <c r="B41" i="12"/>
  <c r="S28" i="12"/>
  <c r="T28" i="12"/>
  <c r="U28" i="12"/>
  <c r="V28" i="12"/>
  <c r="Q28" i="12"/>
  <c r="R28" i="12"/>
  <c r="P28" i="12"/>
  <c r="U30" i="12"/>
  <c r="U14" i="12"/>
  <c r="P14" i="12"/>
  <c r="C21" i="12"/>
  <c r="U11" i="12"/>
  <c r="T34" i="12"/>
  <c r="V34" i="12"/>
  <c r="D21" i="12"/>
  <c r="Q41" i="12" l="1"/>
  <c r="P41" i="12"/>
  <c r="U41" i="12"/>
  <c r="S21" i="12"/>
  <c r="R41" i="12"/>
  <c r="V41" i="12"/>
  <c r="V21" i="12"/>
  <c r="U21" i="12"/>
  <c r="P21" i="12"/>
  <c r="Q21" i="12"/>
  <c r="T41" i="12"/>
  <c r="T21" i="12"/>
  <c r="R21" i="12"/>
  <c r="S41" i="12"/>
  <c r="C61" i="3" l="1"/>
  <c r="B61" i="3"/>
  <c r="A61" i="3"/>
  <c r="C60" i="3"/>
  <c r="B60" i="3"/>
  <c r="A60" i="3"/>
  <c r="C59" i="3"/>
  <c r="B59" i="3"/>
  <c r="A59" i="3"/>
  <c r="C58" i="3"/>
  <c r="B58" i="3"/>
  <c r="A58" i="3"/>
  <c r="C57" i="3"/>
  <c r="B57" i="3"/>
  <c r="A57" i="3"/>
  <c r="C56" i="3"/>
  <c r="B56" i="3"/>
  <c r="A56" i="3"/>
  <c r="C55" i="3"/>
  <c r="B55" i="3"/>
  <c r="A55" i="3"/>
  <c r="C54" i="3"/>
  <c r="B54" i="3"/>
  <c r="A54" i="3"/>
  <c r="C53" i="3"/>
  <c r="B53" i="3"/>
  <c r="A53" i="3"/>
  <c r="C52" i="3"/>
  <c r="B52" i="3"/>
  <c r="A52" i="3"/>
  <c r="C51" i="3"/>
  <c r="B51" i="3"/>
  <c r="A51" i="3"/>
  <c r="C50" i="3"/>
  <c r="B50" i="3"/>
  <c r="A50" i="3"/>
  <c r="C49" i="3"/>
  <c r="B49" i="3"/>
  <c r="A49" i="3"/>
  <c r="C48" i="3"/>
  <c r="B48" i="3"/>
  <c r="A48" i="3"/>
  <c r="C47" i="3"/>
  <c r="B47" i="3"/>
  <c r="A47" i="3"/>
  <c r="C46" i="3"/>
  <c r="B46" i="3"/>
  <c r="A46" i="3"/>
  <c r="C45" i="3"/>
  <c r="B45" i="3"/>
  <c r="A45" i="3"/>
  <c r="C44" i="3"/>
  <c r="B44" i="3"/>
  <c r="A44" i="3"/>
  <c r="C43" i="3"/>
  <c r="B43" i="3"/>
  <c r="A43" i="3"/>
  <c r="C42" i="3"/>
  <c r="B42" i="3"/>
  <c r="A42" i="3"/>
  <c r="C41" i="3"/>
  <c r="B41" i="3"/>
  <c r="A41" i="3"/>
  <c r="C40" i="3"/>
  <c r="B40" i="3"/>
  <c r="A40" i="3"/>
  <c r="C39" i="3"/>
  <c r="B39" i="3"/>
  <c r="A39" i="3"/>
  <c r="C38" i="3"/>
  <c r="B38" i="3"/>
  <c r="A38" i="3"/>
  <c r="C37" i="3"/>
  <c r="B37" i="3"/>
  <c r="A37" i="3"/>
  <c r="C36" i="3"/>
  <c r="B36" i="3"/>
  <c r="A36" i="3"/>
  <c r="C35" i="3"/>
  <c r="B35" i="3"/>
  <c r="A35" i="3"/>
  <c r="C34" i="3"/>
  <c r="B34" i="3"/>
  <c r="A34" i="3"/>
  <c r="C33" i="3"/>
  <c r="B33" i="3"/>
  <c r="A33" i="3"/>
  <c r="C32" i="3"/>
  <c r="B32" i="3"/>
  <c r="A32" i="3"/>
  <c r="C31" i="3"/>
  <c r="B31" i="3"/>
  <c r="A31" i="3"/>
  <c r="C30" i="3"/>
  <c r="B30" i="3"/>
  <c r="A30" i="3"/>
  <c r="C29" i="3"/>
  <c r="B29" i="3"/>
  <c r="A29" i="3"/>
  <c r="C28" i="3"/>
  <c r="B28" i="3"/>
  <c r="A28" i="3"/>
  <c r="C27" i="3"/>
  <c r="B27" i="3"/>
  <c r="A27" i="3"/>
  <c r="C26" i="3"/>
  <c r="B26" i="3"/>
  <c r="A26" i="3"/>
  <c r="C25" i="3"/>
  <c r="B25" i="3"/>
  <c r="A25" i="3"/>
  <c r="C24" i="3"/>
  <c r="B24" i="3"/>
  <c r="A24" i="3"/>
  <c r="C23" i="3"/>
  <c r="B23" i="3"/>
  <c r="A23" i="3"/>
  <c r="C22" i="3"/>
  <c r="B22" i="3"/>
  <c r="A22" i="3"/>
  <c r="C21" i="3"/>
  <c r="B21" i="3"/>
  <c r="A21" i="3"/>
  <c r="C20" i="3"/>
  <c r="B20" i="3"/>
  <c r="A20" i="3"/>
  <c r="C19" i="3"/>
  <c r="B19" i="3"/>
  <c r="A19" i="3"/>
  <c r="C18" i="3"/>
  <c r="B18" i="3"/>
  <c r="A18" i="3"/>
  <c r="C17" i="3"/>
  <c r="B17" i="3"/>
  <c r="A17" i="3"/>
  <c r="C16" i="3"/>
  <c r="B16" i="3"/>
  <c r="A16" i="3"/>
  <c r="C15" i="3"/>
  <c r="B15" i="3"/>
  <c r="A15" i="3"/>
  <c r="C14" i="3"/>
  <c r="B14" i="3"/>
  <c r="A14" i="3"/>
  <c r="C13" i="3"/>
  <c r="B13" i="3"/>
  <c r="A13" i="3"/>
  <c r="C12" i="3"/>
  <c r="B12" i="3"/>
  <c r="A12" i="3"/>
  <c r="C11" i="3"/>
  <c r="B11" i="3"/>
  <c r="A11" i="3"/>
  <c r="C10" i="3"/>
  <c r="B10" i="3"/>
  <c r="A10" i="3"/>
  <c r="C9" i="3"/>
  <c r="B9" i="3"/>
  <c r="A9" i="3"/>
  <c r="C8" i="3"/>
  <c r="B8" i="3"/>
  <c r="A8" i="3"/>
  <c r="C7" i="3"/>
  <c r="B7" i="3"/>
  <c r="A7" i="3"/>
  <c r="E10" i="11" l="1"/>
  <c r="E14" i="11"/>
  <c r="F5" i="11"/>
  <c r="D7" i="11"/>
  <c r="F8" i="11"/>
  <c r="D9" i="11"/>
  <c r="D11" i="11"/>
  <c r="F12" i="11"/>
  <c r="D13" i="11"/>
  <c r="F14" i="11"/>
  <c r="E5" i="11"/>
  <c r="E8" i="11"/>
  <c r="E12" i="11"/>
  <c r="D15" i="11"/>
  <c r="F10" i="11"/>
  <c r="D6" i="11"/>
  <c r="E7" i="11"/>
  <c r="E9" i="11"/>
  <c r="E11" i="11"/>
  <c r="E13" i="11"/>
  <c r="E15" i="11"/>
  <c r="E6" i="11"/>
  <c r="D5" i="11"/>
  <c r="F7" i="11"/>
  <c r="D8" i="11"/>
  <c r="F9" i="11"/>
  <c r="F11" i="11"/>
  <c r="D12" i="11"/>
  <c r="F13" i="11"/>
  <c r="D14" i="11"/>
  <c r="F15" i="11"/>
  <c r="D10" i="11"/>
  <c r="F6" i="11"/>
  <c r="G14" i="7"/>
  <c r="G16" i="7"/>
  <c r="G20" i="7"/>
  <c r="G22" i="7"/>
  <c r="G17" i="7"/>
  <c r="G13" i="7"/>
  <c r="G18" i="7"/>
  <c r="G175" i="1"/>
  <c r="I175" i="1" s="1"/>
  <c r="M9" i="1"/>
  <c r="M11" i="1"/>
  <c r="M13" i="1"/>
  <c r="M15" i="1"/>
  <c r="M17" i="1"/>
  <c r="D7" i="9" s="1"/>
  <c r="M19" i="1"/>
  <c r="D9" i="9" s="1"/>
  <c r="M21" i="1"/>
  <c r="D11" i="9" s="1"/>
  <c r="M22" i="1"/>
  <c r="M24" i="1"/>
  <c r="M26" i="1"/>
  <c r="M28" i="1"/>
  <c r="M30" i="1"/>
  <c r="M32" i="1"/>
  <c r="D18" i="9" s="1"/>
  <c r="M34" i="1"/>
  <c r="D20" i="9" s="1"/>
  <c r="M37" i="1"/>
  <c r="M39" i="1"/>
  <c r="M41" i="1"/>
  <c r="M43" i="1"/>
  <c r="M45" i="1"/>
  <c r="D22" i="9" s="1"/>
  <c r="M47" i="1"/>
  <c r="D24" i="9" s="1"/>
  <c r="M49" i="1"/>
  <c r="D26" i="9" s="1"/>
  <c r="M50" i="1"/>
  <c r="M52" i="1"/>
  <c r="M54" i="1"/>
  <c r="M56" i="1"/>
  <c r="M58" i="1"/>
  <c r="M60" i="1"/>
  <c r="D28" i="9" s="1"/>
  <c r="M62" i="1"/>
  <c r="D30" i="9" s="1"/>
  <c r="M65" i="1"/>
  <c r="M67" i="1"/>
  <c r="M69" i="1"/>
  <c r="M71" i="1"/>
  <c r="M73" i="1"/>
  <c r="M75" i="1"/>
  <c r="M77" i="1"/>
  <c r="M78" i="1"/>
  <c r="M80" i="1"/>
  <c r="M82" i="1"/>
  <c r="M84" i="1"/>
  <c r="M86" i="1"/>
  <c r="M88" i="1"/>
  <c r="D38" i="9" s="1"/>
  <c r="M90" i="1"/>
  <c r="D40" i="9" s="1"/>
  <c r="M93" i="1"/>
  <c r="M95" i="1"/>
  <c r="M97" i="1"/>
  <c r="M99" i="1"/>
  <c r="M101" i="1"/>
  <c r="D42" i="9" s="1"/>
  <c r="M103" i="1"/>
  <c r="D44" i="9" s="1"/>
  <c r="M105" i="1"/>
  <c r="D46" i="9" s="1"/>
  <c r="M106" i="1"/>
  <c r="M108" i="1"/>
  <c r="M110" i="1"/>
  <c r="M112" i="1"/>
  <c r="M114" i="1"/>
  <c r="M116" i="1"/>
  <c r="D48" i="9" s="1"/>
  <c r="M118" i="1"/>
  <c r="D50" i="9" s="1"/>
  <c r="M121" i="1"/>
  <c r="M123" i="1"/>
  <c r="M125" i="1"/>
  <c r="M127" i="1"/>
  <c r="M129" i="1"/>
  <c r="D52" i="9" s="1"/>
  <c r="M131" i="1"/>
  <c r="D54" i="9" s="1"/>
  <c r="M133" i="1"/>
  <c r="D56" i="9" s="1"/>
  <c r="M134" i="1"/>
  <c r="M136" i="1"/>
  <c r="M138" i="1"/>
  <c r="M140" i="1"/>
  <c r="M142" i="1"/>
  <c r="M144" i="1"/>
  <c r="D58" i="9" s="1"/>
  <c r="M146" i="1"/>
  <c r="D60" i="9" s="1"/>
  <c r="M148" i="1"/>
  <c r="M150" i="1"/>
  <c r="M152" i="1"/>
  <c r="M154" i="1"/>
  <c r="M156" i="1"/>
  <c r="M158" i="1"/>
  <c r="D33" i="9" s="1"/>
  <c r="M160" i="1"/>
  <c r="D35" i="9" s="1"/>
  <c r="M162" i="1"/>
  <c r="M164" i="1"/>
  <c r="M166" i="1"/>
  <c r="M168" i="1"/>
  <c r="M170" i="1"/>
  <c r="M172" i="1"/>
  <c r="D13" i="9" s="1"/>
  <c r="M174" i="1"/>
  <c r="D15" i="9" s="1"/>
  <c r="M8" i="1"/>
  <c r="M10" i="1"/>
  <c r="M12" i="1"/>
  <c r="M14" i="1"/>
  <c r="M16" i="1"/>
  <c r="M18" i="1"/>
  <c r="D8" i="9" s="1"/>
  <c r="M20" i="1"/>
  <c r="D10" i="9" s="1"/>
  <c r="M23" i="1"/>
  <c r="M25" i="1"/>
  <c r="M27" i="1"/>
  <c r="M29" i="1"/>
  <c r="M31" i="1"/>
  <c r="D17" i="9" s="1"/>
  <c r="M33" i="1"/>
  <c r="D19" i="9" s="1"/>
  <c r="M35" i="1"/>
  <c r="D21" i="9" s="1"/>
  <c r="M36" i="1"/>
  <c r="M38" i="1"/>
  <c r="M40" i="1"/>
  <c r="M42" i="1"/>
  <c r="M44" i="1"/>
  <c r="M46" i="1"/>
  <c r="D23" i="9" s="1"/>
  <c r="M48" i="1"/>
  <c r="D25" i="9" s="1"/>
  <c r="M51" i="1"/>
  <c r="M53" i="1"/>
  <c r="M55" i="1"/>
  <c r="M57" i="1"/>
  <c r="M59" i="1"/>
  <c r="D27" i="9" s="1"/>
  <c r="M61" i="1"/>
  <c r="D29" i="9" s="1"/>
  <c r="M63" i="1"/>
  <c r="D31" i="9" s="1"/>
  <c r="M64" i="1"/>
  <c r="M66" i="1"/>
  <c r="M68" i="1"/>
  <c r="M70" i="1"/>
  <c r="M72" i="1"/>
  <c r="M74" i="1"/>
  <c r="M76" i="1"/>
  <c r="M79" i="1"/>
  <c r="M81" i="1"/>
  <c r="M83" i="1"/>
  <c r="M85" i="1"/>
  <c r="M87" i="1"/>
  <c r="D37" i="9" s="1"/>
  <c r="M89" i="1"/>
  <c r="D39" i="9" s="1"/>
  <c r="M91" i="1"/>
  <c r="D41" i="9" s="1"/>
  <c r="M92" i="1"/>
  <c r="M94" i="1"/>
  <c r="M96" i="1"/>
  <c r="M98" i="1"/>
  <c r="M100" i="1"/>
  <c r="M102" i="1"/>
  <c r="D43" i="9" s="1"/>
  <c r="M104" i="1"/>
  <c r="D45" i="9" s="1"/>
  <c r="M107" i="1"/>
  <c r="M109" i="1"/>
  <c r="M111" i="1"/>
  <c r="M113" i="1"/>
  <c r="M115" i="1"/>
  <c r="D47" i="9" s="1"/>
  <c r="M117" i="1"/>
  <c r="D49" i="9" s="1"/>
  <c r="M119" i="1"/>
  <c r="D51" i="9" s="1"/>
  <c r="M120" i="1"/>
  <c r="M122" i="1"/>
  <c r="M124" i="1"/>
  <c r="M126" i="1"/>
  <c r="M128" i="1"/>
  <c r="M130" i="1"/>
  <c r="D53" i="9" s="1"/>
  <c r="M132" i="1"/>
  <c r="D55" i="9" s="1"/>
  <c r="M135" i="1"/>
  <c r="M137" i="1"/>
  <c r="M139" i="1"/>
  <c r="M141" i="1"/>
  <c r="M143" i="1"/>
  <c r="D57" i="9" s="1"/>
  <c r="M145" i="1"/>
  <c r="D59" i="9" s="1"/>
  <c r="M147" i="1"/>
  <c r="D61" i="9" s="1"/>
  <c r="M149" i="1"/>
  <c r="M151" i="1"/>
  <c r="M153" i="1"/>
  <c r="M155" i="1"/>
  <c r="M157" i="1"/>
  <c r="D32" i="9" s="1"/>
  <c r="M159" i="1"/>
  <c r="D34" i="9" s="1"/>
  <c r="M161" i="1"/>
  <c r="D36" i="9" s="1"/>
  <c r="M163" i="1"/>
  <c r="M165" i="1"/>
  <c r="M167" i="1"/>
  <c r="M169" i="1"/>
  <c r="M171" i="1"/>
  <c r="D12" i="9" s="1"/>
  <c r="M173" i="1"/>
  <c r="D14" i="9" s="1"/>
  <c r="M175" i="1"/>
  <c r="D16" i="9" s="1"/>
  <c r="G117" i="1"/>
  <c r="G122" i="1"/>
  <c r="I122" i="1" s="1"/>
  <c r="G126" i="1"/>
  <c r="I126" i="1" s="1"/>
  <c r="G130" i="1"/>
  <c r="I130" i="1" s="1"/>
  <c r="G135" i="1"/>
  <c r="I135" i="1" s="1"/>
  <c r="G139" i="1"/>
  <c r="I139" i="1" s="1"/>
  <c r="G143" i="1"/>
  <c r="G147" i="1"/>
  <c r="G151" i="1"/>
  <c r="I151" i="1" s="1"/>
  <c r="G155" i="1"/>
  <c r="I155" i="1" s="1"/>
  <c r="G159" i="1"/>
  <c r="I159" i="1" s="1"/>
  <c r="G163" i="1"/>
  <c r="I163" i="1" s="1"/>
  <c r="G167" i="1"/>
  <c r="I167" i="1" s="1"/>
  <c r="G154" i="1"/>
  <c r="I154" i="1" s="1"/>
  <c r="G158" i="1"/>
  <c r="I158" i="1" s="1"/>
  <c r="G162" i="1"/>
  <c r="G166" i="1"/>
  <c r="I166" i="1" s="1"/>
  <c r="G9" i="1"/>
  <c r="I9" i="1" s="1"/>
  <c r="G13" i="1"/>
  <c r="I13" i="1" s="1"/>
  <c r="G17" i="1"/>
  <c r="G21" i="1"/>
  <c r="I21" i="1" s="1"/>
  <c r="G22" i="1"/>
  <c r="I22" i="1" s="1"/>
  <c r="G26" i="1"/>
  <c r="I26" i="1" s="1"/>
  <c r="G30" i="1"/>
  <c r="I30" i="1" s="1"/>
  <c r="G34" i="1"/>
  <c r="G39" i="1"/>
  <c r="I39" i="1" s="1"/>
  <c r="G43" i="1"/>
  <c r="I43" i="1" s="1"/>
  <c r="G47" i="1"/>
  <c r="I47" i="1" s="1"/>
  <c r="G52" i="1"/>
  <c r="I52" i="1" s="1"/>
  <c r="G56" i="1"/>
  <c r="I56" i="1" s="1"/>
  <c r="G60" i="1"/>
  <c r="I60" i="1" s="1"/>
  <c r="G65" i="1"/>
  <c r="I65" i="1" s="1"/>
  <c r="G69" i="1"/>
  <c r="I69" i="1" s="1"/>
  <c r="G73" i="1"/>
  <c r="I73" i="1" s="1"/>
  <c r="G77" i="1"/>
  <c r="I77" i="1" s="1"/>
  <c r="G78" i="1"/>
  <c r="I78" i="1" s="1"/>
  <c r="G82" i="1"/>
  <c r="I82" i="1" s="1"/>
  <c r="G86" i="1"/>
  <c r="I86" i="1" s="1"/>
  <c r="G90" i="1"/>
  <c r="G95" i="1"/>
  <c r="I95" i="1" s="1"/>
  <c r="G99" i="1"/>
  <c r="I99" i="1" s="1"/>
  <c r="G103" i="1"/>
  <c r="I103" i="1" s="1"/>
  <c r="G108" i="1"/>
  <c r="I108" i="1" s="1"/>
  <c r="G112" i="1"/>
  <c r="I112" i="1" s="1"/>
  <c r="G116" i="1"/>
  <c r="G121" i="1"/>
  <c r="I121" i="1" s="1"/>
  <c r="G125" i="1"/>
  <c r="I125" i="1" s="1"/>
  <c r="G129" i="1"/>
  <c r="G133" i="1"/>
  <c r="I133" i="1" s="1"/>
  <c r="G134" i="1"/>
  <c r="I134" i="1" s="1"/>
  <c r="G138" i="1"/>
  <c r="I138" i="1" s="1"/>
  <c r="G142" i="1"/>
  <c r="I142" i="1" s="1"/>
  <c r="G146" i="1"/>
  <c r="G150" i="1"/>
  <c r="I150" i="1" s="1"/>
  <c r="G10" i="1"/>
  <c r="I10" i="1" s="1"/>
  <c r="G14" i="1"/>
  <c r="I14" i="1" s="1"/>
  <c r="G18" i="1"/>
  <c r="I18" i="1" s="1"/>
  <c r="G23" i="1"/>
  <c r="I23" i="1" s="1"/>
  <c r="G27" i="1"/>
  <c r="I27" i="1" s="1"/>
  <c r="G31" i="1"/>
  <c r="G35" i="1"/>
  <c r="G36" i="1"/>
  <c r="I36" i="1" s="1"/>
  <c r="G40" i="1"/>
  <c r="I40" i="1" s="1"/>
  <c r="G44" i="1"/>
  <c r="I44" i="1" s="1"/>
  <c r="G48" i="1"/>
  <c r="I48" i="1" s="1"/>
  <c r="G53" i="1"/>
  <c r="I53" i="1" s="1"/>
  <c r="G57" i="1"/>
  <c r="I57" i="1" s="1"/>
  <c r="G61" i="1"/>
  <c r="I61" i="1" s="1"/>
  <c r="G66" i="1"/>
  <c r="I66" i="1" s="1"/>
  <c r="G70" i="1"/>
  <c r="I70" i="1" s="1"/>
  <c r="G74" i="1"/>
  <c r="I74" i="1" s="1"/>
  <c r="G79" i="1"/>
  <c r="I79" i="1" s="1"/>
  <c r="G83" i="1"/>
  <c r="I83" i="1" s="1"/>
  <c r="G87" i="1"/>
  <c r="G91" i="1"/>
  <c r="G92" i="1"/>
  <c r="I92" i="1" s="1"/>
  <c r="G96" i="1"/>
  <c r="I96" i="1" s="1"/>
  <c r="G100" i="1"/>
  <c r="I100" i="1" s="1"/>
  <c r="G104" i="1"/>
  <c r="I104" i="1" s="1"/>
  <c r="G109" i="1"/>
  <c r="I109" i="1" s="1"/>
  <c r="G113" i="1"/>
  <c r="I113" i="1" s="1"/>
  <c r="G173" i="1"/>
  <c r="I173" i="1" s="1"/>
  <c r="G172" i="1"/>
  <c r="I172" i="1" s="1"/>
  <c r="G171" i="1"/>
  <c r="G170" i="1"/>
  <c r="I170" i="1" s="1"/>
  <c r="G174" i="1"/>
  <c r="I174" i="1" s="1"/>
  <c r="G8" i="1"/>
  <c r="I8" i="1" s="1"/>
  <c r="G12" i="1"/>
  <c r="I12" i="1" s="1"/>
  <c r="G16" i="1"/>
  <c r="I16" i="1" s="1"/>
  <c r="G20" i="1"/>
  <c r="I20" i="1" s="1"/>
  <c r="G25" i="1"/>
  <c r="I25" i="1" s="1"/>
  <c r="G29" i="1"/>
  <c r="I29" i="1" s="1"/>
  <c r="G33" i="1"/>
  <c r="G38" i="1"/>
  <c r="I38" i="1" s="1"/>
  <c r="G42" i="1"/>
  <c r="I42" i="1" s="1"/>
  <c r="G46" i="1"/>
  <c r="I46" i="1" s="1"/>
  <c r="G51" i="1"/>
  <c r="I51" i="1" s="1"/>
  <c r="G55" i="1"/>
  <c r="I55" i="1" s="1"/>
  <c r="G59" i="1"/>
  <c r="G63" i="1"/>
  <c r="I63" i="1" s="1"/>
  <c r="G64" i="1"/>
  <c r="I64" i="1" s="1"/>
  <c r="G68" i="1"/>
  <c r="I68" i="1" s="1"/>
  <c r="G72" i="1"/>
  <c r="I72" i="1" s="1"/>
  <c r="G76" i="1"/>
  <c r="I76" i="1" s="1"/>
  <c r="G81" i="1"/>
  <c r="I81" i="1" s="1"/>
  <c r="G85" i="1"/>
  <c r="I85" i="1" s="1"/>
  <c r="G89" i="1"/>
  <c r="G94" i="1"/>
  <c r="I94" i="1" s="1"/>
  <c r="G98" i="1"/>
  <c r="I98" i="1" s="1"/>
  <c r="G102" i="1"/>
  <c r="I102" i="1" s="1"/>
  <c r="G107" i="1"/>
  <c r="I107" i="1" s="1"/>
  <c r="G111" i="1"/>
  <c r="I111" i="1" s="1"/>
  <c r="G115" i="1"/>
  <c r="G119" i="1"/>
  <c r="G120" i="1"/>
  <c r="I120" i="1" s="1"/>
  <c r="G124" i="1"/>
  <c r="I124" i="1" s="1"/>
  <c r="G128" i="1"/>
  <c r="I128" i="1" s="1"/>
  <c r="G132" i="1"/>
  <c r="I132" i="1" s="1"/>
  <c r="G137" i="1"/>
  <c r="I137" i="1" s="1"/>
  <c r="G141" i="1"/>
  <c r="I141" i="1" s="1"/>
  <c r="G145" i="1"/>
  <c r="G149" i="1"/>
  <c r="I149" i="1" s="1"/>
  <c r="G153" i="1"/>
  <c r="I153" i="1" s="1"/>
  <c r="G157" i="1"/>
  <c r="G161" i="1"/>
  <c r="I161" i="1" s="1"/>
  <c r="G165" i="1"/>
  <c r="I165" i="1" s="1"/>
  <c r="G169" i="1"/>
  <c r="I169" i="1" s="1"/>
  <c r="G11" i="1"/>
  <c r="I11" i="1" s="1"/>
  <c r="G15" i="1"/>
  <c r="I15" i="1" s="1"/>
  <c r="G19" i="1"/>
  <c r="I19" i="1" s="1"/>
  <c r="G24" i="1"/>
  <c r="I24" i="1" s="1"/>
  <c r="G28" i="1"/>
  <c r="I28" i="1" s="1"/>
  <c r="G32" i="1"/>
  <c r="G37" i="1"/>
  <c r="I37" i="1" s="1"/>
  <c r="G41" i="1"/>
  <c r="I41" i="1" s="1"/>
  <c r="G45" i="1"/>
  <c r="G49" i="1"/>
  <c r="I49" i="1" s="1"/>
  <c r="G50" i="1"/>
  <c r="I50" i="1" s="1"/>
  <c r="G54" i="1"/>
  <c r="I54" i="1" s="1"/>
  <c r="G58" i="1"/>
  <c r="I58" i="1" s="1"/>
  <c r="G62" i="1"/>
  <c r="I62" i="1" s="1"/>
  <c r="G67" i="1"/>
  <c r="I67" i="1" s="1"/>
  <c r="G71" i="1"/>
  <c r="I71" i="1" s="1"/>
  <c r="G75" i="1"/>
  <c r="I75" i="1" s="1"/>
  <c r="G80" i="1"/>
  <c r="I80" i="1" s="1"/>
  <c r="G84" i="1"/>
  <c r="G88" i="1"/>
  <c r="G93" i="1"/>
  <c r="I93" i="1" s="1"/>
  <c r="G97" i="1"/>
  <c r="I97" i="1" s="1"/>
  <c r="G101" i="1"/>
  <c r="G105" i="1"/>
  <c r="I105" i="1" s="1"/>
  <c r="G106" i="1"/>
  <c r="I106" i="1" s="1"/>
  <c r="G110" i="1"/>
  <c r="I110" i="1" s="1"/>
  <c r="G114" i="1"/>
  <c r="I114" i="1" s="1"/>
  <c r="G118" i="1"/>
  <c r="G123" i="1"/>
  <c r="I123" i="1" s="1"/>
  <c r="G127" i="1"/>
  <c r="I127" i="1" s="1"/>
  <c r="G131" i="1"/>
  <c r="I131" i="1" s="1"/>
  <c r="G136" i="1"/>
  <c r="I136" i="1" s="1"/>
  <c r="G140" i="1"/>
  <c r="I140" i="1" s="1"/>
  <c r="G144" i="1"/>
  <c r="G148" i="1"/>
  <c r="G152" i="1"/>
  <c r="I152" i="1" s="1"/>
  <c r="G156" i="1"/>
  <c r="I156" i="1" s="1"/>
  <c r="G160" i="1"/>
  <c r="I160" i="1" s="1"/>
  <c r="G164" i="1"/>
  <c r="I164" i="1" s="1"/>
  <c r="G168" i="1"/>
  <c r="I168" i="1" s="1"/>
  <c r="F16" i="11" l="1"/>
  <c r="D16" i="11"/>
  <c r="E16" i="11"/>
  <c r="D16" i="7"/>
  <c r="H16" i="7" s="1"/>
  <c r="D17" i="7"/>
  <c r="H17" i="7" s="1"/>
  <c r="D23" i="7"/>
  <c r="D14" i="7"/>
  <c r="H14" i="7" s="1"/>
  <c r="D15" i="7"/>
  <c r="D22" i="7"/>
  <c r="H22" i="7" s="1"/>
  <c r="D18" i="7"/>
  <c r="H18" i="7" s="1"/>
  <c r="D21" i="7"/>
  <c r="D20" i="7"/>
  <c r="H20" i="7" s="1"/>
  <c r="D19" i="7"/>
  <c r="I45" i="1"/>
  <c r="J45" i="1" s="1"/>
  <c r="I171" i="1"/>
  <c r="J171" i="1" s="1"/>
  <c r="I129" i="1"/>
  <c r="J130" i="1" s="1"/>
  <c r="I157" i="1"/>
  <c r="J158" i="1" s="1"/>
  <c r="I59" i="1"/>
  <c r="J59" i="1" s="1"/>
  <c r="I17" i="1"/>
  <c r="J19" i="1" s="1"/>
  <c r="D13" i="7"/>
  <c r="H13" i="7" s="1"/>
  <c r="I101" i="1"/>
  <c r="J101" i="1" s="1"/>
  <c r="I84" i="1"/>
  <c r="J84" i="1" s="1"/>
  <c r="I162" i="1"/>
  <c r="I148" i="1"/>
  <c r="J150" i="1" s="1"/>
  <c r="J108" i="1"/>
  <c r="J133" i="1"/>
  <c r="J66" i="1"/>
  <c r="J40" i="1"/>
  <c r="J14" i="1"/>
  <c r="J11" i="1"/>
  <c r="J95" i="1"/>
  <c r="N139" i="1"/>
  <c r="N113" i="1"/>
  <c r="N87" i="1"/>
  <c r="N60" i="1"/>
  <c r="N34" i="1"/>
  <c r="N26" i="1"/>
  <c r="J167" i="1"/>
  <c r="J151" i="1"/>
  <c r="J54" i="1"/>
  <c r="J126" i="1"/>
  <c r="J58" i="1"/>
  <c r="J28" i="1"/>
  <c r="N173" i="1"/>
  <c r="N58" i="1"/>
  <c r="N32" i="1"/>
  <c r="N24" i="1"/>
  <c r="N19" i="1"/>
  <c r="N11" i="1"/>
  <c r="N170" i="1"/>
  <c r="J53" i="1"/>
  <c r="J27" i="1"/>
  <c r="J159" i="1"/>
  <c r="N84" i="1"/>
  <c r="N71" i="1"/>
  <c r="N45" i="1"/>
  <c r="J99" i="1"/>
  <c r="J109" i="1"/>
  <c r="J104" i="1"/>
  <c r="J83" i="1"/>
  <c r="J175" i="1"/>
  <c r="J49" i="1"/>
  <c r="N169" i="1"/>
  <c r="N165" i="1"/>
  <c r="N174" i="1"/>
  <c r="N155" i="1"/>
  <c r="N147" i="1"/>
  <c r="N126" i="1"/>
  <c r="N100" i="1"/>
  <c r="N73" i="1"/>
  <c r="N52" i="1"/>
  <c r="N47" i="1"/>
  <c r="N39" i="1"/>
  <c r="N21" i="1"/>
  <c r="N13" i="1"/>
  <c r="N171" i="1"/>
  <c r="N175" i="1"/>
  <c r="J122" i="1"/>
  <c r="J96" i="1"/>
  <c r="J139" i="1"/>
  <c r="J44" i="1"/>
  <c r="J74" i="1"/>
  <c r="J100" i="1"/>
  <c r="J80" i="1"/>
  <c r="J75" i="1"/>
  <c r="J57" i="1"/>
  <c r="J10" i="1"/>
  <c r="J125" i="1"/>
  <c r="J24" i="1"/>
  <c r="J86" i="1"/>
  <c r="J70" i="1"/>
  <c r="J112" i="1"/>
  <c r="J155" i="1"/>
  <c r="J113" i="1"/>
  <c r="J67" i="1"/>
  <c r="J174" i="1"/>
  <c r="J62" i="1"/>
  <c r="J41" i="1"/>
  <c r="J165" i="1"/>
  <c r="J138" i="1"/>
  <c r="J132" i="1"/>
  <c r="J94" i="1"/>
  <c r="J81" i="1"/>
  <c r="N159" i="1"/>
  <c r="N151" i="1"/>
  <c r="N143" i="1"/>
  <c r="N130" i="1"/>
  <c r="N122" i="1"/>
  <c r="N117" i="1"/>
  <c r="N109" i="1"/>
  <c r="N104" i="1"/>
  <c r="N96" i="1"/>
  <c r="N91" i="1"/>
  <c r="N82" i="1"/>
  <c r="N77" i="1"/>
  <c r="N69" i="1"/>
  <c r="N56" i="1"/>
  <c r="N43" i="1"/>
  <c r="N30" i="1"/>
  <c r="N17" i="1"/>
  <c r="N123" i="1"/>
  <c r="N118" i="1"/>
  <c r="N97" i="1"/>
  <c r="N72" i="1"/>
  <c r="N46" i="1"/>
  <c r="N31" i="1"/>
  <c r="J152" i="1"/>
  <c r="N83" i="1"/>
  <c r="N53" i="1"/>
  <c r="N16" i="1"/>
  <c r="N158" i="1"/>
  <c r="N150" i="1"/>
  <c r="N142" i="1"/>
  <c r="N133" i="1"/>
  <c r="N108" i="1"/>
  <c r="N95" i="1"/>
  <c r="N90" i="1"/>
  <c r="J170" i="1"/>
  <c r="J154" i="1"/>
  <c r="J142" i="1"/>
  <c r="J137" i="1"/>
  <c r="J128" i="1"/>
  <c r="J114" i="1"/>
  <c r="N157" i="1"/>
  <c r="N141" i="1"/>
  <c r="N128" i="1"/>
  <c r="N115" i="1"/>
  <c r="N102" i="1"/>
  <c r="N94" i="1"/>
  <c r="N89" i="1"/>
  <c r="N80" i="1"/>
  <c r="N75" i="1"/>
  <c r="N67" i="1"/>
  <c r="N62" i="1"/>
  <c r="N54" i="1"/>
  <c r="N49" i="1"/>
  <c r="N41" i="1"/>
  <c r="N28" i="1"/>
  <c r="N15" i="1"/>
  <c r="N140" i="1"/>
  <c r="N114" i="1"/>
  <c r="N88" i="1"/>
  <c r="N68" i="1"/>
  <c r="N63" i="1"/>
  <c r="N44" i="1"/>
  <c r="N29" i="1"/>
  <c r="J136" i="1"/>
  <c r="N99" i="1"/>
  <c r="J168" i="1"/>
  <c r="N74" i="1"/>
  <c r="N40" i="1"/>
  <c r="N14" i="1"/>
  <c r="N168" i="1"/>
  <c r="N156" i="1"/>
  <c r="N138" i="1"/>
  <c r="N129" i="1"/>
  <c r="N86" i="1"/>
  <c r="J169" i="1"/>
  <c r="J161" i="1"/>
  <c r="J153" i="1"/>
  <c r="J141" i="1"/>
  <c r="J124" i="1"/>
  <c r="J111" i="1"/>
  <c r="J98" i="1"/>
  <c r="N136" i="1"/>
  <c r="N131" i="1"/>
  <c r="N110" i="1"/>
  <c r="N105" i="1"/>
  <c r="N85" i="1"/>
  <c r="N59" i="1"/>
  <c r="N42" i="1"/>
  <c r="N35" i="1"/>
  <c r="N27" i="1"/>
  <c r="J127" i="1"/>
  <c r="N66" i="1"/>
  <c r="N70" i="1"/>
  <c r="N61" i="1"/>
  <c r="N20" i="1"/>
  <c r="N12" i="1"/>
  <c r="N154" i="1"/>
  <c r="N146" i="1"/>
  <c r="N125" i="1"/>
  <c r="N116" i="1"/>
  <c r="N166" i="1"/>
  <c r="J166" i="1"/>
  <c r="J140" i="1"/>
  <c r="J123" i="1"/>
  <c r="J110" i="1"/>
  <c r="J105" i="1"/>
  <c r="J97" i="1"/>
  <c r="J82" i="1"/>
  <c r="N161" i="1"/>
  <c r="N153" i="1"/>
  <c r="N145" i="1"/>
  <c r="N137" i="1"/>
  <c r="N132" i="1"/>
  <c r="N124" i="1"/>
  <c r="N119" i="1"/>
  <c r="N111" i="1"/>
  <c r="N98" i="1"/>
  <c r="N127" i="1"/>
  <c r="N101" i="1"/>
  <c r="N81" i="1"/>
  <c r="N76" i="1"/>
  <c r="N55" i="1"/>
  <c r="N48" i="1"/>
  <c r="N38" i="1"/>
  <c r="N33" i="1"/>
  <c r="N25" i="1"/>
  <c r="J156" i="1"/>
  <c r="J160" i="1"/>
  <c r="N57" i="1"/>
  <c r="N18" i="1"/>
  <c r="N10" i="1"/>
  <c r="N172" i="1"/>
  <c r="N160" i="1"/>
  <c r="N152" i="1"/>
  <c r="N144" i="1"/>
  <c r="N112" i="1"/>
  <c r="N103" i="1"/>
  <c r="N164" i="1"/>
  <c r="N167" i="1"/>
  <c r="J71" i="1"/>
  <c r="J69" i="1"/>
  <c r="J56" i="1"/>
  <c r="J43" i="1"/>
  <c r="J30" i="1"/>
  <c r="J12" i="1"/>
  <c r="J48" i="1"/>
  <c r="J77" i="1"/>
  <c r="J15" i="1"/>
  <c r="J21" i="1"/>
  <c r="J68" i="1"/>
  <c r="J63" i="1"/>
  <c r="J55" i="1"/>
  <c r="J42" i="1"/>
  <c r="J29" i="1"/>
  <c r="J76" i="1"/>
  <c r="J16" i="1"/>
  <c r="J52" i="1"/>
  <c r="J39" i="1"/>
  <c r="J26" i="1"/>
  <c r="J20" i="1"/>
  <c r="J73" i="1"/>
  <c r="J13" i="1"/>
  <c r="J72" i="1"/>
  <c r="J38" i="1"/>
  <c r="J25" i="1"/>
  <c r="J60" i="1" l="1"/>
  <c r="J102" i="1"/>
  <c r="J61" i="1"/>
  <c r="J164" i="1"/>
  <c r="J17" i="1"/>
  <c r="J47" i="1"/>
  <c r="J46" i="1"/>
  <c r="J103" i="1"/>
  <c r="K14" i="3" s="1"/>
  <c r="J85" i="1"/>
  <c r="J157" i="1"/>
  <c r="K12" i="3" s="1"/>
  <c r="J172" i="1"/>
  <c r="J173" i="1"/>
  <c r="J129" i="1"/>
  <c r="J18" i="1"/>
  <c r="J131" i="1"/>
  <c r="K11" i="3"/>
  <c r="D5" i="3"/>
  <c r="E5" i="3"/>
  <c r="E24" i="7"/>
  <c r="K7" i="3" l="1"/>
  <c r="K16" i="3"/>
  <c r="K8" i="3"/>
  <c r="K10" i="3"/>
  <c r="F24" i="7"/>
  <c r="A8" i="9" l="1"/>
  <c r="A9" i="9"/>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7" i="9"/>
  <c r="F10" i="9" l="1"/>
  <c r="F11" i="9"/>
  <c r="F20" i="9"/>
  <c r="F21" i="9"/>
  <c r="F25" i="9"/>
  <c r="F26" i="9"/>
  <c r="F30" i="9"/>
  <c r="F31" i="9"/>
  <c r="F40" i="9"/>
  <c r="F41" i="9"/>
  <c r="F45" i="9"/>
  <c r="F46" i="9"/>
  <c r="F50" i="9"/>
  <c r="F51" i="9"/>
  <c r="F55" i="9"/>
  <c r="F56" i="9"/>
  <c r="F60" i="9"/>
  <c r="F61" i="9"/>
  <c r="F35" i="9"/>
  <c r="F36" i="9"/>
  <c r="F15" i="9"/>
  <c r="F16" i="9"/>
  <c r="D46" i="3" l="1"/>
  <c r="E46" i="3"/>
  <c r="E31" i="3"/>
  <c r="D31" i="3"/>
  <c r="E21" i="3"/>
  <c r="D21" i="3"/>
  <c r="E45" i="3"/>
  <c r="D45" i="3"/>
  <c r="D30" i="3"/>
  <c r="E30" i="3"/>
  <c r="E20" i="3"/>
  <c r="D20" i="3"/>
  <c r="E56" i="3"/>
  <c r="D56" i="3"/>
  <c r="E35" i="3"/>
  <c r="D35" i="3"/>
  <c r="E16" i="3"/>
  <c r="D16" i="3"/>
  <c r="E61" i="3"/>
  <c r="D61" i="3"/>
  <c r="E51" i="3"/>
  <c r="D51" i="3"/>
  <c r="E41" i="3"/>
  <c r="D41" i="3"/>
  <c r="E26" i="3"/>
  <c r="D26" i="3"/>
  <c r="E11" i="3"/>
  <c r="D11" i="3"/>
  <c r="E36" i="3"/>
  <c r="D36" i="3"/>
  <c r="E55" i="3"/>
  <c r="D55" i="3"/>
  <c r="E15" i="3"/>
  <c r="D15" i="3"/>
  <c r="E60" i="3"/>
  <c r="D60" i="3"/>
  <c r="D50" i="3"/>
  <c r="E50" i="3"/>
  <c r="E40" i="3"/>
  <c r="D40" i="3"/>
  <c r="E25" i="3"/>
  <c r="D25" i="3"/>
  <c r="E10" i="3"/>
  <c r="D10" i="3"/>
  <c r="F13" i="9"/>
  <c r="F33" i="9"/>
  <c r="F58" i="9"/>
  <c r="F48" i="9"/>
  <c r="F38" i="9"/>
  <c r="F29" i="9"/>
  <c r="F22" i="9"/>
  <c r="F19" i="9"/>
  <c r="F7" i="9"/>
  <c r="F32" i="9"/>
  <c r="F57" i="9"/>
  <c r="F54" i="9"/>
  <c r="F47" i="9"/>
  <c r="F44" i="9"/>
  <c r="F37" i="9"/>
  <c r="F28" i="9"/>
  <c r="F18" i="9"/>
  <c r="F12" i="9"/>
  <c r="F53" i="9"/>
  <c r="F43" i="9"/>
  <c r="F27" i="9"/>
  <c r="F24" i="9"/>
  <c r="F17" i="9"/>
  <c r="F9" i="9"/>
  <c r="F14" i="9"/>
  <c r="F34" i="9"/>
  <c r="F59" i="9"/>
  <c r="F52" i="9"/>
  <c r="F49" i="9"/>
  <c r="F42" i="9"/>
  <c r="F39" i="9"/>
  <c r="F23" i="9"/>
  <c r="F8" i="9"/>
  <c r="E23" i="3" l="1"/>
  <c r="D23" i="3"/>
  <c r="E52" i="3"/>
  <c r="D52" i="3"/>
  <c r="E9" i="3"/>
  <c r="D9" i="3"/>
  <c r="E43" i="3"/>
  <c r="D43" i="3"/>
  <c r="E28" i="3"/>
  <c r="D28" i="3"/>
  <c r="D54" i="3"/>
  <c r="E54" i="3"/>
  <c r="F54" i="3" s="1"/>
  <c r="E19" i="3"/>
  <c r="D19" i="3"/>
  <c r="E48" i="3"/>
  <c r="D48" i="3"/>
  <c r="F48" i="3" s="1"/>
  <c r="E39" i="3"/>
  <c r="D39" i="3"/>
  <c r="E17" i="3"/>
  <c r="D17" i="3"/>
  <c r="F17" i="3" s="1"/>
  <c r="E53" i="3"/>
  <c r="D53" i="3"/>
  <c r="E37" i="3"/>
  <c r="D37" i="3"/>
  <c r="F37" i="3" s="1"/>
  <c r="E57" i="3"/>
  <c r="D57" i="3"/>
  <c r="E22" i="3"/>
  <c r="D22" i="3"/>
  <c r="F22" i="3" s="1"/>
  <c r="E58" i="3"/>
  <c r="D58" i="3"/>
  <c r="E59" i="3"/>
  <c r="D59" i="3"/>
  <c r="F59" i="3" s="1"/>
  <c r="E24" i="3"/>
  <c r="D24" i="3"/>
  <c r="E44" i="3"/>
  <c r="D44" i="3"/>
  <c r="F44" i="3" s="1"/>
  <c r="E32" i="3"/>
  <c r="D32" i="3"/>
  <c r="E29" i="3"/>
  <c r="D29" i="3"/>
  <c r="F29" i="3" s="1"/>
  <c r="E33" i="3"/>
  <c r="D33" i="3"/>
  <c r="D42" i="3"/>
  <c r="E42" i="3"/>
  <c r="F42" i="3" s="1"/>
  <c r="D34" i="3"/>
  <c r="E34" i="3"/>
  <c r="E12" i="3"/>
  <c r="D12" i="3"/>
  <c r="F12" i="3" s="1"/>
  <c r="E8" i="3"/>
  <c r="D8" i="3"/>
  <c r="E49" i="3"/>
  <c r="D49" i="3"/>
  <c r="F49" i="3" s="1"/>
  <c r="E14" i="3"/>
  <c r="D14" i="3"/>
  <c r="E27" i="3"/>
  <c r="D27" i="3"/>
  <c r="F27" i="3" s="1"/>
  <c r="E18" i="3"/>
  <c r="D18" i="3"/>
  <c r="E47" i="3"/>
  <c r="D47" i="3"/>
  <c r="F47" i="3" s="1"/>
  <c r="E7" i="3"/>
  <c r="D7" i="3"/>
  <c r="D38" i="3"/>
  <c r="E38" i="3"/>
  <c r="F38" i="3" s="1"/>
  <c r="E13" i="3"/>
  <c r="D13" i="3"/>
  <c r="F9" i="3"/>
  <c r="F11" i="3"/>
  <c r="F15" i="3"/>
  <c r="F19" i="3"/>
  <c r="F21" i="3"/>
  <c r="F23" i="3"/>
  <c r="F25" i="3"/>
  <c r="F31" i="3"/>
  <c r="F33" i="3"/>
  <c r="F35" i="3"/>
  <c r="F39" i="3"/>
  <c r="F41" i="3"/>
  <c r="F45" i="3"/>
  <c r="F51" i="3"/>
  <c r="F53" i="3"/>
  <c r="F55" i="3"/>
  <c r="F57" i="3"/>
  <c r="F61" i="3"/>
  <c r="F10" i="3"/>
  <c r="F14" i="3"/>
  <c r="F18" i="3"/>
  <c r="F26" i="3"/>
  <c r="F30" i="3"/>
  <c r="F34" i="3"/>
  <c r="F46" i="3"/>
  <c r="F50" i="3"/>
  <c r="F58" i="3"/>
  <c r="F8" i="3"/>
  <c r="F24" i="3"/>
  <c r="F40" i="3"/>
  <c r="F56" i="3"/>
  <c r="F28" i="3"/>
  <c r="F60" i="3"/>
  <c r="F16" i="3"/>
  <c r="F32" i="3"/>
  <c r="F20" i="3"/>
  <c r="F36" i="3"/>
  <c r="F13" i="3" l="1"/>
  <c r="F7" i="3"/>
  <c r="F43" i="3"/>
  <c r="F52" i="3"/>
  <c r="L16" i="3" s="1"/>
  <c r="M16" i="3" s="1"/>
  <c r="L14" i="3"/>
  <c r="M14" i="3" s="1"/>
  <c r="L15" i="3"/>
  <c r="L8" i="3"/>
  <c r="M8" i="3" s="1"/>
  <c r="L10" i="3"/>
  <c r="M10" i="3" s="1"/>
  <c r="L7" i="3"/>
  <c r="M7" i="3" s="1"/>
  <c r="L13" i="3"/>
  <c r="L11" i="3"/>
  <c r="M11" i="3" s="1"/>
  <c r="L12" i="3"/>
  <c r="M12" i="3" s="1"/>
  <c r="L17" i="3"/>
  <c r="L9" i="3"/>
  <c r="G16" i="3" l="1"/>
  <c r="G32" i="3"/>
  <c r="G48" i="3"/>
  <c r="G9" i="3"/>
  <c r="G25" i="3"/>
  <c r="G41" i="3"/>
  <c r="G57" i="3"/>
  <c r="G22" i="3"/>
  <c r="G38" i="3"/>
  <c r="G54" i="3"/>
  <c r="G19" i="3"/>
  <c r="G35" i="3"/>
  <c r="G51" i="3"/>
  <c r="G20" i="3"/>
  <c r="G36" i="3"/>
  <c r="G52" i="3"/>
  <c r="G13" i="3"/>
  <c r="G29" i="3"/>
  <c r="G45" i="3"/>
  <c r="G61" i="3"/>
  <c r="G10" i="3"/>
  <c r="G26" i="3"/>
  <c r="G42" i="3"/>
  <c r="G58" i="3"/>
  <c r="G23" i="3"/>
  <c r="G39" i="3"/>
  <c r="G55" i="3"/>
  <c r="G8" i="3"/>
  <c r="G24" i="3"/>
  <c r="G40" i="3"/>
  <c r="G56" i="3"/>
  <c r="G17" i="3"/>
  <c r="G33" i="3"/>
  <c r="G49" i="3"/>
  <c r="G14" i="3"/>
  <c r="G30" i="3"/>
  <c r="G46" i="3"/>
  <c r="G11" i="3"/>
  <c r="G27" i="3"/>
  <c r="G43" i="3"/>
  <c r="G59" i="3"/>
  <c r="G12" i="3"/>
  <c r="G28" i="3"/>
  <c r="G44" i="3"/>
  <c r="G60" i="3"/>
  <c r="G7" i="3"/>
  <c r="G21" i="3"/>
  <c r="G37" i="3"/>
  <c r="G53" i="3"/>
  <c r="G18" i="3"/>
  <c r="G34" i="3"/>
  <c r="G50" i="3"/>
  <c r="G15" i="3"/>
  <c r="G31" i="3"/>
  <c r="G47" i="3"/>
  <c r="I19" i="7" l="1"/>
  <c r="I15" i="7"/>
  <c r="I16" i="7"/>
  <c r="J16" i="7" s="1"/>
  <c r="G8" i="11" s="1"/>
  <c r="I22" i="7"/>
  <c r="J22" i="7" s="1"/>
  <c r="G14" i="11" s="1"/>
  <c r="I21" i="7"/>
  <c r="I23" i="7"/>
  <c r="I17" i="7"/>
  <c r="J17" i="7" s="1"/>
  <c r="G9" i="11" s="1"/>
  <c r="I20" i="7"/>
  <c r="J20" i="7" s="1"/>
  <c r="G12" i="11" s="1"/>
  <c r="I14" i="7"/>
  <c r="J14" i="7" s="1"/>
  <c r="G6" i="11" s="1"/>
  <c r="I18" i="7"/>
  <c r="J18" i="7" s="1"/>
  <c r="G10" i="11" s="1"/>
  <c r="I13" i="7"/>
  <c r="H12" i="11" l="1"/>
  <c r="I12" i="11"/>
  <c r="J12" i="11"/>
  <c r="H8" i="11"/>
  <c r="J8" i="11"/>
  <c r="I8" i="11"/>
  <c r="J10" i="11"/>
  <c r="I10" i="11"/>
  <c r="H10" i="11"/>
  <c r="J14" i="11"/>
  <c r="I14" i="11"/>
  <c r="H14" i="11"/>
  <c r="I9" i="11"/>
  <c r="J9" i="11"/>
  <c r="H9" i="11"/>
  <c r="I6" i="11"/>
  <c r="H6" i="11"/>
  <c r="J6" i="11"/>
  <c r="M22" i="7"/>
  <c r="L16" i="7"/>
  <c r="L22" i="7"/>
  <c r="M16" i="7"/>
  <c r="L18" i="7"/>
  <c r="M18" i="7"/>
  <c r="M14" i="7"/>
  <c r="L14" i="7"/>
  <c r="L17" i="7"/>
  <c r="M17" i="7"/>
  <c r="M20" i="7"/>
  <c r="L20" i="7"/>
  <c r="I24" i="7"/>
  <c r="D24" i="7" l="1"/>
  <c r="J13" i="7" l="1"/>
  <c r="G5" i="11" s="1"/>
  <c r="I5" i="11" l="1"/>
  <c r="H5" i="11"/>
  <c r="J5" i="11"/>
  <c r="M13" i="7"/>
  <c r="L13" i="7"/>
  <c r="I89" i="1" l="1"/>
  <c r="I91" i="1"/>
  <c r="I88" i="1" l="1"/>
  <c r="I90" i="1"/>
  <c r="J91" i="1" s="1"/>
  <c r="J90" i="1" l="1"/>
  <c r="I87" i="1"/>
  <c r="G19" i="7"/>
  <c r="H19" i="7" s="1"/>
  <c r="J19" i="7" s="1"/>
  <c r="J88" i="1" l="1"/>
  <c r="J89" i="1"/>
  <c r="J87" i="1"/>
  <c r="K13" i="3" s="1"/>
  <c r="M13" i="3" s="1"/>
  <c r="L19" i="7"/>
  <c r="M19" i="7"/>
  <c r="G11" i="11"/>
  <c r="I11" i="11" l="1"/>
  <c r="J11" i="11"/>
  <c r="H11" i="11"/>
  <c r="I33" i="1" l="1"/>
  <c r="I34" i="1"/>
  <c r="I35" i="1"/>
  <c r="I32" i="1"/>
  <c r="J35" i="1" l="1"/>
  <c r="I31" i="1"/>
  <c r="G15" i="7"/>
  <c r="J34" i="1"/>
  <c r="I146" i="1"/>
  <c r="I144" i="1"/>
  <c r="I145" i="1"/>
  <c r="I147" i="1"/>
  <c r="I116" i="1"/>
  <c r="I118" i="1"/>
  <c r="I117" i="1"/>
  <c r="I119" i="1"/>
  <c r="J146" i="1" l="1"/>
  <c r="J119" i="1"/>
  <c r="J118" i="1"/>
  <c r="G23" i="7"/>
  <c r="H23" i="7" s="1"/>
  <c r="J23" i="7" s="1"/>
  <c r="I143" i="1"/>
  <c r="I115" i="1"/>
  <c r="G21" i="7"/>
  <c r="H21" i="7" s="1"/>
  <c r="J21" i="7" s="1"/>
  <c r="H15" i="7"/>
  <c r="J147" i="1"/>
  <c r="J32" i="1"/>
  <c r="J33" i="1"/>
  <c r="J31" i="1"/>
  <c r="K9" i="3" l="1"/>
  <c r="M9" i="3" s="1"/>
  <c r="L23" i="7"/>
  <c r="M23" i="7"/>
  <c r="G15" i="11"/>
  <c r="H24" i="7"/>
  <c r="J15" i="7"/>
  <c r="J143" i="1"/>
  <c r="J144" i="1"/>
  <c r="J145" i="1"/>
  <c r="J116" i="1"/>
  <c r="J115" i="1"/>
  <c r="K15" i="3" s="1"/>
  <c r="M15" i="3" s="1"/>
  <c r="J117" i="1"/>
  <c r="L21" i="7"/>
  <c r="M21" i="7"/>
  <c r="G13" i="11"/>
  <c r="G24" i="7"/>
  <c r="K17" i="3" l="1"/>
  <c r="M17" i="3" s="1"/>
  <c r="M19" i="3" s="1"/>
  <c r="M15" i="7"/>
  <c r="M24" i="7" s="1"/>
  <c r="G7" i="11"/>
  <c r="L15" i="7"/>
  <c r="L24" i="7" s="1"/>
  <c r="J24" i="7"/>
  <c r="J13" i="11"/>
  <c r="H13" i="11"/>
  <c r="I13" i="11"/>
  <c r="J15" i="11"/>
  <c r="I15" i="11"/>
  <c r="H15" i="11"/>
  <c r="M20" i="3" l="1"/>
  <c r="H7" i="11"/>
  <c r="H16" i="11" s="1"/>
  <c r="I7" i="11"/>
  <c r="I16" i="11" s="1"/>
  <c r="J7" i="11"/>
  <c r="J16" i="11" s="1"/>
  <c r="G16" i="11"/>
</calcChain>
</file>

<file path=xl/sharedStrings.xml><?xml version="1.0" encoding="utf-8"?>
<sst xmlns="http://schemas.openxmlformats.org/spreadsheetml/2006/main" count="707" uniqueCount="302">
  <si>
    <t>Reallocations</t>
  </si>
  <si>
    <t>Cost data</t>
  </si>
  <si>
    <t>Variable code</t>
  </si>
  <si>
    <t>Variable name</t>
  </si>
  <si>
    <t>_cons</t>
  </si>
  <si>
    <t>Constant</t>
  </si>
  <si>
    <t>Company</t>
  </si>
  <si>
    <t>Year</t>
  </si>
  <si>
    <t>ANH</t>
  </si>
  <si>
    <t>NES</t>
  </si>
  <si>
    <t>NWT</t>
  </si>
  <si>
    <t>SRN</t>
  </si>
  <si>
    <t>SVT</t>
  </si>
  <si>
    <t>SWT</t>
  </si>
  <si>
    <t>SWB</t>
  </si>
  <si>
    <t>TMS</t>
  </si>
  <si>
    <t>WSH</t>
  </si>
  <si>
    <t>WSX</t>
  </si>
  <si>
    <t>YKY</t>
  </si>
  <si>
    <t>SVE</t>
  </si>
  <si>
    <t>HDD</t>
  </si>
  <si>
    <t>Code</t>
  </si>
  <si>
    <t>Data</t>
  </si>
  <si>
    <t>Capex, £m of 2017-18</t>
  </si>
  <si>
    <t>Cost driver data</t>
  </si>
  <si>
    <t>Total new connections (000s)</t>
  </si>
  <si>
    <t>Efficiency challenge</t>
  </si>
  <si>
    <t>Historical</t>
  </si>
  <si>
    <t>Forecast</t>
  </si>
  <si>
    <t>Random effects</t>
  </si>
  <si>
    <t>Econometric models - estimated coefficients</t>
  </si>
  <si>
    <t>Dependent variable: New development (and connection) costs (ln, 3-year smoothed)</t>
  </si>
  <si>
    <t>Forecast cost drivers</t>
  </si>
  <si>
    <t xml:space="preserve"> - use for setting allowance</t>
  </si>
  <si>
    <t>Cost driver data (total new connections, 000s)</t>
  </si>
  <si>
    <t>Ofwat forecast</t>
  </si>
  <si>
    <t>Original data</t>
  </si>
  <si>
    <t>Natural log</t>
  </si>
  <si>
    <t xml:space="preserve">Model weights </t>
  </si>
  <si>
    <t>Total</t>
  </si>
  <si>
    <t>Actual costs</t>
  </si>
  <si>
    <t>Triangulated modelled costs</t>
  </si>
  <si>
    <t>Modelled costs</t>
  </si>
  <si>
    <t>Forward looking efficiency score</t>
  </si>
  <si>
    <t>Median</t>
  </si>
  <si>
    <t>Upper quartile</t>
  </si>
  <si>
    <t>Allowance for new developments costs</t>
  </si>
  <si>
    <t>Assessor's name</t>
  </si>
  <si>
    <t>Peer review (initials, date)</t>
  </si>
  <si>
    <t>BoN code</t>
  </si>
  <si>
    <t>Enhancement line</t>
  </si>
  <si>
    <t>Control</t>
  </si>
  <si>
    <t>Cost allowance for AMP7 (£m)</t>
  </si>
  <si>
    <t>Capex reallocated out to other lines</t>
  </si>
  <si>
    <t>Capex reallocated in to this line</t>
  </si>
  <si>
    <t>Net Capex reallocated</t>
  </si>
  <si>
    <t>Capex allowed - network plus</t>
  </si>
  <si>
    <t>Global controls</t>
  </si>
  <si>
    <t xml:space="preserve"> - In this sheet we set model weights and efficiency challenge</t>
  </si>
  <si>
    <t>Smoothed connections</t>
  </si>
  <si>
    <t>Company forecast</t>
  </si>
  <si>
    <t>Data for AMP7</t>
  </si>
  <si>
    <t>realS3020CAS</t>
  </si>
  <si>
    <t>realS3021CAS</t>
  </si>
  <si>
    <t>realS3023CAS</t>
  </si>
  <si>
    <t>New development and growth</t>
  </si>
  <si>
    <t>Growth at sewage treatment works (excluding sludge treatment)</t>
  </si>
  <si>
    <t>BP3410</t>
  </si>
  <si>
    <t>BP3415</t>
  </si>
  <si>
    <t>ANH12</t>
  </si>
  <si>
    <t>ANH13</t>
  </si>
  <si>
    <t>ANH14</t>
  </si>
  <si>
    <t>ANH15</t>
  </si>
  <si>
    <t>ANH16</t>
  </si>
  <si>
    <t>ANH17</t>
  </si>
  <si>
    <t>ANH18</t>
  </si>
  <si>
    <t>ANH19</t>
  </si>
  <si>
    <t>ANH20</t>
  </si>
  <si>
    <t>ANH21</t>
  </si>
  <si>
    <t>ANH22</t>
  </si>
  <si>
    <t>ANH23</t>
  </si>
  <si>
    <t>ANH24</t>
  </si>
  <si>
    <t>ANH25</t>
  </si>
  <si>
    <t>HDD19</t>
  </si>
  <si>
    <t>HDD20</t>
  </si>
  <si>
    <t>HDD21</t>
  </si>
  <si>
    <t>HDD22</t>
  </si>
  <si>
    <t>HDD23</t>
  </si>
  <si>
    <t>HDD24</t>
  </si>
  <si>
    <t>HDD25</t>
  </si>
  <si>
    <t>NES12</t>
  </si>
  <si>
    <t>NES13</t>
  </si>
  <si>
    <t>NES14</t>
  </si>
  <si>
    <t>NES15</t>
  </si>
  <si>
    <t>NES16</t>
  </si>
  <si>
    <t>NES17</t>
  </si>
  <si>
    <t>NES18</t>
  </si>
  <si>
    <t>NES19</t>
  </si>
  <si>
    <t>NES20</t>
  </si>
  <si>
    <t>NES21</t>
  </si>
  <si>
    <t>NES22</t>
  </si>
  <si>
    <t>NES23</t>
  </si>
  <si>
    <t>NES24</t>
  </si>
  <si>
    <t>NES25</t>
  </si>
  <si>
    <t>NWT12</t>
  </si>
  <si>
    <t>NWT13</t>
  </si>
  <si>
    <t>NWT14</t>
  </si>
  <si>
    <t>NWT15</t>
  </si>
  <si>
    <t>NWT16</t>
  </si>
  <si>
    <t>NWT17</t>
  </si>
  <si>
    <t>NWT18</t>
  </si>
  <si>
    <t>NWT19</t>
  </si>
  <si>
    <t>NWT20</t>
  </si>
  <si>
    <t>NWT21</t>
  </si>
  <si>
    <t>NWT22</t>
  </si>
  <si>
    <t>NWT23</t>
  </si>
  <si>
    <t>NWT24</t>
  </si>
  <si>
    <t>NWT25</t>
  </si>
  <si>
    <t>SRN12</t>
  </si>
  <si>
    <t>SRN13</t>
  </si>
  <si>
    <t>SRN14</t>
  </si>
  <si>
    <t>SRN15</t>
  </si>
  <si>
    <t>SRN16</t>
  </si>
  <si>
    <t>SRN17</t>
  </si>
  <si>
    <t>SRN18</t>
  </si>
  <si>
    <t>SRN19</t>
  </si>
  <si>
    <t>SRN20</t>
  </si>
  <si>
    <t>SRN21</t>
  </si>
  <si>
    <t>SRN22</t>
  </si>
  <si>
    <t>SRN23</t>
  </si>
  <si>
    <t>SRN24</t>
  </si>
  <si>
    <t>SRN25</t>
  </si>
  <si>
    <t>SVE19</t>
  </si>
  <si>
    <t>SVE20</t>
  </si>
  <si>
    <t>SVE21</t>
  </si>
  <si>
    <t>SVE22</t>
  </si>
  <si>
    <t>SVE23</t>
  </si>
  <si>
    <t>SVE24</t>
  </si>
  <si>
    <t>SVE25</t>
  </si>
  <si>
    <t>SVT12</t>
  </si>
  <si>
    <t>SVT13</t>
  </si>
  <si>
    <t>SVT14</t>
  </si>
  <si>
    <t>SVT15</t>
  </si>
  <si>
    <t>SVT16</t>
  </si>
  <si>
    <t>SVT17</t>
  </si>
  <si>
    <t>SVT18</t>
  </si>
  <si>
    <t>SVT19</t>
  </si>
  <si>
    <t>SWB18</t>
  </si>
  <si>
    <t>SWB19</t>
  </si>
  <si>
    <t>SWB20</t>
  </si>
  <si>
    <t>SWB21</t>
  </si>
  <si>
    <t>SWB22</t>
  </si>
  <si>
    <t>SWB23</t>
  </si>
  <si>
    <t>SWB24</t>
  </si>
  <si>
    <t>SWB25</t>
  </si>
  <si>
    <t>SWT12</t>
  </si>
  <si>
    <t>SWT13</t>
  </si>
  <si>
    <t>SWT14</t>
  </si>
  <si>
    <t>SWT15</t>
  </si>
  <si>
    <t>SWT16</t>
  </si>
  <si>
    <t>TMS12</t>
  </si>
  <si>
    <t>TMS13</t>
  </si>
  <si>
    <t>TMS14</t>
  </si>
  <si>
    <t>TMS15</t>
  </si>
  <si>
    <t>TMS16</t>
  </si>
  <si>
    <t>TMS17</t>
  </si>
  <si>
    <t>TMS18</t>
  </si>
  <si>
    <t>TMS19</t>
  </si>
  <si>
    <t>TMS20</t>
  </si>
  <si>
    <t>TMS21</t>
  </si>
  <si>
    <t>TMS22</t>
  </si>
  <si>
    <t>TMS23</t>
  </si>
  <si>
    <t>TMS24</t>
  </si>
  <si>
    <t>TMS25</t>
  </si>
  <si>
    <t>WSH12</t>
  </si>
  <si>
    <t>WSH13</t>
  </si>
  <si>
    <t>WSH14</t>
  </si>
  <si>
    <t>WSH15</t>
  </si>
  <si>
    <t>WSH16</t>
  </si>
  <si>
    <t>WSH17</t>
  </si>
  <si>
    <t>WSH18</t>
  </si>
  <si>
    <t>WSH19</t>
  </si>
  <si>
    <t>WSH20</t>
  </si>
  <si>
    <t>WSH21</t>
  </si>
  <si>
    <t>WSH22</t>
  </si>
  <si>
    <t>WSH23</t>
  </si>
  <si>
    <t>WSH24</t>
  </si>
  <si>
    <t>WSH25</t>
  </si>
  <si>
    <t>WSX12</t>
  </si>
  <si>
    <t>WSX13</t>
  </si>
  <si>
    <t>WSX14</t>
  </si>
  <si>
    <t>WSX15</t>
  </si>
  <si>
    <t>WSX16</t>
  </si>
  <si>
    <t>WSX17</t>
  </si>
  <si>
    <t>WSX18</t>
  </si>
  <si>
    <t>WSX19</t>
  </si>
  <si>
    <t>WSX20</t>
  </si>
  <si>
    <t>WSX21</t>
  </si>
  <si>
    <t>WSX22</t>
  </si>
  <si>
    <t>WSX23</t>
  </si>
  <si>
    <t>WSX24</t>
  </si>
  <si>
    <t>WSX25</t>
  </si>
  <si>
    <t>YKY12</t>
  </si>
  <si>
    <t>YKY13</t>
  </si>
  <si>
    <t>YKY14</t>
  </si>
  <si>
    <t>YKY15</t>
  </si>
  <si>
    <t>YKY16</t>
  </si>
  <si>
    <t>YKY17</t>
  </si>
  <si>
    <t>YKY18</t>
  </si>
  <si>
    <t>YKY19</t>
  </si>
  <si>
    <t>YKY20</t>
  </si>
  <si>
    <t>YKY21</t>
  </si>
  <si>
    <t>YKY22</t>
  </si>
  <si>
    <t>YKY23</t>
  </si>
  <si>
    <t>YKY24</t>
  </si>
  <si>
    <t>YKY25</t>
  </si>
  <si>
    <t>Growth</t>
  </si>
  <si>
    <t>New connection non-households (000s)</t>
  </si>
  <si>
    <t>New connection households (000s)</t>
  </si>
  <si>
    <t>SVE12</t>
  </si>
  <si>
    <t>SVE13</t>
  </si>
  <si>
    <t>SVE14</t>
  </si>
  <si>
    <t>SVE15</t>
  </si>
  <si>
    <t>SVE16</t>
  </si>
  <si>
    <t>SVE17</t>
  </si>
  <si>
    <t>HDD12</t>
  </si>
  <si>
    <t>HDD13</t>
  </si>
  <si>
    <t>HDD14</t>
  </si>
  <si>
    <t>HDD15</t>
  </si>
  <si>
    <t>HDD16</t>
  </si>
  <si>
    <t>HDD17</t>
  </si>
  <si>
    <t>SVT20</t>
  </si>
  <si>
    <t>SVT21</t>
  </si>
  <si>
    <t>SVT22</t>
  </si>
  <si>
    <t>SVT23</t>
  </si>
  <si>
    <t>SVT24</t>
  </si>
  <si>
    <t>SVT25</t>
  </si>
  <si>
    <t>SWT17</t>
  </si>
  <si>
    <t>SVE18</t>
  </si>
  <si>
    <t>HDD18</t>
  </si>
  <si>
    <t>Growth with reallocations</t>
  </si>
  <si>
    <t>Growth smoothed reallocated</t>
  </si>
  <si>
    <t>Total new connections (smoothed with reallocations)</t>
  </si>
  <si>
    <t>Wholesale wastewater</t>
  </si>
  <si>
    <t>Capex allowed - network plus wastewater</t>
  </si>
  <si>
    <t>Reduce flooding risk for properties</t>
  </si>
  <si>
    <t>Capex allowed - wholesale wastewater</t>
  </si>
  <si>
    <t>re1</t>
  </si>
  <si>
    <t>re2</t>
  </si>
  <si>
    <t>newconnections</t>
  </si>
  <si>
    <t>Capex allowed - bioresources</t>
  </si>
  <si>
    <t>codecombine</t>
  </si>
  <si>
    <t>companycode</t>
  </si>
  <si>
    <t>financialyear</t>
  </si>
  <si>
    <t>developmentgrowthcosts</t>
  </si>
  <si>
    <t>growthswtcosts</t>
  </si>
  <si>
    <t>floodingriskcosts</t>
  </si>
  <si>
    <t>growthcosts</t>
  </si>
  <si>
    <t>reallocations</t>
  </si>
  <si>
    <t>growthcostsreallocation</t>
  </si>
  <si>
    <t>growthcostsmoothed</t>
  </si>
  <si>
    <t>hhnewconnections</t>
  </si>
  <si>
    <t>nhhnewconnections</t>
  </si>
  <si>
    <t>newconnectionssmoothed</t>
  </si>
  <si>
    <t>lnnewconnectionssmoothed</t>
  </si>
  <si>
    <t>Allowed costs - new developments, growth at sewage treatment works and flooding risks</t>
  </si>
  <si>
    <t>S3020CAS+S3021CAS+S3023CAS</t>
  </si>
  <si>
    <t>Apportioned allowances</t>
  </si>
  <si>
    <t>Cost allowance for AMP7 (£m) (2017-18 prices)</t>
  </si>
  <si>
    <t>Capex as reported by companies in BPDTs</t>
  </si>
  <si>
    <t>Company forecasts</t>
  </si>
  <si>
    <t>Ofwat Forecast: time trend</t>
  </si>
  <si>
    <t>2011-12</t>
  </si>
  <si>
    <t>2012-13</t>
  </si>
  <si>
    <t>2013-14</t>
  </si>
  <si>
    <t>2014-15</t>
  </si>
  <si>
    <t>2015-16</t>
  </si>
  <si>
    <t>2016-17</t>
  </si>
  <si>
    <t>2017-18</t>
  </si>
  <si>
    <t>2018-19</t>
  </si>
  <si>
    <t>2019-20</t>
  </si>
  <si>
    <t>2020-21</t>
  </si>
  <si>
    <t>2021-22</t>
  </si>
  <si>
    <t>2022-23</t>
  </si>
  <si>
    <t>2023-24</t>
  </si>
  <si>
    <t>2024-25</t>
  </si>
  <si>
    <t>SVH</t>
  </si>
  <si>
    <t>Industry</t>
  </si>
  <si>
    <t>Final decision</t>
  </si>
  <si>
    <t>Hard coded decision</t>
  </si>
  <si>
    <t>Check</t>
  </si>
  <si>
    <t>Time trend</t>
  </si>
  <si>
    <t>000s, Household properties connected during the year</t>
  </si>
  <si>
    <t>000s, Non-household properties connected during the year</t>
  </si>
  <si>
    <t>Cover sheet</t>
  </si>
  <si>
    <t>SS</t>
  </si>
  <si>
    <t>MG 22/01/2019</t>
  </si>
  <si>
    <t>Capex after reallocations</t>
  </si>
  <si>
    <t>Modelled allowance</t>
  </si>
  <si>
    <t>Business plan capex - wholesale wastewater</t>
  </si>
  <si>
    <t>We have a stata file: growth_wastewater.do which we use for determining our model coefficients</t>
  </si>
  <si>
    <t>Ofwat forecasts of costs drivers for wastewater growth</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</si>
</sst>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_(* \(#,##0.00\);_(* &quot;-&quot;??_);_(@_)"/>
    <numFmt numFmtId="165" formatCode="#,##0.0000"/>
    <numFmt numFmtId="166" formatCode="_-* #,##0.0_-;\-* #,##0.0_-;_-* &quot;-&quot;??_-;_-@_-"/>
    <numFmt numFmtId="167" formatCode="_-* #,##0_-;\-* #,##0_-;_-* &quot;-&quot;??_-;_-@_-"/>
    <numFmt numFmtId="168" formatCode="_-* #,##0.000_-;\-* #,##0.000_-;_-* &quot;-&quot;??_-;_-@_-"/>
    <numFmt numFmtId="169" formatCode="0.000"/>
    <numFmt numFmtId="170" formatCode="_(* #,##0.0_);_(* \(#,##0.0\);_(* &quot;-&quot;??_);_(@_)"/>
    <numFmt numFmtId="171" formatCode="0.0"/>
    <numFmt numFmtId="172" formatCode="#,##0.0"/>
  </numFmts>
  <fonts count="36" x14ac:knownFonts="1">
    <font>
      <sz val="11"/>
      <color theme="1"/>
      <name val="Arial"/>
      <family val="2"/>
    </font>
    <font>
      <sz val="11"/>
      <color theme="1"/>
      <name val="Arial"/>
      <family val="2"/>
    </font>
    <font>
      <b/>
      <sz val="10"/>
      <color theme="1"/>
      <name val="Calibri"/>
      <family val="2"/>
      <scheme val="minor"/>
    </font>
    <font>
      <sz val="10"/>
      <color theme="1"/>
      <name val="Calibri"/>
      <family val="2"/>
      <scheme val="minor"/>
    </font>
    <font>
      <sz val="10"/>
      <color theme="3"/>
      <name val="Calibri"/>
      <family val="2"/>
      <scheme val="minor"/>
    </font>
    <font>
      <sz val="10"/>
      <color theme="1"/>
      <name val="Calibri"/>
      <family val="2"/>
    </font>
    <font>
      <b/>
      <sz val="12"/>
      <color theme="3"/>
      <name val="Calibri"/>
      <family val="2"/>
    </font>
    <font>
      <sz val="10"/>
      <color theme="3"/>
      <name val="Calibri"/>
      <family val="2"/>
    </font>
    <font>
      <b/>
      <sz val="10"/>
      <color theme="1"/>
      <name val="Calibri"/>
      <family val="2"/>
    </font>
    <font>
      <i/>
      <sz val="11"/>
      <color rgb="FF7F7F7F"/>
      <name val="Arial"/>
      <family val="2"/>
    </font>
    <font>
      <sz val="11"/>
      <color theme="1"/>
      <name val="Calibri"/>
      <family val="2"/>
      <scheme val="minor"/>
    </font>
    <font>
      <sz val="10"/>
      <color theme="1"/>
      <name val="Arial"/>
      <family val="2"/>
    </font>
    <font>
      <b/>
      <sz val="14"/>
      <color theme="1"/>
      <name val="Calibri"/>
      <family val="2"/>
      <scheme val="minor"/>
    </font>
    <font>
      <sz val="10"/>
      <color theme="1"/>
      <name val="Gill Sans MT"/>
      <family val="2"/>
    </font>
    <font>
      <i/>
      <sz val="10"/>
      <color rgb="FF7F7F7F"/>
      <name val="Arial"/>
      <family val="2"/>
    </font>
    <font>
      <b/>
      <sz val="10"/>
      <color theme="1"/>
      <name val="Arial"/>
      <family val="2"/>
    </font>
    <font>
      <sz val="9"/>
      <color theme="1"/>
      <name val="Gill Sans MT"/>
      <family val="2"/>
    </font>
    <font>
      <b/>
      <sz val="9"/>
      <color theme="1"/>
      <name val="Gill Sans MT"/>
      <family val="2"/>
    </font>
    <font>
      <b/>
      <sz val="9"/>
      <name val="Gill Sans MT"/>
      <family val="2"/>
    </font>
    <font>
      <sz val="10"/>
      <name val="Arial"/>
      <family val="2"/>
    </font>
    <font>
      <b/>
      <sz val="11"/>
      <color theme="1"/>
      <name val="Arial"/>
      <family val="2"/>
    </font>
    <font>
      <b/>
      <sz val="11"/>
      <color theme="1"/>
      <name val="Calibri"/>
      <family val="2"/>
      <scheme val="minor"/>
    </font>
    <font>
      <b/>
      <sz val="16"/>
      <color theme="0"/>
      <name val="Arial"/>
      <family val="2"/>
    </font>
    <font>
      <sz val="11"/>
      <color theme="3"/>
      <name val="Calibri"/>
      <family val="2"/>
      <scheme val="minor"/>
    </font>
    <font>
      <b/>
      <sz val="8"/>
      <color theme="0"/>
      <name val="Calibri"/>
      <family val="2"/>
      <scheme val="minor"/>
    </font>
    <font>
      <b/>
      <sz val="12"/>
      <color theme="0"/>
      <name val="Calibri"/>
      <family val="2"/>
      <scheme val="minor"/>
    </font>
    <font>
      <b/>
      <sz val="10"/>
      <name val="Calibri"/>
      <family val="2"/>
      <scheme val="minor"/>
    </font>
    <font>
      <sz val="10"/>
      <name val="Calibri"/>
      <family val="2"/>
      <scheme val="minor"/>
    </font>
    <font>
      <sz val="10"/>
      <color theme="9"/>
      <name val="Calibri"/>
      <family val="2"/>
      <scheme val="minor"/>
    </font>
    <font>
      <b/>
      <sz val="14"/>
      <color theme="0"/>
      <name val="Arial"/>
      <family val="2"/>
    </font>
    <font>
      <sz val="8"/>
      <color theme="1"/>
      <name val="Calibri"/>
      <family val="2"/>
      <scheme val="minor"/>
    </font>
    <font>
      <b/>
      <i/>
      <sz val="10"/>
      <color theme="1"/>
      <name val="Calibri"/>
      <family val="2"/>
      <scheme val="minor"/>
    </font>
    <font>
      <b/>
      <i/>
      <sz val="10"/>
      <name val="Calibri"/>
      <family val="2"/>
      <scheme val="minor"/>
    </font>
    <font>
      <i/>
      <sz val="10"/>
      <color theme="1"/>
      <name val="Calibri"/>
      <family val="2"/>
      <scheme val="minor"/>
    </font>
    <font>
      <sz val="9"/>
      <name val="Calibri"/>
      <family val="2"/>
      <scheme val="minor"/>
    </font>
    <font>
      <sz val="8"/>
      <color theme="1"/>
      <name val="Arial"/>
      <family val="2"/>
    </font>
  </fonts>
  <fills count="14">
    <fill>
      <patternFill patternType="none"/>
    </fill>
    <fill>
      <patternFill patternType="gray125"/>
    </fill>
    <fill>
      <patternFill patternType="solid">
        <fgColor theme="7"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bgColor indexed="64"/>
      </patternFill>
    </fill>
    <fill>
      <patternFill patternType="solid">
        <fgColor theme="6" tint="0.79998168889431442"/>
        <bgColor indexed="64"/>
      </patternFill>
    </fill>
    <fill>
      <patternFill patternType="solid">
        <fgColor theme="5"/>
        <bgColor indexed="64"/>
      </patternFill>
    </fill>
    <fill>
      <patternFill patternType="solid">
        <fgColor theme="0"/>
        <bgColor indexed="64"/>
      </patternFill>
    </fill>
    <fill>
      <patternFill patternType="solid">
        <fgColor theme="3"/>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rgb="FFFFFF00"/>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theme="0" tint="-0.499984740745262"/>
      </bottom>
      <diagonal/>
    </border>
    <border>
      <left/>
      <right/>
      <top style="thick">
        <color theme="3"/>
      </top>
      <bottom/>
      <diagonal/>
    </border>
    <border>
      <left style="thin">
        <color indexed="64"/>
      </left>
      <right/>
      <top/>
      <bottom/>
      <diagonal/>
    </border>
  </borders>
  <cellStyleXfs count="10">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xf numFmtId="0" fontId="9" fillId="0" borderId="0" applyNumberFormat="0" applyFill="0" applyBorder="0" applyAlignment="0" applyProtection="0"/>
    <xf numFmtId="0" fontId="10" fillId="0" borderId="0"/>
    <xf numFmtId="0" fontId="1" fillId="0" borderId="0"/>
    <xf numFmtId="0" fontId="19" fillId="0" borderId="0"/>
    <xf numFmtId="164" fontId="10" fillId="0" borderId="0" applyFont="0" applyFill="0" applyBorder="0" applyAlignment="0" applyProtection="0"/>
    <xf numFmtId="0" fontId="10" fillId="0" borderId="0"/>
  </cellStyleXfs>
  <cellXfs count="174">
    <xf numFmtId="0" fontId="0" fillId="0" borderId="0" xfId="0"/>
    <xf numFmtId="0" fontId="2" fillId="0" borderId="0" xfId="2" applyFont="1" applyFill="1"/>
    <xf numFmtId="0" fontId="2" fillId="0" borderId="0" xfId="0" applyFont="1" applyFill="1" applyAlignment="1">
      <alignment horizontal="left" vertical="top" wrapText="1"/>
    </xf>
    <xf numFmtId="0" fontId="3" fillId="0" borderId="0" xfId="2" applyFont="1" applyFill="1"/>
    <xf numFmtId="0" fontId="3" fillId="0" borderId="3" xfId="2" applyFont="1" applyFill="1" applyBorder="1"/>
    <xf numFmtId="0" fontId="3" fillId="0" borderId="0" xfId="0" applyFont="1"/>
    <xf numFmtId="0" fontId="3" fillId="0" borderId="3" xfId="0" applyFont="1" applyBorder="1"/>
    <xf numFmtId="166" fontId="3" fillId="0" borderId="3" xfId="1" applyNumberFormat="1" applyFont="1" applyBorder="1"/>
    <xf numFmtId="9" fontId="3" fillId="0" borderId="3" xfId="0" applyNumberFormat="1" applyFont="1" applyBorder="1"/>
    <xf numFmtId="0" fontId="2" fillId="0" borderId="0" xfId="0" applyFont="1"/>
    <xf numFmtId="0" fontId="3" fillId="0" borderId="0" xfId="0" applyFont="1" applyFill="1"/>
    <xf numFmtId="0" fontId="2" fillId="0" borderId="0" xfId="0" applyFont="1" applyFill="1"/>
    <xf numFmtId="0" fontId="2" fillId="2" borderId="3" xfId="0" applyFont="1" applyFill="1" applyBorder="1" applyAlignment="1">
      <alignment wrapText="1"/>
    </xf>
    <xf numFmtId="0" fontId="5" fillId="2" borderId="3" xfId="0" applyFont="1" applyFill="1" applyBorder="1" applyAlignment="1">
      <alignment vertical="center"/>
    </xf>
    <xf numFmtId="0" fontId="3" fillId="2" borderId="3" xfId="0" applyFont="1" applyFill="1" applyBorder="1"/>
    <xf numFmtId="0" fontId="6" fillId="0" borderId="0" xfId="0" applyFont="1" applyFill="1" applyBorder="1"/>
    <xf numFmtId="0" fontId="7" fillId="0" borderId="0" xfId="0" applyFont="1"/>
    <xf numFmtId="0" fontId="2" fillId="0" borderId="1" xfId="0" applyFont="1" applyFill="1" applyBorder="1" applyAlignment="1">
      <alignment horizontal="centerContinuous"/>
    </xf>
    <xf numFmtId="0" fontId="3" fillId="0" borderId="2" xfId="0" applyFont="1" applyFill="1" applyBorder="1" applyAlignment="1">
      <alignment horizontal="centerContinuous"/>
    </xf>
    <xf numFmtId="0" fontId="3" fillId="0" borderId="2" xfId="0" applyFont="1" applyBorder="1" applyAlignment="1">
      <alignment horizontal="centerContinuous"/>
    </xf>
    <xf numFmtId="0" fontId="3" fillId="0" borderId="4" xfId="0" applyFont="1" applyBorder="1" applyAlignment="1">
      <alignment horizontal="centerContinuous"/>
    </xf>
    <xf numFmtId="167" fontId="3" fillId="4" borderId="3" xfId="1" applyNumberFormat="1" applyFont="1" applyFill="1" applyBorder="1"/>
    <xf numFmtId="0" fontId="6" fillId="0" borderId="0" xfId="0" applyFont="1"/>
    <xf numFmtId="0" fontId="8" fillId="0" borderId="3" xfId="0" applyFont="1" applyBorder="1"/>
    <xf numFmtId="0" fontId="2" fillId="0" borderId="1" xfId="0" applyFont="1" applyBorder="1" applyAlignment="1">
      <alignment horizontal="centerContinuous"/>
    </xf>
    <xf numFmtId="0" fontId="4" fillId="0" borderId="0" xfId="0" applyFont="1"/>
    <xf numFmtId="0" fontId="3" fillId="0" borderId="3" xfId="0" applyFont="1" applyBorder="1" applyAlignment="1">
      <alignment horizontal="centerContinuous"/>
    </xf>
    <xf numFmtId="0" fontId="2" fillId="0" borderId="4" xfId="0" applyFont="1" applyBorder="1" applyAlignment="1">
      <alignment horizontal="centerContinuous"/>
    </xf>
    <xf numFmtId="0" fontId="2" fillId="0" borderId="3" xfId="0" applyFont="1" applyBorder="1" applyAlignment="1">
      <alignment horizontal="center" wrapText="1"/>
    </xf>
    <xf numFmtId="2" fontId="3" fillId="0" borderId="3" xfId="1" applyNumberFormat="1" applyFont="1" applyBorder="1"/>
    <xf numFmtId="9" fontId="5" fillId="6" borderId="3" xfId="3" applyFont="1" applyFill="1" applyBorder="1" applyAlignment="1">
      <alignment horizontal="center" vertical="center" wrapText="1"/>
    </xf>
    <xf numFmtId="0" fontId="8" fillId="0" borderId="0" xfId="0" applyFont="1" applyFill="1"/>
    <xf numFmtId="0" fontId="11" fillId="0" borderId="0" xfId="0" applyFont="1"/>
    <xf numFmtId="0" fontId="5" fillId="6" borderId="3" xfId="0" applyFont="1" applyFill="1" applyBorder="1" applyAlignment="1">
      <alignment horizontal="center" vertical="center" wrapText="1"/>
    </xf>
    <xf numFmtId="0" fontId="5" fillId="0" borderId="3" xfId="0" applyFont="1" applyBorder="1"/>
    <xf numFmtId="2" fontId="5" fillId="0" borderId="3" xfId="1" applyNumberFormat="1" applyFont="1" applyBorder="1" applyAlignment="1">
      <alignment vertical="center" wrapText="1"/>
    </xf>
    <xf numFmtId="0" fontId="2" fillId="0" borderId="1" xfId="0" applyFont="1" applyBorder="1"/>
    <xf numFmtId="0" fontId="2" fillId="0" borderId="2" xfId="0" applyFont="1" applyBorder="1"/>
    <xf numFmtId="164" fontId="2" fillId="0" borderId="4" xfId="1" applyFont="1" applyBorder="1"/>
    <xf numFmtId="0" fontId="13" fillId="8" borderId="3" xfId="0" applyFont="1" applyFill="1" applyBorder="1" applyAlignment="1">
      <alignment horizontal="left"/>
    </xf>
    <xf numFmtId="0" fontId="13" fillId="0" borderId="3" xfId="0" applyFont="1" applyBorder="1" applyAlignment="1"/>
    <xf numFmtId="0" fontId="13" fillId="0" borderId="0" xfId="0" applyFont="1" applyBorder="1" applyAlignment="1"/>
    <xf numFmtId="14" fontId="13" fillId="0" borderId="3" xfId="0" applyNumberFormat="1" applyFont="1" applyBorder="1"/>
    <xf numFmtId="0" fontId="13" fillId="0" borderId="0" xfId="0" applyFont="1" applyBorder="1"/>
    <xf numFmtId="0" fontId="13" fillId="0" borderId="0" xfId="0" applyFont="1" applyBorder="1" applyAlignment="1" applyProtection="1">
      <alignment horizontal="left"/>
      <protection locked="0"/>
    </xf>
    <xf numFmtId="0" fontId="14" fillId="0" borderId="0" xfId="4" applyFont="1"/>
    <xf numFmtId="14" fontId="13" fillId="0" borderId="0" xfId="0" applyNumberFormat="1" applyFont="1" applyBorder="1" applyAlignment="1" applyProtection="1">
      <alignment horizontal="left"/>
      <protection locked="0"/>
    </xf>
    <xf numFmtId="0" fontId="13" fillId="0" borderId="8" xfId="0" applyFont="1" applyBorder="1" applyAlignment="1">
      <alignment vertical="top"/>
    </xf>
    <xf numFmtId="0" fontId="13" fillId="0" borderId="8" xfId="0" applyFont="1" applyBorder="1" applyAlignment="1"/>
    <xf numFmtId="0" fontId="15" fillId="0" borderId="0" xfId="0" applyFont="1"/>
    <xf numFmtId="0" fontId="11" fillId="0" borderId="0" xfId="0" applyFont="1" applyFill="1"/>
    <xf numFmtId="0" fontId="2" fillId="5" borderId="3" xfId="0" applyFont="1" applyFill="1" applyBorder="1" applyAlignment="1">
      <alignment horizontal="left" wrapText="1"/>
    </xf>
    <xf numFmtId="0" fontId="16" fillId="0" borderId="3" xfId="6" applyFont="1" applyBorder="1" applyAlignment="1">
      <alignment horizontal="center"/>
    </xf>
    <xf numFmtId="0" fontId="17" fillId="0" borderId="3" xfId="6" applyFont="1" applyBorder="1"/>
    <xf numFmtId="168" fontId="18" fillId="0" borderId="3" xfId="1" applyNumberFormat="1" applyFont="1" applyBorder="1"/>
    <xf numFmtId="0" fontId="12" fillId="7" borderId="0" xfId="0" applyFont="1" applyFill="1"/>
    <xf numFmtId="164" fontId="3" fillId="0" borderId="3" xfId="0" applyNumberFormat="1" applyFont="1" applyBorder="1"/>
    <xf numFmtId="166" fontId="3" fillId="4" borderId="3" xfId="0" applyNumberFormat="1" applyFont="1" applyFill="1" applyBorder="1"/>
    <xf numFmtId="0" fontId="2" fillId="0" borderId="3" xfId="0" applyFont="1" applyFill="1" applyBorder="1" applyAlignment="1">
      <alignment horizontal="centerContinuous"/>
    </xf>
    <xf numFmtId="0" fontId="3" fillId="0" borderId="0" xfId="0" quotePrefix="1" applyFont="1"/>
    <xf numFmtId="0" fontId="2" fillId="3" borderId="3" xfId="0" applyFont="1" applyFill="1" applyBorder="1" applyAlignment="1">
      <alignment horizontal="left" vertical="center" wrapText="1"/>
    </xf>
    <xf numFmtId="0" fontId="2" fillId="2" borderId="3" xfId="0" applyFont="1" applyFill="1" applyBorder="1" applyAlignment="1">
      <alignment vertical="center" wrapText="1"/>
    </xf>
    <xf numFmtId="0" fontId="2" fillId="4" borderId="3" xfId="0" applyFont="1" applyFill="1" applyBorder="1" applyAlignment="1">
      <alignment vertical="center" wrapText="1"/>
    </xf>
    <xf numFmtId="0" fontId="3" fillId="0" borderId="0" xfId="0" applyFont="1" applyAlignment="1">
      <alignment vertical="center"/>
    </xf>
    <xf numFmtId="3" fontId="5" fillId="3" borderId="3" xfId="1" applyNumberFormat="1" applyFont="1" applyFill="1" applyBorder="1"/>
    <xf numFmtId="3" fontId="3" fillId="3" borderId="3" xfId="1" applyNumberFormat="1" applyFont="1" applyFill="1" applyBorder="1"/>
    <xf numFmtId="3" fontId="3" fillId="3" borderId="3" xfId="0" applyNumberFormat="1" applyFont="1" applyFill="1" applyBorder="1"/>
    <xf numFmtId="0" fontId="2" fillId="3" borderId="3" xfId="0" applyFont="1" applyFill="1" applyBorder="1" applyAlignment="1">
      <alignment horizontal="center" vertical="center" wrapText="1"/>
    </xf>
    <xf numFmtId="0" fontId="2" fillId="0" borderId="3" xfId="0" applyFont="1" applyBorder="1" applyAlignment="1">
      <alignment horizontal="centerContinuous"/>
    </xf>
    <xf numFmtId="0" fontId="3" fillId="0" borderId="3" xfId="0" applyFont="1" applyBorder="1" applyAlignment="1">
      <alignment horizontal="left"/>
    </xf>
    <xf numFmtId="0" fontId="5" fillId="0" borderId="3" xfId="0" applyFont="1" applyBorder="1" applyAlignment="1">
      <alignment horizontal="centerContinuous" vertical="center"/>
    </xf>
    <xf numFmtId="0" fontId="5" fillId="0" borderId="0" xfId="0" applyFont="1" applyFill="1" applyBorder="1"/>
    <xf numFmtId="166" fontId="3" fillId="0" borderId="0" xfId="1" applyNumberFormat="1" applyFont="1" applyFill="1" applyBorder="1"/>
    <xf numFmtId="2" fontId="5" fillId="0" borderId="0" xfId="1" applyNumberFormat="1" applyFont="1" applyFill="1" applyBorder="1" applyAlignment="1">
      <alignment vertical="center" wrapText="1"/>
    </xf>
    <xf numFmtId="164" fontId="3" fillId="0" borderId="0" xfId="1" applyFont="1"/>
    <xf numFmtId="0" fontId="2" fillId="3" borderId="3" xfId="0" applyFont="1" applyFill="1" applyBorder="1" applyAlignment="1">
      <alignment horizontal="centerContinuous" vertical="center" wrapText="1"/>
    </xf>
    <xf numFmtId="0" fontId="5" fillId="0" borderId="3" xfId="0" applyFont="1" applyBorder="1" applyAlignment="1">
      <alignment horizontal="center" vertical="center"/>
    </xf>
    <xf numFmtId="0" fontId="3" fillId="0" borderId="0" xfId="0" applyFont="1" applyFill="1" applyBorder="1" applyAlignment="1">
      <alignment horizontal="left"/>
    </xf>
    <xf numFmtId="9" fontId="3" fillId="0" borderId="0" xfId="0" applyNumberFormat="1" applyFont="1" applyFill="1" applyBorder="1"/>
    <xf numFmtId="0" fontId="3" fillId="0" borderId="3" xfId="0" applyFont="1" applyBorder="1" applyAlignment="1">
      <alignment horizontal="centerContinuous" vertical="center" wrapText="1"/>
    </xf>
    <xf numFmtId="0" fontId="2" fillId="5" borderId="3" xfId="0" applyFont="1" applyFill="1" applyBorder="1" applyAlignment="1">
      <alignment horizontal="left" vertical="center" wrapText="1"/>
    </xf>
    <xf numFmtId="0" fontId="2" fillId="5" borderId="3" xfId="0" quotePrefix="1" applyFont="1" applyFill="1" applyBorder="1" applyAlignment="1">
      <alignment horizontal="left" vertical="center" wrapText="1"/>
    </xf>
    <xf numFmtId="165" fontId="5" fillId="0" borderId="3" xfId="0" applyNumberFormat="1" applyFont="1" applyFill="1" applyBorder="1" applyAlignment="1">
      <alignment vertical="center"/>
    </xf>
    <xf numFmtId="0" fontId="20" fillId="0" borderId="6" xfId="4" applyFont="1" applyBorder="1" applyAlignment="1">
      <alignment horizontal="centerContinuous" vertical="center"/>
    </xf>
    <xf numFmtId="0" fontId="14" fillId="0" borderId="6" xfId="4" applyFont="1" applyBorder="1" applyAlignment="1">
      <alignment horizontal="centerContinuous" vertical="center"/>
    </xf>
    <xf numFmtId="0" fontId="5" fillId="0" borderId="3" xfId="0" applyFont="1" applyBorder="1" applyAlignment="1">
      <alignment vertical="center"/>
    </xf>
    <xf numFmtId="167" fontId="16" fillId="0" borderId="3" xfId="1" applyNumberFormat="1" applyFont="1" applyBorder="1" applyAlignment="1">
      <alignment vertical="center"/>
    </xf>
    <xf numFmtId="0" fontId="17" fillId="0" borderId="3" xfId="6" applyFont="1" applyBorder="1" applyAlignment="1">
      <alignment vertical="center"/>
    </xf>
    <xf numFmtId="167" fontId="18" fillId="0" borderId="3" xfId="1" applyNumberFormat="1" applyFont="1" applyBorder="1" applyAlignment="1">
      <alignment vertical="center"/>
    </xf>
    <xf numFmtId="0" fontId="2" fillId="4" borderId="3" xfId="0" applyFont="1" applyFill="1" applyBorder="1" applyAlignment="1">
      <alignment horizontal="left" vertical="center" wrapText="1"/>
    </xf>
    <xf numFmtId="0" fontId="21" fillId="0" borderId="3" xfId="0" applyFont="1" applyBorder="1" applyAlignment="1">
      <alignment horizontal="centerContinuous" vertical="center"/>
    </xf>
    <xf numFmtId="0" fontId="22" fillId="9" borderId="9" xfId="5" applyFont="1" applyFill="1" applyBorder="1"/>
    <xf numFmtId="0" fontId="23" fillId="9" borderId="0" xfId="5" applyFont="1" applyFill="1"/>
    <xf numFmtId="0" fontId="24" fillId="9" borderId="9" xfId="5" applyFont="1" applyFill="1" applyBorder="1"/>
    <xf numFmtId="0" fontId="10" fillId="0" borderId="0" xfId="5"/>
    <xf numFmtId="0" fontId="22" fillId="0" borderId="0" xfId="5" applyFont="1" applyFill="1" applyBorder="1"/>
    <xf numFmtId="0" fontId="23" fillId="0" borderId="0" xfId="5" applyFont="1" applyFill="1"/>
    <xf numFmtId="0" fontId="24" fillId="0" borderId="0" xfId="5" applyFont="1" applyFill="1" applyBorder="1"/>
    <xf numFmtId="0" fontId="25" fillId="0" borderId="0" xfId="5" applyFont="1" applyFill="1" applyBorder="1"/>
    <xf numFmtId="0" fontId="2" fillId="10" borderId="1" xfId="5" applyFont="1" applyFill="1" applyBorder="1" applyAlignment="1">
      <alignment horizontal="centerContinuous"/>
    </xf>
    <xf numFmtId="0" fontId="2" fillId="10" borderId="2" xfId="5" applyFont="1" applyFill="1" applyBorder="1" applyAlignment="1">
      <alignment horizontal="centerContinuous"/>
    </xf>
    <xf numFmtId="0" fontId="2" fillId="10" borderId="4" xfId="5" applyFont="1" applyFill="1" applyBorder="1" applyAlignment="1">
      <alignment horizontal="centerContinuous"/>
    </xf>
    <xf numFmtId="0" fontId="2" fillId="6" borderId="1" xfId="5" applyFont="1" applyFill="1" applyBorder="1" applyAlignment="1">
      <alignment horizontal="centerContinuous"/>
    </xf>
    <xf numFmtId="0" fontId="2" fillId="6" borderId="2" xfId="5" applyFont="1" applyFill="1" applyBorder="1" applyAlignment="1">
      <alignment horizontal="centerContinuous"/>
    </xf>
    <xf numFmtId="0" fontId="2" fillId="6" borderId="4" xfId="5" applyFont="1" applyFill="1" applyBorder="1" applyAlignment="1">
      <alignment horizontal="centerContinuous"/>
    </xf>
    <xf numFmtId="0" fontId="2" fillId="3" borderId="1" xfId="5" applyFont="1" applyFill="1" applyBorder="1" applyAlignment="1">
      <alignment horizontal="centerContinuous"/>
    </xf>
    <xf numFmtId="0" fontId="2" fillId="3" borderId="2" xfId="5" applyFont="1" applyFill="1" applyBorder="1" applyAlignment="1">
      <alignment horizontal="centerContinuous"/>
    </xf>
    <xf numFmtId="0" fontId="2" fillId="3" borderId="4" xfId="5" applyFont="1" applyFill="1" applyBorder="1" applyAlignment="1">
      <alignment horizontal="centerContinuous"/>
    </xf>
    <xf numFmtId="0" fontId="2" fillId="5" borderId="3" xfId="5" applyFont="1" applyFill="1" applyBorder="1" applyAlignment="1">
      <alignment horizontal="right"/>
    </xf>
    <xf numFmtId="3" fontId="26" fillId="10" borderId="1" xfId="8" applyNumberFormat="1" applyFont="1" applyFill="1" applyBorder="1" applyAlignment="1">
      <alignment horizontal="right"/>
    </xf>
    <xf numFmtId="0" fontId="2" fillId="6" borderId="3" xfId="5" applyFont="1" applyFill="1" applyBorder="1" applyAlignment="1">
      <alignment horizontal="right"/>
    </xf>
    <xf numFmtId="169" fontId="3" fillId="0" borderId="3" xfId="5" applyNumberFormat="1" applyFont="1" applyBorder="1" applyAlignment="1">
      <alignment vertical="center" wrapText="1"/>
    </xf>
    <xf numFmtId="3" fontId="27" fillId="5" borderId="1" xfId="8" applyNumberFormat="1" applyFont="1" applyFill="1" applyBorder="1" applyAlignment="1">
      <alignment vertical="center"/>
    </xf>
    <xf numFmtId="3" fontId="27" fillId="10" borderId="1" xfId="8" applyNumberFormat="1" applyFont="1" applyFill="1" applyBorder="1" applyAlignment="1">
      <alignment vertical="center"/>
    </xf>
    <xf numFmtId="3" fontId="3" fillId="6" borderId="3" xfId="8" applyNumberFormat="1" applyFont="1" applyFill="1" applyBorder="1"/>
    <xf numFmtId="3" fontId="27" fillId="11" borderId="1" xfId="8" applyNumberFormat="1" applyFont="1" applyFill="1" applyBorder="1" applyAlignment="1">
      <alignment vertical="center"/>
    </xf>
    <xf numFmtId="3" fontId="3" fillId="11" borderId="3" xfId="8" applyNumberFormat="1" applyFont="1" applyFill="1" applyBorder="1"/>
    <xf numFmtId="3" fontId="2" fillId="5" borderId="3" xfId="5" applyNumberFormat="1" applyFont="1" applyFill="1" applyBorder="1" applyAlignment="1">
      <alignment vertical="center" wrapText="1"/>
    </xf>
    <xf numFmtId="3" fontId="2" fillId="10" borderId="3" xfId="5" applyNumberFormat="1" applyFont="1" applyFill="1" applyBorder="1" applyAlignment="1">
      <alignment vertical="center" wrapText="1"/>
    </xf>
    <xf numFmtId="3" fontId="2" fillId="6" borderId="3" xfId="5" applyNumberFormat="1" applyFont="1" applyFill="1" applyBorder="1" applyAlignment="1">
      <alignment vertical="center" wrapText="1"/>
    </xf>
    <xf numFmtId="170" fontId="2" fillId="3" borderId="3" xfId="8" applyNumberFormat="1" applyFont="1" applyFill="1" applyBorder="1"/>
    <xf numFmtId="3" fontId="3" fillId="0" borderId="0" xfId="5" applyNumberFormat="1" applyFont="1"/>
    <xf numFmtId="0" fontId="3" fillId="0" borderId="0" xfId="5" applyFont="1" applyFill="1" applyBorder="1" applyAlignment="1">
      <alignment horizontal="center"/>
    </xf>
    <xf numFmtId="0" fontId="28" fillId="0" borderId="0" xfId="5" applyFont="1" applyFill="1" applyBorder="1" applyAlignment="1">
      <alignment horizontal="center"/>
    </xf>
    <xf numFmtId="0" fontId="29" fillId="12" borderId="0" xfId="5" applyFont="1" applyFill="1" applyAlignment="1">
      <alignment horizontal="left"/>
    </xf>
    <xf numFmtId="0" fontId="10" fillId="12" borderId="0" xfId="5" applyFill="1"/>
    <xf numFmtId="0" fontId="24" fillId="12" borderId="0" xfId="5" applyFont="1" applyFill="1"/>
    <xf numFmtId="0" fontId="13" fillId="13" borderId="0" xfId="5" applyFont="1" applyFill="1" applyBorder="1" applyAlignment="1">
      <alignment horizontal="left" vertical="top"/>
    </xf>
    <xf numFmtId="0" fontId="30" fillId="0" borderId="0" xfId="5" applyFont="1"/>
    <xf numFmtId="0" fontId="3" fillId="0" borderId="0" xfId="5" applyFont="1" applyAlignment="1">
      <alignment vertical="center"/>
    </xf>
    <xf numFmtId="0" fontId="10" fillId="0" borderId="0" xfId="5" applyBorder="1"/>
    <xf numFmtId="0" fontId="2" fillId="0" borderId="3" xfId="5" applyFont="1" applyBorder="1" applyAlignment="1">
      <alignment horizontal="right" wrapText="1"/>
    </xf>
    <xf numFmtId="0" fontId="2" fillId="3" borderId="3" xfId="5" applyFont="1" applyFill="1" applyBorder="1" applyAlignment="1">
      <alignment horizontal="center"/>
    </xf>
    <xf numFmtId="0" fontId="31" fillId="0" borderId="7" xfId="5" applyFont="1" applyBorder="1" applyAlignment="1">
      <alignment horizontal="right"/>
    </xf>
    <xf numFmtId="3" fontId="32" fillId="10" borderId="1" xfId="8" applyNumberFormat="1" applyFont="1" applyFill="1" applyBorder="1" applyAlignment="1">
      <alignment horizontal="right"/>
    </xf>
    <xf numFmtId="0" fontId="31" fillId="6" borderId="3" xfId="5" applyFont="1" applyFill="1" applyBorder="1" applyAlignment="1">
      <alignment horizontal="right"/>
    </xf>
    <xf numFmtId="0" fontId="31" fillId="3" borderId="3" xfId="5" applyFont="1" applyFill="1" applyBorder="1" applyAlignment="1">
      <alignment horizontal="right"/>
    </xf>
    <xf numFmtId="0" fontId="33" fillId="0" borderId="0" xfId="5" applyFont="1" applyFill="1" applyBorder="1"/>
    <xf numFmtId="171" fontId="3" fillId="3" borderId="3" xfId="8" applyNumberFormat="1" applyFont="1" applyFill="1" applyBorder="1"/>
    <xf numFmtId="0" fontId="3" fillId="6" borderId="3" xfId="5" applyFont="1" applyFill="1" applyBorder="1" applyAlignment="1">
      <alignment horizontal="center"/>
    </xf>
    <xf numFmtId="0" fontId="27" fillId="6" borderId="3" xfId="5" applyFont="1" applyFill="1" applyBorder="1" applyAlignment="1">
      <alignment horizontal="center"/>
    </xf>
    <xf numFmtId="0" fontId="3" fillId="0" borderId="3" xfId="5" applyFont="1" applyBorder="1" applyAlignment="1">
      <alignment horizontal="center" wrapText="1"/>
    </xf>
    <xf numFmtId="171" fontId="2" fillId="0" borderId="3" xfId="5" applyNumberFormat="1" applyFont="1" applyBorder="1" applyAlignment="1">
      <alignment vertical="center" wrapText="1"/>
    </xf>
    <xf numFmtId="3" fontId="26" fillId="5" borderId="1" xfId="8" applyNumberFormat="1" applyFont="1" applyFill="1" applyBorder="1" applyAlignment="1">
      <alignment horizontal="centerContinuous" vertical="center"/>
    </xf>
    <xf numFmtId="3" fontId="26" fillId="5" borderId="2" xfId="8" applyNumberFormat="1" applyFont="1" applyFill="1" applyBorder="1" applyAlignment="1">
      <alignment horizontal="centerContinuous" vertical="center"/>
    </xf>
    <xf numFmtId="3" fontId="26" fillId="5" borderId="4" xfId="8" applyNumberFormat="1" applyFont="1" applyFill="1" applyBorder="1" applyAlignment="1">
      <alignment horizontal="centerContinuous" vertical="center"/>
    </xf>
    <xf numFmtId="0" fontId="2" fillId="5" borderId="5" xfId="5" applyFont="1" applyFill="1" applyBorder="1" applyAlignment="1">
      <alignment horizontal="right"/>
    </xf>
    <xf numFmtId="0" fontId="2" fillId="10" borderId="3" xfId="5" applyFont="1" applyFill="1" applyBorder="1" applyAlignment="1">
      <alignment horizontal="right"/>
    </xf>
    <xf numFmtId="4" fontId="27" fillId="5" borderId="1" xfId="8" applyNumberFormat="1" applyFont="1" applyFill="1" applyBorder="1" applyAlignment="1">
      <alignment vertical="center"/>
    </xf>
    <xf numFmtId="4" fontId="27" fillId="10" borderId="1" xfId="8" applyNumberFormat="1" applyFont="1" applyFill="1" applyBorder="1" applyAlignment="1">
      <alignment vertical="center"/>
    </xf>
    <xf numFmtId="4" fontId="3" fillId="6" borderId="3" xfId="8" applyNumberFormat="1" applyFont="1" applyFill="1" applyBorder="1"/>
    <xf numFmtId="4" fontId="27" fillId="11" borderId="1" xfId="8" applyNumberFormat="1" applyFont="1" applyFill="1" applyBorder="1" applyAlignment="1">
      <alignment vertical="center"/>
    </xf>
    <xf numFmtId="4" fontId="3" fillId="11" borderId="3" xfId="8" applyNumberFormat="1" applyFont="1" applyFill="1" applyBorder="1"/>
    <xf numFmtId="172" fontId="2" fillId="10" borderId="3" xfId="5" applyNumberFormat="1" applyFont="1" applyFill="1" applyBorder="1" applyAlignment="1">
      <alignment vertical="center" wrapText="1"/>
    </xf>
    <xf numFmtId="0" fontId="0" fillId="0" borderId="0" xfId="0" applyFont="1"/>
    <xf numFmtId="0" fontId="0" fillId="0" borderId="0" xfId="0" applyFont="1" applyAlignment="1">
      <alignment horizontal="center" vertical="center"/>
    </xf>
    <xf numFmtId="0" fontId="12" fillId="7" borderId="1" xfId="9" applyFont="1" applyFill="1" applyBorder="1"/>
    <xf numFmtId="0" fontId="34" fillId="7" borderId="2" xfId="7" applyFont="1" applyFill="1" applyBorder="1"/>
    <xf numFmtId="14" fontId="13" fillId="0" borderId="3" xfId="0" applyNumberFormat="1" applyFont="1" applyBorder="1" applyAlignment="1">
      <alignment wrapText="1"/>
    </xf>
    <xf numFmtId="0" fontId="35" fillId="0" borderId="0" xfId="0" applyFont="1"/>
    <xf numFmtId="168" fontId="3" fillId="0" borderId="3" xfId="1" applyNumberFormat="1" applyFont="1" applyBorder="1"/>
    <xf numFmtId="168" fontId="16" fillId="0" borderId="3" xfId="1" applyNumberFormat="1" applyFont="1" applyBorder="1"/>
    <xf numFmtId="168" fontId="16" fillId="3" borderId="3" xfId="1" applyNumberFormat="1" applyFont="1" applyFill="1" applyBorder="1"/>
    <xf numFmtId="168" fontId="17" fillId="3" borderId="3" xfId="1" applyNumberFormat="1" applyFont="1" applyFill="1" applyBorder="1"/>
    <xf numFmtId="0" fontId="3" fillId="0" borderId="1" xfId="0" applyFont="1" applyBorder="1" applyAlignment="1">
      <alignment horizontal="center" wrapText="1"/>
    </xf>
    <xf numFmtId="0" fontId="3" fillId="0" borderId="4" xfId="0" applyFont="1" applyBorder="1" applyAlignment="1">
      <alignment horizontal="center" wrapText="1"/>
    </xf>
    <xf numFmtId="0" fontId="2" fillId="0" borderId="10" xfId="5" applyFont="1" applyFill="1" applyBorder="1" applyAlignment="1">
      <alignment horizontal="center" vertical="center" wrapText="1"/>
    </xf>
    <xf numFmtId="0" fontId="2" fillId="0" borderId="7" xfId="5" applyFont="1" applyFill="1" applyBorder="1" applyAlignment="1">
      <alignment horizontal="center" vertical="center" wrapText="1"/>
    </xf>
    <xf numFmtId="0" fontId="2" fillId="6" borderId="3" xfId="5" applyFont="1" applyFill="1" applyBorder="1" applyAlignment="1">
      <alignment horizontal="center" vertical="center" wrapText="1"/>
    </xf>
    <xf numFmtId="0" fontId="2" fillId="6" borderId="6" xfId="5" applyFont="1" applyFill="1" applyBorder="1" applyAlignment="1">
      <alignment horizontal="center" vertical="center" wrapText="1"/>
    </xf>
    <xf numFmtId="0" fontId="2" fillId="6" borderId="5" xfId="5" applyFont="1" applyFill="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center" vertical="center" wrapText="1"/>
    </xf>
  </cellXfs>
  <cellStyles count="10">
    <cellStyle name="Comma" xfId="1" builtinId="3"/>
    <cellStyle name="Comma 2" xfId="8"/>
    <cellStyle name="Explanatory Text" xfId="4" builtinId="53"/>
    <cellStyle name="Normal" xfId="0" builtinId="0"/>
    <cellStyle name="Normal 2" xfId="5"/>
    <cellStyle name="Normal 2 2" xfId="7"/>
    <cellStyle name="Normal 2 2 2" xfId="9"/>
    <cellStyle name="Normal 5 2 2" xfId="6"/>
    <cellStyle name="Normal 6" xfId="2"/>
    <cellStyle name="Percent" xfId="3" builtinId="5"/>
  </cellStyles>
  <dxfs count="26">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rgb="FF00B050"/>
      </font>
      <fill>
        <patternFill>
          <bgColor rgb="FFCCFFCC"/>
        </patternFill>
      </fill>
    </dxf>
    <dxf>
      <font>
        <color rgb="FFFF0000"/>
      </font>
      <fill>
        <patternFill>
          <bgColor theme="9" tint="0.79998168889431442"/>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rgb="FF00B050"/>
      </font>
      <fill>
        <patternFill>
          <bgColor rgb="FFCCFFCC"/>
        </patternFill>
      </fill>
    </dxf>
    <dxf>
      <font>
        <color rgb="FFFF0000"/>
      </font>
      <fill>
        <patternFill>
          <bgColor theme="9" tint="0.79998168889431442"/>
        </patternFill>
      </fill>
    </dxf>
    <dxf>
      <font>
        <color theme="0"/>
      </font>
    </dxf>
  </dxfs>
  <tableStyles count="0" defaultTableStyle="TableStyleMedium2" defaultPivotStyle="PivotStyleLight16"/>
  <colors>
    <mruColors>
      <color rgb="FFC4BD97"/>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styles" Target="styles.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2</xdr:row>
      <xdr:rowOff>0</xdr:rowOff>
    </xdr:from>
    <xdr:to>
      <xdr:col>4</xdr:col>
      <xdr:colOff>6350</xdr:colOff>
      <xdr:row>18</xdr:row>
      <xdr:rowOff>123825</xdr:rowOff>
    </xdr:to>
    <xdr:sp macro="" textlink="">
      <xdr:nvSpPr>
        <xdr:cNvPr id="2" name="TextBox 1">
          <a:extLst>
            <a:ext uri="{FF2B5EF4-FFF2-40B4-BE49-F238E27FC236}">
              <a16:creationId xmlns="" xmlns:a16="http://schemas.microsoft.com/office/drawing/2014/main" id="{00000000-0008-0000-0000-000002000000}"/>
            </a:ext>
          </a:extLst>
        </xdr:cNvPr>
        <xdr:cNvSpPr txBox="1"/>
      </xdr:nvSpPr>
      <xdr:spPr>
        <a:xfrm>
          <a:off x="76200" y="419100"/>
          <a:ext cx="8626475" cy="3019425"/>
        </a:xfrm>
        <a:prstGeom prst="rect">
          <a:avLst/>
        </a:prstGeom>
        <a:solidFill>
          <a:srgbClr val="C4BD97"/>
        </a:solidFill>
        <a:ln w="12700" cmpd="sng">
          <a:solidFill>
            <a:schemeClr val="tx1"/>
          </a:solidFill>
        </a:ln>
        <a:scene3d>
          <a:camera prst="orthographicFront"/>
          <a:lightRig rig="threePt" dir="t"/>
        </a:scene3d>
        <a:sp3d prstMaterial="matte"/>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i="0" u="sng">
              <a:solidFill>
                <a:schemeClr val="dk1"/>
              </a:solidFill>
              <a:effectLst/>
              <a:latin typeface="+mn-lt"/>
              <a:ea typeface="+mn-ea"/>
              <a:cs typeface="+mn-cs"/>
            </a:rPr>
            <a:t>Wastewater</a:t>
          </a:r>
          <a:r>
            <a:rPr lang="en-GB" sz="1100" b="1" i="0" u="sng" baseline="0">
              <a:solidFill>
                <a:schemeClr val="dk1"/>
              </a:solidFill>
              <a:effectLst/>
              <a:latin typeface="+mn-lt"/>
              <a:ea typeface="+mn-ea"/>
              <a:cs typeface="+mn-cs"/>
            </a:rPr>
            <a:t> growth </a:t>
          </a:r>
          <a:r>
            <a:rPr lang="en-GB" sz="1100" b="1" i="0" u="sng">
              <a:solidFill>
                <a:schemeClr val="dk1"/>
              </a:solidFill>
              <a:effectLst/>
              <a:latin typeface="+mn-lt"/>
              <a:ea typeface="+mn-ea"/>
              <a:cs typeface="+mn-cs"/>
            </a:rPr>
            <a:t>feeder model</a:t>
          </a:r>
          <a:endParaRPr lang="en-GB" sz="1100" b="1" i="0" u="sng" baseline="0">
            <a:solidFill>
              <a:schemeClr val="dk1"/>
            </a:solidFill>
            <a:effectLst/>
            <a:latin typeface="+mn-lt"/>
            <a:ea typeface="+mn-ea"/>
            <a:cs typeface="+mn-cs"/>
          </a:endParaRPr>
        </a:p>
        <a:p>
          <a:endParaRPr lang="en-GB" sz="1000">
            <a:effectLst/>
          </a:endParaRPr>
        </a:p>
        <a:p>
          <a:r>
            <a:rPr lang="en-GB" sz="1100" b="1" baseline="0">
              <a:solidFill>
                <a:schemeClr val="dk1"/>
              </a:solidFill>
              <a:effectLst/>
              <a:latin typeface="+mn-lt"/>
              <a:ea typeface="+mn-ea"/>
              <a:cs typeface="+mn-cs"/>
            </a:rPr>
            <a:t>Objective</a:t>
          </a:r>
          <a:endParaRPr lang="en-GB" sz="1000">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To assess enhancement capex expenditure submitted by companies in their PR19 business plan submissions as pre-defined enhancement capex lines.</a:t>
          </a:r>
        </a:p>
        <a:p>
          <a:endParaRPr lang="en-GB" sz="1100" baseline="0">
            <a:solidFill>
              <a:schemeClr val="dk1"/>
            </a:solidFill>
            <a:effectLst/>
            <a:latin typeface="+mn-lt"/>
            <a:ea typeface="+mn-ea"/>
            <a:cs typeface="+mn-cs"/>
          </a:endParaRPr>
        </a:p>
        <a:p>
          <a:r>
            <a:rPr lang="en-GB" sz="1100" b="1" baseline="0">
              <a:solidFill>
                <a:schemeClr val="dk1"/>
              </a:solidFill>
              <a:effectLst/>
              <a:latin typeface="+mn-lt"/>
              <a:ea typeface="+mn-ea"/>
              <a:cs typeface="+mn-cs"/>
            </a:rPr>
            <a:t>Approach</a:t>
          </a:r>
        </a:p>
        <a:p>
          <a:endParaRPr lang="en-GB" sz="1100" baseline="0">
            <a:solidFill>
              <a:schemeClr val="dk1"/>
            </a:solidFill>
            <a:effectLst/>
            <a:latin typeface="+mn-lt"/>
            <a:ea typeface="+mn-ea"/>
            <a:cs typeface="+mn-cs"/>
          </a:endParaRPr>
        </a:p>
        <a:p>
          <a:r>
            <a:rPr lang="en-GB" sz="1100">
              <a:solidFill>
                <a:schemeClr val="dk1"/>
              </a:solidFill>
              <a:effectLst/>
              <a:latin typeface="+mn-lt"/>
              <a:ea typeface="+mn-ea"/>
              <a:cs typeface="+mn-cs"/>
            </a:rPr>
            <a:t>We combine the costs, gross of grants and contributions, for new developments and growth, growth at sewage treatment works and reducing risks of sewer flooding into one wastewater growth assessment as these areas are interlinked with each other and are driven by population increase and demand growth. We assess the wastewater growth costs using a panel data model where the cost driver is the total number of new wastewater connections. We triangulate our cost allowance across two models, one using historical data for the period 2011-12 to 2017-18 and other using forecast data for the period of 2020-21 to 2024-25. Both models are in logs and use smoothed data over a 3-year period. Where a company’s requested investment level is less than our determination, we use the company’s business plan costs.</a:t>
          </a:r>
        </a:p>
        <a:p>
          <a:r>
            <a:rPr lang="en-GB" sz="1100">
              <a:solidFill>
                <a:schemeClr val="dk1"/>
              </a:solidFill>
              <a:effectLst/>
              <a:latin typeface="+mn-lt"/>
              <a:ea typeface="+mn-ea"/>
              <a:cs typeface="+mn-cs"/>
            </a:rPr>
            <a:t>For wastewater service we assume a recovery rate of 95% for new development costs based on the company assumptions in the business plans</a:t>
          </a:r>
          <a:endParaRPr lang="en-GB" sz="1100" baseline="0">
            <a:solidFill>
              <a:schemeClr val="dk1"/>
            </a:solidFill>
            <a:effectLst/>
            <a:latin typeface="+mn-lt"/>
            <a:ea typeface="+mn-ea"/>
            <a:cs typeface="+mn-cs"/>
          </a:endParaRPr>
        </a:p>
        <a:p>
          <a:endParaRPr lang="en-GB" sz="1100" baseline="0">
            <a:solidFill>
              <a:schemeClr val="dk1"/>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34</xdr:col>
      <xdr:colOff>0</xdr:colOff>
      <xdr:row>4</xdr:row>
      <xdr:rowOff>0</xdr:rowOff>
    </xdr:from>
    <xdr:to>
      <xdr:col>40</xdr:col>
      <xdr:colOff>609070</xdr:colOff>
      <xdr:row>20</xdr:row>
      <xdr:rowOff>142875</xdr:rowOff>
    </xdr:to>
    <xdr:sp macro="" textlink="">
      <xdr:nvSpPr>
        <xdr:cNvPr id="3" name="TextBox 2"/>
        <xdr:cNvSpPr txBox="1"/>
      </xdr:nvSpPr>
      <xdr:spPr>
        <a:xfrm>
          <a:off x="24536400" y="8324850"/>
          <a:ext cx="4266670" cy="3114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Rationale:</a:t>
          </a:r>
        </a:p>
        <a:p>
          <a:endParaRPr lang="en-GB" sz="1100" b="1"/>
        </a:p>
        <a:p>
          <a:r>
            <a:rPr lang="en-GB" sz="1100" b="0"/>
            <a:t>Choose company forecast for all</a:t>
          </a:r>
          <a:r>
            <a:rPr lang="en-GB" sz="1100" b="0" baseline="0"/>
            <a:t> companies except potentially YKY. Reasons:</a:t>
          </a:r>
          <a:endParaRPr lang="en-GB" sz="1100" b="0"/>
        </a:p>
        <a:p>
          <a:r>
            <a:rPr lang="en-GB" sz="1100" b="0"/>
            <a:t>1. ANH, SRN - use company forecasts because: companies predict</a:t>
          </a:r>
          <a:r>
            <a:rPr lang="en-GB" sz="1100" b="0" baseline="0"/>
            <a:t> a step increase in AMP7 which Ofwat forecasts don't capture. Allowances based on company's forecast already correspond to an cut of ~17%. Should we use the lower Ofwat forecasts the cut would be even more signigicant.</a:t>
          </a:r>
        </a:p>
        <a:p>
          <a:r>
            <a:rPr lang="en-GB" sz="1100" b="0" baseline="0"/>
            <a:t>2. NES, NWT, SWB, WSH  - use company forecast because  Ofwat forecasts overestimate.</a:t>
          </a: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3. SVE &amp; HDD we can only use companies' forecast as only have 1 historical data point.</a:t>
          </a: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4. TMS, WSX - use company forecasts because these are very similiar to Ofwat forecasts (difference at or less than 11)</a:t>
          </a: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5. YKY we could use Ofwat forecast because is lower than the company forecast and we are allowing ~ company requested</a:t>
          </a:r>
          <a:endParaRPr lang="en-GB" sz="1100" b="0" baseline="0"/>
        </a:p>
        <a:p>
          <a:endParaRPr lang="en-GB" sz="1100" b="0"/>
        </a:p>
      </xdr:txBody>
    </xdr:sp>
    <xdr:clientData/>
  </xdr:twoCellAnchor>
  <xdr:twoCellAnchor>
    <xdr:from>
      <xdr:col>34</xdr:col>
      <xdr:colOff>0</xdr:colOff>
      <xdr:row>25</xdr:row>
      <xdr:rowOff>0</xdr:rowOff>
    </xdr:from>
    <xdr:to>
      <xdr:col>40</xdr:col>
      <xdr:colOff>609070</xdr:colOff>
      <xdr:row>41</xdr:row>
      <xdr:rowOff>132292</xdr:rowOff>
    </xdr:to>
    <xdr:sp macro="" textlink="">
      <xdr:nvSpPr>
        <xdr:cNvPr id="4" name="TextBox 3"/>
        <xdr:cNvSpPr txBox="1"/>
      </xdr:nvSpPr>
      <xdr:spPr>
        <a:xfrm>
          <a:off x="24536400" y="12280900"/>
          <a:ext cx="4266670" cy="309139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t>Rationale:</a:t>
          </a:r>
        </a:p>
        <a:p>
          <a:endParaRPr lang="en-GB" sz="1100" b="1"/>
        </a:p>
        <a:p>
          <a:r>
            <a:rPr lang="en-GB" sz="1100" b="0"/>
            <a:t>Choose company forecast for all</a:t>
          </a:r>
          <a:r>
            <a:rPr lang="en-GB" sz="1100" b="0" baseline="0"/>
            <a:t> companies except potentially NWT. Reasons:</a:t>
          </a:r>
          <a:endParaRPr lang="en-GB" sz="1100" b="0"/>
        </a:p>
        <a:p>
          <a:r>
            <a:rPr lang="en-GB" sz="1100" b="0"/>
            <a:t>1. ANH - use company forecasts because: a</a:t>
          </a:r>
          <a:r>
            <a:rPr lang="en-GB" sz="1100" b="0" baseline="0"/>
            <a:t>llowances based on company's forecast already correspond to an cut of ~17%. Should we use the lower Ofwat forecasts the cut would be even more signigicant.</a:t>
          </a:r>
        </a:p>
        <a:p>
          <a:r>
            <a:rPr lang="en-GB" sz="1100" b="0" baseline="0"/>
            <a:t>2. NES, SRN - use company forecast because  Ofwat forecasts overestimate.</a:t>
          </a: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3. SVE &amp; HDD we can only use companies' forecast as only have 1 historical data point.</a:t>
          </a: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4. SWB, TMS, WSH, WSX, YKY, - use company forecasts because these are either equal or very similiar to Ofwat forecasts (difference at not greater than 1)</a:t>
          </a:r>
        </a:p>
        <a:p>
          <a:pPr marL="0" marR="0" lvl="0" indent="0" defTabSz="914400" eaLnBrk="1" fontAlgn="auto" latinLnBrk="0" hangingPunct="1">
            <a:lnSpc>
              <a:spcPct val="100000"/>
            </a:lnSpc>
            <a:spcBef>
              <a:spcPts val="0"/>
            </a:spcBef>
            <a:spcAft>
              <a:spcPts val="0"/>
            </a:spcAft>
            <a:buClrTx/>
            <a:buSzTx/>
            <a:buFontTx/>
            <a:buNone/>
            <a:tabLst/>
            <a:defRPr/>
          </a:pPr>
          <a:r>
            <a:rPr lang="en-GB" sz="1100" b="0" baseline="0">
              <a:solidFill>
                <a:schemeClr val="dk1"/>
              </a:solidFill>
              <a:effectLst/>
              <a:latin typeface="+mn-lt"/>
              <a:ea typeface="+mn-ea"/>
              <a:cs typeface="+mn-cs"/>
            </a:rPr>
            <a:t>5. NWT we could use Ofwat forecast because is lower than the company forecast and we are allowing ~ company requested</a:t>
          </a:r>
          <a:endParaRPr lang="en-GB">
            <a:effectLst/>
          </a:endParaRPr>
        </a:p>
        <a:p>
          <a:endParaRPr lang="en-GB" sz="1100" b="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chona.labor/AppData/Local/Microsoft/Windows/INetCache/IE/QJKFE5G1/PR19-14h-for-publication.xlsb"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OFWSHARE/Cost%20assessment/Retail/Modelling%20-%20phase%204/Cost%20allowances/xls/FM_R2_v2.2.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OFWSHARE/PR14/Cost%20assessment/Menus/Analysis/Menu%20assessment/PR14%20menu%20assessmen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laura.gatzschulz\Documents\Copy%20of%20FM_E_WWW_conservation%20driver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laura.gatzschulz/Documents/Copy%20of%20FM_E_WWW_conservation%20driver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Users\chona.labor\AppData\Local\Microsoft\Windows\INetCache\IE\QJKFE5G1\PR19-14h-for-publication.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refreshError="1"/>
      <sheetData sheetId="2" refreshError="1"/>
      <sheetData sheetId="3">
        <row r="1">
          <cell r="A1" t="str">
            <v>User guide</v>
          </cell>
        </row>
      </sheetData>
      <sheetData sheetId="4">
        <row r="1">
          <cell r="A1" t="str">
            <v>Rulebook Contents</v>
          </cell>
        </row>
      </sheetData>
      <sheetData sheetId="5">
        <row r="1">
          <cell r="A1" t="str">
            <v>Rulebook</v>
          </cell>
        </row>
      </sheetData>
      <sheetData sheetId="6" refreshError="1"/>
      <sheetData sheetId="7">
        <row r="177">
          <cell r="H177" t="str">
            <v>Water resources RCV ~ 1 April 2020 + Water resources IFRS16 RCV adjustment</v>
          </cell>
        </row>
      </sheetData>
      <sheetData sheetId="8" refreshError="1"/>
      <sheetData sheetId="9" refreshError="1"/>
      <sheetData sheetId="10">
        <row r="1891">
          <cell r="F1891">
            <v>9.9999999999999995E-7</v>
          </cell>
        </row>
        <row r="1893">
          <cell r="F1893">
            <v>1E-4</v>
          </cell>
        </row>
        <row r="1895">
          <cell r="F1895">
            <v>9.9999999999999995E-7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ow r="12">
          <cell r="E12" t="str">
            <v>Operating income - Wholesale - nominal</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06">
          <cell r="E406" t="str">
            <v>Water resources grants and contributions - real</v>
          </cell>
        </row>
      </sheetData>
      <sheetData sheetId="31" refreshError="1"/>
      <sheetData sheetId="32">
        <row r="28">
          <cell r="E28" t="str">
            <v>Bulk supplies ~ wastewater network plus</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07">
          <cell r="F107">
            <v>0</v>
          </cell>
        </row>
      </sheetData>
      <sheetData sheetId="52" refreshError="1"/>
      <sheetData sheetId="53" refreshError="1"/>
      <sheetData sheetId="54">
        <row r="178">
          <cell r="E178" t="str">
            <v>Operating expenditure - Wholesale - nominal</v>
          </cell>
        </row>
      </sheetData>
      <sheetData sheetId="55">
        <row r="1383">
          <cell r="E1383" t="str">
            <v>Earnings after tax (EAT) - Retail - nominal</v>
          </cell>
        </row>
      </sheetData>
      <sheetData sheetId="56" refreshError="1"/>
      <sheetData sheetId="57" refreshError="1"/>
      <sheetData sheetId="58" refreshError="1"/>
      <sheetData sheetId="59" refreshError="1"/>
      <sheetData sheetId="60">
        <row r="10">
          <cell r="F10">
            <v>0</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sheetData sheetId="4"/>
      <sheetData sheetId="5"/>
      <sheetData sheetId="6"/>
      <sheetData sheetId="7"/>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sheetData sheetId="10"/>
      <sheetData sheetId="11"/>
      <sheetData sheetId="12"/>
      <sheetData sheetId="13"/>
      <sheetData sheetId="14"/>
      <sheetData sheetId="15"/>
      <sheetData sheetId="16" refreshError="1"/>
      <sheetData sheetId="17" refreshError="1"/>
      <sheetData sheetId="1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pproach chart"/>
      <sheetName val="QA_Checklist"/>
      <sheetName val="Changes log"/>
      <sheetName val="Variables selection"/>
      <sheetName val="BoN codes"/>
      <sheetName val="Data"/>
      <sheetName val="Assessor's analysis&gt;&gt;"/>
      <sheetName val="Gates &amp; Shallow dive"/>
      <sheetName val="Deep dive_SRN"/>
      <sheetName val="Deep dive_TMS"/>
      <sheetName val="Deep dive_WSX"/>
      <sheetName val="Test...."/>
      <sheetName val="Feeder models&gt;&gt;"/>
      <sheetName val="Summary"/>
      <sheetName val="Allowance"/>
      <sheetName val="Allowed capex 5YRS"/>
      <sheetName val="Profilling"/>
      <sheetName val="Trends&gt;&gt;&gt;"/>
      <sheetName val="Exp'ture &amp; materiality"/>
      <sheetName val="Drivers"/>
      <sheetName val="Unit costs&gt;&gt;"/>
      <sheetName val="Avg unit costs"/>
      <sheetName val="Simple regr'on unit costs"/>
      <sheetName val="Econometrics&gt;&gt;"/>
      <sheetName val="Correlations &amp; basic stats"/>
      <sheetName val="Ec'metric analysis"/>
      <sheetName val="Selected mode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6">
          <cell r="A66" t="str">
            <v>ANH</v>
          </cell>
          <cell r="AG66">
            <v>0</v>
          </cell>
        </row>
        <row r="67">
          <cell r="A67" t="str">
            <v>NES</v>
          </cell>
          <cell r="AG67">
            <v>0</v>
          </cell>
        </row>
        <row r="68">
          <cell r="A68" t="str">
            <v>NWT</v>
          </cell>
          <cell r="AG68">
            <v>0.7618580323894687</v>
          </cell>
        </row>
        <row r="69">
          <cell r="A69" t="str">
            <v>SRN</v>
          </cell>
          <cell r="AG69">
            <v>18.954000000000001</v>
          </cell>
        </row>
        <row r="70">
          <cell r="A70" t="str">
            <v>SVT</v>
          </cell>
          <cell r="AG70">
            <v>0</v>
          </cell>
        </row>
        <row r="71">
          <cell r="A71" t="str">
            <v>SWB</v>
          </cell>
          <cell r="AG71">
            <v>4.2300000000000004</v>
          </cell>
        </row>
        <row r="72">
          <cell r="A72" t="str">
            <v>TMS</v>
          </cell>
          <cell r="AG72">
            <v>4.9437447595999986</v>
          </cell>
        </row>
        <row r="73">
          <cell r="A73" t="str">
            <v>WSH</v>
          </cell>
          <cell r="AG73">
            <v>1.593</v>
          </cell>
        </row>
        <row r="74">
          <cell r="A74" t="str">
            <v>WSX</v>
          </cell>
          <cell r="AG74">
            <v>14.072221384615391</v>
          </cell>
        </row>
        <row r="75">
          <cell r="A75" t="str">
            <v>YKY</v>
          </cell>
          <cell r="AG75">
            <v>0</v>
          </cell>
        </row>
        <row r="76">
          <cell r="A76" t="str">
            <v>AFW</v>
          </cell>
          <cell r="AG76">
            <v>0</v>
          </cell>
        </row>
        <row r="77">
          <cell r="A77" t="str">
            <v>BRL</v>
          </cell>
          <cell r="AG77">
            <v>0</v>
          </cell>
        </row>
        <row r="78">
          <cell r="A78" t="str">
            <v>DVW</v>
          </cell>
          <cell r="AG78">
            <v>0</v>
          </cell>
        </row>
        <row r="79">
          <cell r="A79" t="str">
            <v>PRT</v>
          </cell>
          <cell r="AG79">
            <v>0</v>
          </cell>
        </row>
        <row r="80">
          <cell r="A80" t="str">
            <v>SES</v>
          </cell>
          <cell r="AG80">
            <v>0</v>
          </cell>
        </row>
        <row r="81">
          <cell r="A81" t="str">
            <v>SEW</v>
          </cell>
          <cell r="AG81">
            <v>0</v>
          </cell>
        </row>
        <row r="82">
          <cell r="A82" t="str">
            <v>SSC</v>
          </cell>
          <cell r="AG82">
            <v>0</v>
          </cell>
        </row>
        <row r="83">
          <cell r="A83" t="str">
            <v>SVE</v>
          </cell>
          <cell r="AG83">
            <v>0</v>
          </cell>
        </row>
        <row r="84">
          <cell r="A84" t="str">
            <v>HDD</v>
          </cell>
          <cell r="AG84">
            <v>0</v>
          </cell>
        </row>
        <row r="182">
          <cell r="A182" t="str">
            <v>ANH</v>
          </cell>
          <cell r="AE182">
            <v>3328.7444331702227</v>
          </cell>
        </row>
        <row r="183">
          <cell r="A183" t="str">
            <v>NES</v>
          </cell>
          <cell r="AE183">
            <v>1243.377</v>
          </cell>
        </row>
        <row r="184">
          <cell r="A184" t="str">
            <v>NWT</v>
          </cell>
          <cell r="AE184">
            <v>3013.0588535929037</v>
          </cell>
        </row>
        <row r="185">
          <cell r="A185" t="str">
            <v>SRN</v>
          </cell>
          <cell r="AE185">
            <v>2609.462</v>
          </cell>
        </row>
        <row r="186">
          <cell r="A186" t="str">
            <v>SVT</v>
          </cell>
          <cell r="AE186">
            <v>0</v>
          </cell>
        </row>
        <row r="187">
          <cell r="A187" t="str">
            <v>SWB</v>
          </cell>
          <cell r="AE187">
            <v>951.08800000000008</v>
          </cell>
        </row>
        <row r="188">
          <cell r="A188" t="str">
            <v>TMS</v>
          </cell>
          <cell r="AE188">
            <v>4997.1676900586726</v>
          </cell>
        </row>
        <row r="189">
          <cell r="A189" t="str">
            <v>WSH</v>
          </cell>
          <cell r="AE189">
            <v>1529.0949999999998</v>
          </cell>
        </row>
        <row r="190">
          <cell r="A190" t="str">
            <v>WSX</v>
          </cell>
          <cell r="AE190">
            <v>1573.2079316710249</v>
          </cell>
        </row>
        <row r="191">
          <cell r="A191" t="str">
            <v>YKY</v>
          </cell>
          <cell r="AE191">
            <v>2894.0260000000003</v>
          </cell>
        </row>
        <row r="192">
          <cell r="A192" t="str">
            <v>AFW</v>
          </cell>
          <cell r="AE192">
            <v>0</v>
          </cell>
        </row>
        <row r="193">
          <cell r="A193" t="str">
            <v>BRL</v>
          </cell>
          <cell r="AE193">
            <v>0</v>
          </cell>
        </row>
        <row r="194">
          <cell r="A194" t="str">
            <v>DVW</v>
          </cell>
          <cell r="AE194">
            <v>0</v>
          </cell>
        </row>
        <row r="195">
          <cell r="A195" t="str">
            <v>PRT</v>
          </cell>
          <cell r="AE195">
            <v>0</v>
          </cell>
        </row>
        <row r="196">
          <cell r="A196" t="str">
            <v>SES</v>
          </cell>
          <cell r="AE196">
            <v>0</v>
          </cell>
        </row>
        <row r="197">
          <cell r="A197" t="str">
            <v>SEW</v>
          </cell>
          <cell r="AE197">
            <v>0</v>
          </cell>
        </row>
        <row r="198">
          <cell r="A198" t="str">
            <v>SSC</v>
          </cell>
          <cell r="AE198">
            <v>0</v>
          </cell>
        </row>
        <row r="199">
          <cell r="A199" t="str">
            <v>SVE</v>
          </cell>
          <cell r="AE199">
            <v>2952.671035202944</v>
          </cell>
        </row>
        <row r="200">
          <cell r="A200" t="str">
            <v>HDD</v>
          </cell>
          <cell r="AE200">
            <v>24.896364460930961</v>
          </cell>
        </row>
      </sheetData>
      <sheetData sheetId="20"/>
      <sheetData sheetId="21"/>
      <sheetData sheetId="22"/>
      <sheetData sheetId="23"/>
      <sheetData sheetId="24"/>
      <sheetData sheetId="25"/>
      <sheetData sheetId="26"/>
      <sheetData sheetId="27"/>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Approach chart"/>
      <sheetName val="QA_Checklist"/>
      <sheetName val="Changes log"/>
      <sheetName val="Variables selection"/>
      <sheetName val="BoN codes"/>
      <sheetName val="Data"/>
      <sheetName val="Assessor's analysis&gt;&gt;"/>
      <sheetName val="Gates &amp; Shallow dive"/>
      <sheetName val="Deep dive_SRN"/>
      <sheetName val="Deep dive_TMS"/>
      <sheetName val="Deep dive_WSX"/>
      <sheetName val="Test...."/>
      <sheetName val="Feeder models&gt;&gt;"/>
      <sheetName val="Summary"/>
      <sheetName val="Allowance"/>
      <sheetName val="Allowed capex 5YRS"/>
      <sheetName val="Profilling"/>
      <sheetName val="Trends&gt;&gt;&gt;"/>
      <sheetName val="Exp'ture &amp; materiality"/>
      <sheetName val="Drivers"/>
      <sheetName val="Unit costs&gt;&gt;"/>
      <sheetName val="Avg unit costs"/>
      <sheetName val="Simple regr'on unit costs"/>
      <sheetName val="Econometrics&gt;&gt;"/>
      <sheetName val="Correlations &amp; basic stats"/>
      <sheetName val="Ec'metric analysis"/>
      <sheetName val="Selected mode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66">
          <cell r="A66" t="str">
            <v>ANH</v>
          </cell>
          <cell r="AG66">
            <v>0</v>
          </cell>
        </row>
        <row r="67">
          <cell r="AG67">
            <v>0</v>
          </cell>
        </row>
        <row r="68">
          <cell r="AG68">
            <v>0.7618580323894687</v>
          </cell>
        </row>
        <row r="69">
          <cell r="AG69">
            <v>18.954000000000001</v>
          </cell>
        </row>
        <row r="70">
          <cell r="AG70">
            <v>0</v>
          </cell>
        </row>
        <row r="71">
          <cell r="AG71">
            <v>4.2300000000000004</v>
          </cell>
        </row>
        <row r="72">
          <cell r="AG72">
            <v>4.9437447595999986</v>
          </cell>
        </row>
        <row r="73">
          <cell r="AG73">
            <v>1.593</v>
          </cell>
        </row>
        <row r="74">
          <cell r="AG74">
            <v>14.072221384615391</v>
          </cell>
        </row>
        <row r="75">
          <cell r="AG75">
            <v>0</v>
          </cell>
        </row>
        <row r="76">
          <cell r="AG76">
            <v>0</v>
          </cell>
        </row>
        <row r="77">
          <cell r="AG77">
            <v>0</v>
          </cell>
        </row>
        <row r="78">
          <cell r="AG78">
            <v>0</v>
          </cell>
        </row>
        <row r="79">
          <cell r="AG79">
            <v>0</v>
          </cell>
        </row>
        <row r="80">
          <cell r="AG80">
            <v>0</v>
          </cell>
        </row>
        <row r="81">
          <cell r="AG81">
            <v>0</v>
          </cell>
        </row>
        <row r="82">
          <cell r="AG82">
            <v>0</v>
          </cell>
        </row>
        <row r="83">
          <cell r="AG83">
            <v>0</v>
          </cell>
        </row>
        <row r="84">
          <cell r="AG84">
            <v>0</v>
          </cell>
        </row>
        <row r="182">
          <cell r="A182" t="str">
            <v>ANH</v>
          </cell>
          <cell r="AE182">
            <v>3328.7444331702227</v>
          </cell>
        </row>
        <row r="183">
          <cell r="A183" t="str">
            <v>NES</v>
          </cell>
          <cell r="AE183">
            <v>1243.377</v>
          </cell>
        </row>
        <row r="184">
          <cell r="A184" t="str">
            <v>NWT</v>
          </cell>
          <cell r="AE184">
            <v>3013.0588535929037</v>
          </cell>
        </row>
        <row r="185">
          <cell r="A185" t="str">
            <v>SRN</v>
          </cell>
          <cell r="AE185">
            <v>2609.462</v>
          </cell>
        </row>
        <row r="186">
          <cell r="A186" t="str">
            <v>SVT</v>
          </cell>
          <cell r="AE186">
            <v>0</v>
          </cell>
        </row>
        <row r="187">
          <cell r="A187" t="str">
            <v>SWB</v>
          </cell>
          <cell r="AE187">
            <v>951.08800000000008</v>
          </cell>
        </row>
        <row r="188">
          <cell r="A188" t="str">
            <v>TMS</v>
          </cell>
          <cell r="AE188">
            <v>4997.1676900586726</v>
          </cell>
        </row>
        <row r="189">
          <cell r="A189" t="str">
            <v>WSH</v>
          </cell>
          <cell r="AE189">
            <v>1529.0949999999998</v>
          </cell>
        </row>
        <row r="190">
          <cell r="A190" t="str">
            <v>WSX</v>
          </cell>
          <cell r="AE190">
            <v>1573.2079316710249</v>
          </cell>
        </row>
        <row r="191">
          <cell r="A191" t="str">
            <v>YKY</v>
          </cell>
          <cell r="AE191">
            <v>2894.0260000000003</v>
          </cell>
        </row>
        <row r="192">
          <cell r="A192" t="str">
            <v>AFW</v>
          </cell>
          <cell r="AE192">
            <v>0</v>
          </cell>
        </row>
        <row r="193">
          <cell r="A193" t="str">
            <v>BRL</v>
          </cell>
          <cell r="AE193">
            <v>0</v>
          </cell>
        </row>
        <row r="194">
          <cell r="A194" t="str">
            <v>DVW</v>
          </cell>
          <cell r="AE194">
            <v>0</v>
          </cell>
        </row>
        <row r="195">
          <cell r="A195" t="str">
            <v>PRT</v>
          </cell>
          <cell r="AE195">
            <v>0</v>
          </cell>
        </row>
        <row r="196">
          <cell r="A196" t="str">
            <v>SES</v>
          </cell>
          <cell r="AE196">
            <v>0</v>
          </cell>
        </row>
        <row r="197">
          <cell r="A197" t="str">
            <v>SEW</v>
          </cell>
          <cell r="AE197">
            <v>0</v>
          </cell>
        </row>
        <row r="198">
          <cell r="A198" t="str">
            <v>SSC</v>
          </cell>
          <cell r="AE198">
            <v>0</v>
          </cell>
        </row>
        <row r="199">
          <cell r="A199" t="str">
            <v>SVE</v>
          </cell>
          <cell r="AE199">
            <v>2952.671035202944</v>
          </cell>
        </row>
        <row r="200">
          <cell r="A200" t="str">
            <v>HDD</v>
          </cell>
          <cell r="AE200">
            <v>24.896364460930961</v>
          </cell>
        </row>
      </sheetData>
      <sheetData sheetId="20"/>
      <sheetData sheetId="21"/>
      <sheetData sheetId="22"/>
      <sheetData sheetId="23"/>
      <sheetData sheetId="24"/>
      <sheetData sheetId="25"/>
      <sheetData sheetId="26"/>
      <sheetData sheetId="2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Map &amp; Key"/>
      <sheetName val="User guide"/>
      <sheetName val="Rulebook Contents"/>
      <sheetName val="Rulebook"/>
      <sheetName val="Inputs &amp; Assumptions &gt;&gt;"/>
      <sheetName val="F_Inputs"/>
      <sheetName val="InpOverride"/>
      <sheetName val="Sensi"/>
      <sheetName val="InpActive"/>
      <sheetName val="Outputs &gt;&gt;"/>
      <sheetName val="Dashboard"/>
      <sheetName val="Exec Summary"/>
      <sheetName val="RCV balance Summary"/>
      <sheetName val="F_Outputs"/>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Summary_Calc"/>
      <sheetName val="Graph data"/>
      <sheetName val="Model Control &gt;&gt;"/>
      <sheetName val="Track"/>
      <sheetName val="Check"/>
    </sheetNames>
    <sheetDataSet>
      <sheetData sheetId="0"/>
      <sheetData sheetId="1" refreshError="1"/>
      <sheetData sheetId="2" refreshError="1"/>
      <sheetData sheetId="3">
        <row r="1">
          <cell r="A1" t="str">
            <v>User guide</v>
          </cell>
        </row>
      </sheetData>
      <sheetData sheetId="4">
        <row r="1">
          <cell r="A1" t="str">
            <v>Rulebook Contents</v>
          </cell>
        </row>
      </sheetData>
      <sheetData sheetId="5">
        <row r="1">
          <cell r="A1" t="str">
            <v>Rulebook</v>
          </cell>
        </row>
      </sheetData>
      <sheetData sheetId="6" refreshError="1"/>
      <sheetData sheetId="7">
        <row r="177">
          <cell r="H177" t="str">
            <v>Water resources RCV ~ 1 April 2020 + Water resources IFRS16 RCV adjustment</v>
          </cell>
        </row>
      </sheetData>
      <sheetData sheetId="8" refreshError="1"/>
      <sheetData sheetId="9" refreshError="1"/>
      <sheetData sheetId="10">
        <row r="1891">
          <cell r="F1891">
            <v>9.9999999999999995E-7</v>
          </cell>
        </row>
        <row r="1893">
          <cell r="F1893">
            <v>1E-4</v>
          </cell>
        </row>
        <row r="1895">
          <cell r="F1895">
            <v>9.9999999999999995E-7</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ow r="12">
          <cell r="E12" t="str">
            <v>Operating income - Wholesale - nominal</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406">
          <cell r="E406" t="str">
            <v>Water resources grants and contributions - real</v>
          </cell>
        </row>
      </sheetData>
      <sheetData sheetId="31" refreshError="1"/>
      <sheetData sheetId="32">
        <row r="28">
          <cell r="E28" t="str">
            <v>Bulk supplies ~ wastewater network plus</v>
          </cell>
        </row>
      </sheetData>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ow r="107">
          <cell r="F107">
            <v>0</v>
          </cell>
        </row>
      </sheetData>
      <sheetData sheetId="52" refreshError="1"/>
      <sheetData sheetId="53" refreshError="1"/>
      <sheetData sheetId="54">
        <row r="178">
          <cell r="E178" t="str">
            <v>Operating expenditure - Wholesale - nominal</v>
          </cell>
        </row>
      </sheetData>
      <sheetData sheetId="55">
        <row r="1383">
          <cell r="E1383" t="str">
            <v>Earnings after tax (EAT) - Retail - nominal</v>
          </cell>
        </row>
      </sheetData>
      <sheetData sheetId="56" refreshError="1"/>
      <sheetData sheetId="57" refreshError="1"/>
      <sheetData sheetId="58" refreshError="1"/>
      <sheetData sheetId="59" refreshError="1"/>
      <sheetData sheetId="60">
        <row r="10">
          <cell r="F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1"/>
  <sheetViews>
    <sheetView showGridLines="0" tabSelected="1" workbookViewId="0"/>
  </sheetViews>
  <sheetFormatPr defaultColWidth="7.5" defaultRowHeight="13.5" x14ac:dyDescent="0.35"/>
  <cols>
    <col min="1" max="1" width="1" style="154" customWidth="1"/>
    <col min="2" max="2" width="9.75" style="154" customWidth="1"/>
    <col min="3" max="3" width="87.625" style="154" customWidth="1"/>
    <col min="4" max="4" width="15.75" style="155" customWidth="1"/>
    <col min="5" max="16384" width="7.5" style="154"/>
  </cols>
  <sheetData>
    <row r="1" spans="2:4" ht="18" x14ac:dyDescent="0.55000000000000004">
      <c r="B1" s="156" t="s">
        <v>294</v>
      </c>
      <c r="C1" s="157"/>
      <c r="D1" s="157"/>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14"/>
  <sheetViews>
    <sheetView showGridLines="0" workbookViewId="0"/>
  </sheetViews>
  <sheetFormatPr defaultColWidth="9" defaultRowHeight="13.15" x14ac:dyDescent="0.4"/>
  <cols>
    <col min="1" max="1" width="2.625" style="5" customWidth="1"/>
    <col min="2" max="2" width="18" style="5" customWidth="1"/>
    <col min="3" max="3" width="15.125" style="5" customWidth="1"/>
    <col min="4" max="16384" width="9" style="5"/>
  </cols>
  <sheetData>
    <row r="1" spans="1:4" x14ac:dyDescent="0.4">
      <c r="A1" s="5" t="s">
        <v>57</v>
      </c>
    </row>
    <row r="2" spans="1:4" x14ac:dyDescent="0.4">
      <c r="A2" s="59" t="s">
        <v>58</v>
      </c>
    </row>
    <row r="6" spans="1:4" x14ac:dyDescent="0.4">
      <c r="B6" s="31" t="s">
        <v>38</v>
      </c>
    </row>
    <row r="8" spans="1:4" x14ac:dyDescent="0.4">
      <c r="B8" s="79" t="s">
        <v>27</v>
      </c>
      <c r="C8" s="79" t="s">
        <v>28</v>
      </c>
      <c r="D8" s="77"/>
    </row>
    <row r="9" spans="1:4" x14ac:dyDescent="0.4">
      <c r="B9" s="8">
        <v>0.5</v>
      </c>
      <c r="C9" s="8">
        <v>0.5</v>
      </c>
      <c r="D9" s="78"/>
    </row>
    <row r="12" spans="1:4" x14ac:dyDescent="0.4">
      <c r="B12" s="9" t="s">
        <v>26</v>
      </c>
    </row>
    <row r="14" spans="1:4" x14ac:dyDescent="0.4">
      <c r="B14" s="56">
        <v>1</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N175"/>
  <sheetViews>
    <sheetView showGridLines="0" zoomScale="80" zoomScaleNormal="80" workbookViewId="0"/>
  </sheetViews>
  <sheetFormatPr defaultColWidth="9" defaultRowHeight="13.15" x14ac:dyDescent="0.4"/>
  <cols>
    <col min="1" max="1" width="10.875" style="5" customWidth="1"/>
    <col min="2" max="2" width="11.5" style="5" customWidth="1"/>
    <col min="3" max="3" width="10.875" style="5" customWidth="1"/>
    <col min="4" max="4" width="16" style="10" customWidth="1"/>
    <col min="5" max="5" width="19.5" style="10" customWidth="1"/>
    <col min="6" max="6" width="15.625" style="10" customWidth="1"/>
    <col min="7" max="7" width="12" style="10" customWidth="1"/>
    <col min="8" max="8" width="11.5" style="10" customWidth="1"/>
    <col min="9" max="9" width="15" style="10" customWidth="1"/>
    <col min="10" max="10" width="13.125" style="10" customWidth="1"/>
    <col min="11" max="11" width="12" style="10" customWidth="1"/>
    <col min="12" max="12" width="13.625" style="10" customWidth="1"/>
    <col min="13" max="13" width="11.125" style="5" customWidth="1"/>
    <col min="14" max="14" width="12.125" style="5" customWidth="1"/>
    <col min="15" max="16384" width="9" style="5"/>
  </cols>
  <sheetData>
    <row r="1" spans="1:14" ht="15.75" x14ac:dyDescent="0.5">
      <c r="A1" s="15" t="s">
        <v>22</v>
      </c>
    </row>
    <row r="2" spans="1:14" x14ac:dyDescent="0.4">
      <c r="A2" s="16" t="s">
        <v>23</v>
      </c>
    </row>
    <row r="4" spans="1:14" x14ac:dyDescent="0.4">
      <c r="D4" s="17" t="s">
        <v>1</v>
      </c>
      <c r="E4" s="18"/>
      <c r="F4" s="18"/>
      <c r="G4" s="18"/>
      <c r="H4" s="19"/>
      <c r="I4" s="20"/>
      <c r="J4" s="58"/>
      <c r="K4" s="17" t="s">
        <v>24</v>
      </c>
      <c r="L4" s="18"/>
      <c r="M4" s="19"/>
      <c r="N4" s="20"/>
    </row>
    <row r="5" spans="1:14" x14ac:dyDescent="0.4">
      <c r="D5" s="10" t="s">
        <v>62</v>
      </c>
      <c r="E5" s="10" t="s">
        <v>63</v>
      </c>
      <c r="F5" s="10" t="s">
        <v>64</v>
      </c>
      <c r="G5" s="11"/>
      <c r="H5" s="11"/>
      <c r="I5" s="11"/>
      <c r="J5" s="11"/>
      <c r="K5" s="10" t="s">
        <v>67</v>
      </c>
      <c r="L5" s="10" t="s">
        <v>68</v>
      </c>
    </row>
    <row r="6" spans="1:14" s="63" customFormat="1" ht="63" customHeight="1" x14ac:dyDescent="0.35">
      <c r="A6" s="61" t="s">
        <v>251</v>
      </c>
      <c r="B6" s="61" t="s">
        <v>252</v>
      </c>
      <c r="C6" s="61" t="s">
        <v>253</v>
      </c>
      <c r="D6" s="60" t="s">
        <v>254</v>
      </c>
      <c r="E6" s="60" t="s">
        <v>255</v>
      </c>
      <c r="F6" s="60" t="s">
        <v>256</v>
      </c>
      <c r="G6" s="60" t="s">
        <v>257</v>
      </c>
      <c r="H6" s="60" t="s">
        <v>258</v>
      </c>
      <c r="I6" s="60" t="s">
        <v>259</v>
      </c>
      <c r="J6" s="60" t="s">
        <v>260</v>
      </c>
      <c r="K6" s="62" t="s">
        <v>261</v>
      </c>
      <c r="L6" s="62" t="s">
        <v>262</v>
      </c>
      <c r="M6" s="62" t="s">
        <v>249</v>
      </c>
      <c r="N6" s="62" t="s">
        <v>263</v>
      </c>
    </row>
    <row r="7" spans="1:14" s="63" customFormat="1" ht="63" customHeight="1" x14ac:dyDescent="0.35">
      <c r="A7" s="61" t="s">
        <v>21</v>
      </c>
      <c r="B7" s="61" t="s">
        <v>6</v>
      </c>
      <c r="C7" s="61" t="s">
        <v>7</v>
      </c>
      <c r="D7" s="60" t="s">
        <v>65</v>
      </c>
      <c r="E7" s="60" t="s">
        <v>66</v>
      </c>
      <c r="F7" s="60" t="s">
        <v>245</v>
      </c>
      <c r="G7" s="60" t="s">
        <v>216</v>
      </c>
      <c r="H7" s="60" t="s">
        <v>0</v>
      </c>
      <c r="I7" s="60" t="s">
        <v>240</v>
      </c>
      <c r="J7" s="60" t="s">
        <v>241</v>
      </c>
      <c r="K7" s="62" t="s">
        <v>218</v>
      </c>
      <c r="L7" s="62" t="s">
        <v>217</v>
      </c>
      <c r="M7" s="62" t="s">
        <v>25</v>
      </c>
      <c r="N7" s="62" t="s">
        <v>59</v>
      </c>
    </row>
    <row r="8" spans="1:14" x14ac:dyDescent="0.4">
      <c r="A8" s="13" t="s">
        <v>69</v>
      </c>
      <c r="B8" s="14" t="s">
        <v>8</v>
      </c>
      <c r="C8" s="14">
        <v>2012</v>
      </c>
      <c r="D8" s="64">
        <v>5.7176402064540941</v>
      </c>
      <c r="E8" s="64">
        <v>25.922279652390962</v>
      </c>
      <c r="F8" s="64">
        <v>4.4155561535526369</v>
      </c>
      <c r="G8" s="64">
        <f t="shared" ref="G8:G39" si="0">IF(SUM(D8:F8)=0,"",SUM(D8:F8))</f>
        <v>36.055476012397691</v>
      </c>
      <c r="H8" s="65"/>
      <c r="I8" s="65">
        <f t="shared" ref="I8:I39" si="1">IF(SUM(G8:H8)=0,"",SUM(G8:H8))</f>
        <v>36.055476012397691</v>
      </c>
      <c r="J8" s="66"/>
      <c r="K8" s="21">
        <v>20.356000000000002</v>
      </c>
      <c r="L8" s="21">
        <v>1.1890000000000001</v>
      </c>
      <c r="M8" s="21">
        <f t="shared" ref="M8:M39" si="2">IF(SUM(K8:L8)=0,"",SUM(K8:L8))</f>
        <v>21.545000000000002</v>
      </c>
      <c r="N8" s="57"/>
    </row>
    <row r="9" spans="1:14" x14ac:dyDescent="0.4">
      <c r="A9" s="13" t="s">
        <v>70</v>
      </c>
      <c r="B9" s="14" t="s">
        <v>8</v>
      </c>
      <c r="C9" s="14">
        <v>2013</v>
      </c>
      <c r="D9" s="64">
        <v>10.831187995018896</v>
      </c>
      <c r="E9" s="64">
        <v>20.35893676610425</v>
      </c>
      <c r="F9" s="64">
        <v>11.289569112567541</v>
      </c>
      <c r="G9" s="64">
        <f t="shared" si="0"/>
        <v>42.479693873690685</v>
      </c>
      <c r="H9" s="65"/>
      <c r="I9" s="65">
        <f t="shared" si="1"/>
        <v>42.479693873690685</v>
      </c>
      <c r="J9" s="66"/>
      <c r="K9" s="21">
        <v>17.63</v>
      </c>
      <c r="L9" s="21">
        <v>0.97599999999999998</v>
      </c>
      <c r="M9" s="21">
        <f t="shared" si="2"/>
        <v>18.605999999999998</v>
      </c>
      <c r="N9" s="57"/>
    </row>
    <row r="10" spans="1:14" x14ac:dyDescent="0.4">
      <c r="A10" s="13" t="s">
        <v>71</v>
      </c>
      <c r="B10" s="14" t="s">
        <v>8</v>
      </c>
      <c r="C10" s="14">
        <v>2014</v>
      </c>
      <c r="D10" s="64">
        <v>14.073236112361032</v>
      </c>
      <c r="E10" s="64">
        <v>23.177876593072128</v>
      </c>
      <c r="F10" s="64">
        <v>9.6613734053836371</v>
      </c>
      <c r="G10" s="64">
        <f t="shared" si="0"/>
        <v>46.912486110816793</v>
      </c>
      <c r="H10" s="65"/>
      <c r="I10" s="65">
        <f t="shared" si="1"/>
        <v>46.912486110816793</v>
      </c>
      <c r="J10" s="66">
        <f t="shared" ref="J10:J21" si="3">IF(OR(I8="",I9="",I10=""),"",AVERAGE(I8:I10))</f>
        <v>41.815885332301718</v>
      </c>
      <c r="K10" s="21">
        <v>18.649999999999999</v>
      </c>
      <c r="L10" s="21">
        <v>1.0149999999999999</v>
      </c>
      <c r="M10" s="21">
        <f t="shared" si="2"/>
        <v>19.664999999999999</v>
      </c>
      <c r="N10" s="57">
        <f t="shared" ref="N10:N21" si="4">IF(OR(M8="",M9="",M10=""),"",AVERAGE(M8:M10))</f>
        <v>19.938666666666666</v>
      </c>
    </row>
    <row r="11" spans="1:14" x14ac:dyDescent="0.4">
      <c r="A11" s="13" t="s">
        <v>72</v>
      </c>
      <c r="B11" s="14" t="s">
        <v>8</v>
      </c>
      <c r="C11" s="14">
        <v>2015</v>
      </c>
      <c r="D11" s="64">
        <v>15.340642093219675</v>
      </c>
      <c r="E11" s="64">
        <v>19.402122849350786</v>
      </c>
      <c r="F11" s="64">
        <v>13.85612951641399</v>
      </c>
      <c r="G11" s="64">
        <f t="shared" si="0"/>
        <v>48.598894458984446</v>
      </c>
      <c r="H11" s="65"/>
      <c r="I11" s="65">
        <f t="shared" si="1"/>
        <v>48.598894458984446</v>
      </c>
      <c r="J11" s="66">
        <f t="shared" si="3"/>
        <v>45.997024814497308</v>
      </c>
      <c r="K11" s="21">
        <v>22.923999999999999</v>
      </c>
      <c r="L11" s="21">
        <v>0.878</v>
      </c>
      <c r="M11" s="21">
        <f t="shared" si="2"/>
        <v>23.802</v>
      </c>
      <c r="N11" s="57">
        <f t="shared" si="4"/>
        <v>20.690999999999999</v>
      </c>
    </row>
    <row r="12" spans="1:14" x14ac:dyDescent="0.4">
      <c r="A12" s="13" t="s">
        <v>73</v>
      </c>
      <c r="B12" s="14" t="s">
        <v>8</v>
      </c>
      <c r="C12" s="14">
        <v>2016</v>
      </c>
      <c r="D12" s="64">
        <v>13.616773042652994</v>
      </c>
      <c r="E12" s="64">
        <v>2.5609732508145417</v>
      </c>
      <c r="F12" s="64">
        <v>3.5149028684742092</v>
      </c>
      <c r="G12" s="64">
        <f t="shared" si="0"/>
        <v>19.692649161941745</v>
      </c>
      <c r="H12" s="65"/>
      <c r="I12" s="65">
        <f t="shared" si="1"/>
        <v>19.692649161941745</v>
      </c>
      <c r="J12" s="66">
        <f t="shared" si="3"/>
        <v>38.401343243914333</v>
      </c>
      <c r="K12" s="21">
        <v>22.324999999999999</v>
      </c>
      <c r="L12" s="21">
        <v>1.0369999999999999</v>
      </c>
      <c r="M12" s="21">
        <f t="shared" si="2"/>
        <v>23.361999999999998</v>
      </c>
      <c r="N12" s="57">
        <f t="shared" si="4"/>
        <v>22.27633333333333</v>
      </c>
    </row>
    <row r="13" spans="1:14" x14ac:dyDescent="0.4">
      <c r="A13" s="13" t="s">
        <v>74</v>
      </c>
      <c r="B13" s="14" t="s">
        <v>8</v>
      </c>
      <c r="C13" s="14">
        <v>2017</v>
      </c>
      <c r="D13" s="64">
        <v>24.981287524111824</v>
      </c>
      <c r="E13" s="64">
        <v>5.6306320229247602</v>
      </c>
      <c r="F13" s="64">
        <v>3.8856050541471805</v>
      </c>
      <c r="G13" s="64">
        <f t="shared" si="0"/>
        <v>34.497524601183763</v>
      </c>
      <c r="H13" s="65"/>
      <c r="I13" s="65">
        <f t="shared" si="1"/>
        <v>34.497524601183763</v>
      </c>
      <c r="J13" s="66">
        <f t="shared" si="3"/>
        <v>34.26302274070332</v>
      </c>
      <c r="K13" s="21">
        <v>24.545999999999999</v>
      </c>
      <c r="L13" s="21">
        <v>0.97299999999999998</v>
      </c>
      <c r="M13" s="21">
        <f t="shared" si="2"/>
        <v>25.518999999999998</v>
      </c>
      <c r="N13" s="57">
        <f t="shared" si="4"/>
        <v>24.227666666666664</v>
      </c>
    </row>
    <row r="14" spans="1:14" x14ac:dyDescent="0.4">
      <c r="A14" s="13" t="s">
        <v>75</v>
      </c>
      <c r="B14" s="14" t="s">
        <v>8</v>
      </c>
      <c r="C14" s="14">
        <v>2018</v>
      </c>
      <c r="D14" s="64">
        <v>27.146760399226402</v>
      </c>
      <c r="E14" s="64">
        <v>16.221600976746199</v>
      </c>
      <c r="F14" s="64">
        <v>9.1174496965715299</v>
      </c>
      <c r="G14" s="64">
        <f t="shared" si="0"/>
        <v>52.485811072544124</v>
      </c>
      <c r="H14" s="65"/>
      <c r="I14" s="65">
        <f t="shared" si="1"/>
        <v>52.485811072544124</v>
      </c>
      <c r="J14" s="66">
        <f t="shared" si="3"/>
        <v>35.558661611889875</v>
      </c>
      <c r="K14" s="21">
        <v>26.712</v>
      </c>
      <c r="L14" s="21">
        <v>0.83099999999999996</v>
      </c>
      <c r="M14" s="21">
        <f t="shared" si="2"/>
        <v>27.542999999999999</v>
      </c>
      <c r="N14" s="57">
        <f t="shared" si="4"/>
        <v>25.474666666666668</v>
      </c>
    </row>
    <row r="15" spans="1:14" x14ac:dyDescent="0.4">
      <c r="A15" s="13" t="s">
        <v>76</v>
      </c>
      <c r="B15" s="14" t="s">
        <v>8</v>
      </c>
      <c r="C15" s="14">
        <v>2019</v>
      </c>
      <c r="D15" s="64">
        <v>17.128036405085254</v>
      </c>
      <c r="E15" s="64">
        <v>25.071670387486716</v>
      </c>
      <c r="F15" s="64">
        <v>8.2366591609899213</v>
      </c>
      <c r="G15" s="64">
        <f t="shared" si="0"/>
        <v>50.436365953561896</v>
      </c>
      <c r="H15" s="65"/>
      <c r="I15" s="65">
        <f t="shared" si="1"/>
        <v>50.436365953561896</v>
      </c>
      <c r="J15" s="66">
        <f t="shared" si="3"/>
        <v>45.806567209096592</v>
      </c>
      <c r="K15" s="21">
        <v>28.086999999999499</v>
      </c>
      <c r="L15" s="21">
        <v>0.95166666666666699</v>
      </c>
      <c r="M15" s="21">
        <f t="shared" si="2"/>
        <v>29.038666666666167</v>
      </c>
      <c r="N15" s="57">
        <f t="shared" si="4"/>
        <v>27.366888888888724</v>
      </c>
    </row>
    <row r="16" spans="1:14" x14ac:dyDescent="0.4">
      <c r="A16" s="13" t="s">
        <v>77</v>
      </c>
      <c r="B16" s="14" t="s">
        <v>8</v>
      </c>
      <c r="C16" s="14">
        <v>2020</v>
      </c>
      <c r="D16" s="64">
        <v>34.539792052355516</v>
      </c>
      <c r="E16" s="64">
        <v>23.730194265101996</v>
      </c>
      <c r="F16" s="64">
        <v>12.647443439606544</v>
      </c>
      <c r="G16" s="64">
        <f t="shared" si="0"/>
        <v>70.917429757064056</v>
      </c>
      <c r="H16" s="65"/>
      <c r="I16" s="65">
        <f t="shared" si="1"/>
        <v>70.917429757064056</v>
      </c>
      <c r="J16" s="66">
        <f t="shared" si="3"/>
        <v>57.946535594390035</v>
      </c>
      <c r="K16" s="21">
        <v>27.920875394353502</v>
      </c>
      <c r="L16" s="21">
        <v>0.94761111111111096</v>
      </c>
      <c r="M16" s="21">
        <f t="shared" si="2"/>
        <v>28.868486505464613</v>
      </c>
      <c r="N16" s="57">
        <f t="shared" si="4"/>
        <v>28.48338439071026</v>
      </c>
    </row>
    <row r="17" spans="1:14" x14ac:dyDescent="0.4">
      <c r="A17" s="13" t="s">
        <v>78</v>
      </c>
      <c r="B17" s="14" t="s">
        <v>8</v>
      </c>
      <c r="C17" s="14">
        <v>2021</v>
      </c>
      <c r="D17" s="64">
        <v>37.500684228408403</v>
      </c>
      <c r="E17" s="64">
        <v>10.137358795959599</v>
      </c>
      <c r="F17" s="64">
        <v>9.0663681220624497</v>
      </c>
      <c r="G17" s="64">
        <f t="shared" si="0"/>
        <v>56.704411146430452</v>
      </c>
      <c r="H17" s="65">
        <v>0</v>
      </c>
      <c r="I17" s="65">
        <f t="shared" si="1"/>
        <v>56.704411146430452</v>
      </c>
      <c r="J17" s="66">
        <f t="shared" si="3"/>
        <v>59.352735619018802</v>
      </c>
      <c r="K17" s="21">
        <v>38.258393938480403</v>
      </c>
      <c r="L17" s="21">
        <v>0.93637962962962995</v>
      </c>
      <c r="M17" s="21">
        <f t="shared" si="2"/>
        <v>39.19477356811003</v>
      </c>
      <c r="N17" s="57">
        <f t="shared" si="4"/>
        <v>32.367308913413602</v>
      </c>
    </row>
    <row r="18" spans="1:14" x14ac:dyDescent="0.4">
      <c r="A18" s="13" t="s">
        <v>79</v>
      </c>
      <c r="B18" s="14" t="s">
        <v>8</v>
      </c>
      <c r="C18" s="14">
        <v>2022</v>
      </c>
      <c r="D18" s="64">
        <v>46.412242694416598</v>
      </c>
      <c r="E18" s="64">
        <v>46.1469061623852</v>
      </c>
      <c r="F18" s="64">
        <v>10.175815915048799</v>
      </c>
      <c r="G18" s="64">
        <f t="shared" si="0"/>
        <v>102.7349647718506</v>
      </c>
      <c r="H18" s="65">
        <v>0</v>
      </c>
      <c r="I18" s="65">
        <f t="shared" si="1"/>
        <v>102.7349647718506</v>
      </c>
      <c r="J18" s="66">
        <f t="shared" si="3"/>
        <v>76.785601891781695</v>
      </c>
      <c r="K18" s="21">
        <v>42.179663973420197</v>
      </c>
      <c r="L18" s="21">
        <v>0.94610956790123402</v>
      </c>
      <c r="M18" s="21">
        <f t="shared" si="2"/>
        <v>43.125773541321429</v>
      </c>
      <c r="N18" s="57">
        <f t="shared" si="4"/>
        <v>37.063011204965356</v>
      </c>
    </row>
    <row r="19" spans="1:14" x14ac:dyDescent="0.4">
      <c r="A19" s="13" t="s">
        <v>80</v>
      </c>
      <c r="B19" s="14" t="s">
        <v>8</v>
      </c>
      <c r="C19" s="14">
        <v>2023</v>
      </c>
      <c r="D19" s="64">
        <v>45.341697929135798</v>
      </c>
      <c r="E19" s="64">
        <v>33.508981265931403</v>
      </c>
      <c r="F19" s="64">
        <v>10.530304122900001</v>
      </c>
      <c r="G19" s="64">
        <f t="shared" si="0"/>
        <v>89.380983317967207</v>
      </c>
      <c r="H19" s="65">
        <v>0</v>
      </c>
      <c r="I19" s="65">
        <f t="shared" si="1"/>
        <v>89.380983317967207</v>
      </c>
      <c r="J19" s="66">
        <f t="shared" si="3"/>
        <v>82.940119745416084</v>
      </c>
      <c r="K19" s="21">
        <v>43.284504984516801</v>
      </c>
      <c r="L19" s="21">
        <v>0.93096116255144001</v>
      </c>
      <c r="M19" s="21">
        <f t="shared" si="2"/>
        <v>44.215466147068241</v>
      </c>
      <c r="N19" s="57">
        <f t="shared" si="4"/>
        <v>42.1786710854999</v>
      </c>
    </row>
    <row r="20" spans="1:14" x14ac:dyDescent="0.4">
      <c r="A20" s="13" t="s">
        <v>81</v>
      </c>
      <c r="B20" s="14" t="s">
        <v>8</v>
      </c>
      <c r="C20" s="14">
        <v>2024</v>
      </c>
      <c r="D20" s="64">
        <v>55.516029049683603</v>
      </c>
      <c r="E20" s="64">
        <v>53.823291012054099</v>
      </c>
      <c r="F20" s="64">
        <v>10.6440833493187</v>
      </c>
      <c r="G20" s="64">
        <f t="shared" si="0"/>
        <v>119.98340341105641</v>
      </c>
      <c r="H20" s="65">
        <v>0</v>
      </c>
      <c r="I20" s="65">
        <f t="shared" si="1"/>
        <v>119.98340341105641</v>
      </c>
      <c r="J20" s="66">
        <f t="shared" si="3"/>
        <v>104.03311716695806</v>
      </c>
      <c r="K20" s="21">
        <v>42.955054777273702</v>
      </c>
      <c r="L20" s="21">
        <v>0.92395468964334704</v>
      </c>
      <c r="M20" s="21">
        <f t="shared" si="2"/>
        <v>43.879009466917047</v>
      </c>
      <c r="N20" s="57">
        <f t="shared" si="4"/>
        <v>43.740083051768899</v>
      </c>
    </row>
    <row r="21" spans="1:14" x14ac:dyDescent="0.4">
      <c r="A21" s="13" t="s">
        <v>82</v>
      </c>
      <c r="B21" s="14" t="s">
        <v>8</v>
      </c>
      <c r="C21" s="14">
        <v>2025</v>
      </c>
      <c r="D21" s="64">
        <v>76.153290550929</v>
      </c>
      <c r="E21" s="64">
        <v>20.206083978653499</v>
      </c>
      <c r="F21" s="64">
        <v>9.4470635066429391</v>
      </c>
      <c r="G21" s="64">
        <f t="shared" si="0"/>
        <v>105.80643803622543</v>
      </c>
      <c r="H21" s="65">
        <v>0</v>
      </c>
      <c r="I21" s="65">
        <f t="shared" si="1"/>
        <v>105.80643803622543</v>
      </c>
      <c r="J21" s="66">
        <f t="shared" si="3"/>
        <v>105.05694158841635</v>
      </c>
      <c r="K21" s="21">
        <v>40.454029125558499</v>
      </c>
      <c r="L21" s="21">
        <v>0.939447137917238</v>
      </c>
      <c r="M21" s="21">
        <f t="shared" si="2"/>
        <v>41.393476263475733</v>
      </c>
      <c r="N21" s="57">
        <f t="shared" si="4"/>
        <v>43.162650625820334</v>
      </c>
    </row>
    <row r="22" spans="1:14" x14ac:dyDescent="0.4">
      <c r="A22" s="13" t="s">
        <v>90</v>
      </c>
      <c r="B22" s="14" t="s">
        <v>9</v>
      </c>
      <c r="C22" s="14">
        <v>2012</v>
      </c>
      <c r="D22" s="64">
        <v>0.99234673500044146</v>
      </c>
      <c r="E22" s="64">
        <v>4.6810476274631068</v>
      </c>
      <c r="F22" s="64">
        <v>25.792174604577177</v>
      </c>
      <c r="G22" s="64">
        <f t="shared" si="0"/>
        <v>31.465568967040724</v>
      </c>
      <c r="H22" s="65"/>
      <c r="I22" s="65">
        <f t="shared" si="1"/>
        <v>31.465568967040724</v>
      </c>
      <c r="J22" s="66"/>
      <c r="K22" s="21">
        <v>5.2679999999999998</v>
      </c>
      <c r="L22" s="21">
        <v>0.44700000000000001</v>
      </c>
      <c r="M22" s="21">
        <f t="shared" si="2"/>
        <v>5.7149999999999999</v>
      </c>
      <c r="N22" s="57"/>
    </row>
    <row r="23" spans="1:14" x14ac:dyDescent="0.4">
      <c r="A23" s="13" t="s">
        <v>91</v>
      </c>
      <c r="B23" s="14" t="s">
        <v>9</v>
      </c>
      <c r="C23" s="14">
        <v>2013</v>
      </c>
      <c r="D23" s="64">
        <v>1.1275901639344261</v>
      </c>
      <c r="E23" s="64">
        <v>2.0350574633304572</v>
      </c>
      <c r="F23" s="64">
        <v>18.879851768766176</v>
      </c>
      <c r="G23" s="64">
        <f t="shared" si="0"/>
        <v>22.042499396031062</v>
      </c>
      <c r="H23" s="65"/>
      <c r="I23" s="65">
        <f t="shared" si="1"/>
        <v>22.042499396031062</v>
      </c>
      <c r="J23" s="66"/>
      <c r="K23" s="21">
        <v>5.0709999999999997</v>
      </c>
      <c r="L23" s="21">
        <v>0.59099999999999997</v>
      </c>
      <c r="M23" s="21">
        <f t="shared" si="2"/>
        <v>5.6619999999999999</v>
      </c>
      <c r="N23" s="57"/>
    </row>
    <row r="24" spans="1:14" x14ac:dyDescent="0.4">
      <c r="A24" s="13" t="s">
        <v>92</v>
      </c>
      <c r="B24" s="14" t="s">
        <v>9</v>
      </c>
      <c r="C24" s="14">
        <v>2014</v>
      </c>
      <c r="D24" s="64">
        <v>0.8688245436105474</v>
      </c>
      <c r="E24" s="64">
        <v>1.9162760311020954</v>
      </c>
      <c r="F24" s="64">
        <v>28.943906693711959</v>
      </c>
      <c r="G24" s="64">
        <f t="shared" si="0"/>
        <v>31.729007268424603</v>
      </c>
      <c r="H24" s="65"/>
      <c r="I24" s="65">
        <f t="shared" si="1"/>
        <v>31.729007268424603</v>
      </c>
      <c r="J24" s="66">
        <f t="shared" ref="J24:J35" si="5">IF(OR(I22="",I23="",I24=""),"",AVERAGE(I22:I24))</f>
        <v>28.412358543832131</v>
      </c>
      <c r="K24" s="21">
        <v>6.0919999999999996</v>
      </c>
      <c r="L24" s="21">
        <v>0.47799999999999998</v>
      </c>
      <c r="M24" s="21">
        <f t="shared" si="2"/>
        <v>6.5699999999999994</v>
      </c>
      <c r="N24" s="57">
        <f t="shared" ref="N24:N35" si="6">IF(OR(M22="",M23="",M24=""),"",AVERAGE(M22:M24))</f>
        <v>5.9823333333333331</v>
      </c>
    </row>
    <row r="25" spans="1:14" x14ac:dyDescent="0.4">
      <c r="A25" s="13" t="s">
        <v>93</v>
      </c>
      <c r="B25" s="14" t="s">
        <v>9</v>
      </c>
      <c r="C25" s="14">
        <v>2015</v>
      </c>
      <c r="D25" s="64">
        <v>3.1675178407286713</v>
      </c>
      <c r="E25" s="64">
        <v>1.9030188017046881</v>
      </c>
      <c r="F25" s="64">
        <v>66.658955126598158</v>
      </c>
      <c r="G25" s="64">
        <f t="shared" si="0"/>
        <v>71.729491769031512</v>
      </c>
      <c r="H25" s="65"/>
      <c r="I25" s="65">
        <f t="shared" si="1"/>
        <v>71.729491769031512</v>
      </c>
      <c r="J25" s="66">
        <f t="shared" si="5"/>
        <v>41.83366614449573</v>
      </c>
      <c r="K25" s="21">
        <v>7.9530000000000003</v>
      </c>
      <c r="L25" s="21">
        <v>0.46100000000000002</v>
      </c>
      <c r="M25" s="21">
        <f t="shared" si="2"/>
        <v>8.4139999999999997</v>
      </c>
      <c r="N25" s="57">
        <f t="shared" si="6"/>
        <v>6.8820000000000006</v>
      </c>
    </row>
    <row r="26" spans="1:14" x14ac:dyDescent="0.4">
      <c r="A26" s="13" t="s">
        <v>94</v>
      </c>
      <c r="B26" s="14" t="s">
        <v>9</v>
      </c>
      <c r="C26" s="14">
        <v>2016</v>
      </c>
      <c r="D26" s="64">
        <v>1.8436465890183025</v>
      </c>
      <c r="E26" s="64">
        <v>5.5902444259567377</v>
      </c>
      <c r="F26" s="64">
        <v>19.048240266222958</v>
      </c>
      <c r="G26" s="64">
        <f t="shared" si="0"/>
        <v>26.482131281197997</v>
      </c>
      <c r="H26" s="65"/>
      <c r="I26" s="65">
        <f t="shared" si="1"/>
        <v>26.482131281197997</v>
      </c>
      <c r="J26" s="66">
        <f t="shared" si="5"/>
        <v>43.313543439551374</v>
      </c>
      <c r="K26" s="21">
        <v>7.3</v>
      </c>
      <c r="L26" s="21">
        <v>0.45700000000000002</v>
      </c>
      <c r="M26" s="21">
        <f t="shared" si="2"/>
        <v>7.7569999999999997</v>
      </c>
      <c r="N26" s="57">
        <f t="shared" si="6"/>
        <v>7.5803333333333329</v>
      </c>
    </row>
    <row r="27" spans="1:14" x14ac:dyDescent="0.4">
      <c r="A27" s="13" t="s">
        <v>95</v>
      </c>
      <c r="B27" s="14" t="s">
        <v>9</v>
      </c>
      <c r="C27" s="14">
        <v>2017</v>
      </c>
      <c r="D27" s="64">
        <v>2.639756421830119</v>
      </c>
      <c r="E27" s="64">
        <v>2.1368479277800572</v>
      </c>
      <c r="F27" s="64">
        <v>8.7855034878949532</v>
      </c>
      <c r="G27" s="64">
        <f t="shared" si="0"/>
        <v>13.562107837505129</v>
      </c>
      <c r="H27" s="65"/>
      <c r="I27" s="65">
        <f t="shared" si="1"/>
        <v>13.562107837505129</v>
      </c>
      <c r="J27" s="66">
        <f t="shared" si="5"/>
        <v>37.257910295911543</v>
      </c>
      <c r="K27" s="21">
        <v>8.31</v>
      </c>
      <c r="L27" s="21">
        <v>0.59899999999999998</v>
      </c>
      <c r="M27" s="21">
        <f t="shared" si="2"/>
        <v>8.9090000000000007</v>
      </c>
      <c r="N27" s="57">
        <f t="shared" si="6"/>
        <v>8.36</v>
      </c>
    </row>
    <row r="28" spans="1:14" x14ac:dyDescent="0.4">
      <c r="A28" s="13" t="s">
        <v>96</v>
      </c>
      <c r="B28" s="14" t="s">
        <v>9</v>
      </c>
      <c r="C28" s="14">
        <v>2018</v>
      </c>
      <c r="D28" s="64">
        <v>2.7480000000000002</v>
      </c>
      <c r="E28" s="64">
        <v>1.37</v>
      </c>
      <c r="F28" s="64">
        <v>6.2229999999999999</v>
      </c>
      <c r="G28" s="64">
        <f t="shared" si="0"/>
        <v>10.341000000000001</v>
      </c>
      <c r="H28" s="65"/>
      <c r="I28" s="65">
        <f t="shared" si="1"/>
        <v>10.341000000000001</v>
      </c>
      <c r="J28" s="66">
        <f t="shared" si="5"/>
        <v>16.795079706234375</v>
      </c>
      <c r="K28" s="21">
        <v>8.75</v>
      </c>
      <c r="L28" s="21">
        <v>0.377</v>
      </c>
      <c r="M28" s="21">
        <f t="shared" si="2"/>
        <v>9.1270000000000007</v>
      </c>
      <c r="N28" s="57">
        <f t="shared" si="6"/>
        <v>8.597666666666667</v>
      </c>
    </row>
    <row r="29" spans="1:14" x14ac:dyDescent="0.4">
      <c r="A29" s="13" t="s">
        <v>97</v>
      </c>
      <c r="B29" s="14" t="s">
        <v>9</v>
      </c>
      <c r="C29" s="14">
        <v>2019</v>
      </c>
      <c r="D29" s="64">
        <v>0.71905091649694952</v>
      </c>
      <c r="E29" s="64">
        <v>0.25568431771894257</v>
      </c>
      <c r="F29" s="64">
        <v>10.037323828920634</v>
      </c>
      <c r="G29" s="64">
        <f t="shared" si="0"/>
        <v>11.012059063136526</v>
      </c>
      <c r="H29" s="65"/>
      <c r="I29" s="65">
        <f t="shared" si="1"/>
        <v>11.012059063136526</v>
      </c>
      <c r="J29" s="66">
        <f t="shared" si="5"/>
        <v>11.638388966880553</v>
      </c>
      <c r="K29" s="21">
        <v>8.7710000000000008</v>
      </c>
      <c r="L29" s="21">
        <v>0.26</v>
      </c>
      <c r="M29" s="21">
        <f t="shared" si="2"/>
        <v>9.0310000000000006</v>
      </c>
      <c r="N29" s="57">
        <f t="shared" si="6"/>
        <v>9.022333333333334</v>
      </c>
    </row>
    <row r="30" spans="1:14" x14ac:dyDescent="0.4">
      <c r="A30" s="13" t="s">
        <v>98</v>
      </c>
      <c r="B30" s="14" t="s">
        <v>9</v>
      </c>
      <c r="C30" s="14">
        <v>2020</v>
      </c>
      <c r="D30" s="64">
        <v>0.91551835919496649</v>
      </c>
      <c r="E30" s="64">
        <v>3.5304616684590786</v>
      </c>
      <c r="F30" s="64">
        <v>14.906713934552251</v>
      </c>
      <c r="G30" s="64">
        <f t="shared" si="0"/>
        <v>19.352693962206295</v>
      </c>
      <c r="H30" s="65"/>
      <c r="I30" s="65">
        <f t="shared" si="1"/>
        <v>19.352693962206295</v>
      </c>
      <c r="J30" s="66">
        <f t="shared" si="5"/>
        <v>13.568584341780941</v>
      </c>
      <c r="K30" s="21">
        <v>8.9260000000000002</v>
      </c>
      <c r="L30" s="21">
        <v>0.26</v>
      </c>
      <c r="M30" s="21">
        <f t="shared" si="2"/>
        <v>9.1859999999999999</v>
      </c>
      <c r="N30" s="57">
        <f t="shared" si="6"/>
        <v>9.1146666666666665</v>
      </c>
    </row>
    <row r="31" spans="1:14" x14ac:dyDescent="0.4">
      <c r="A31" s="13" t="s">
        <v>99</v>
      </c>
      <c r="B31" s="14" t="s">
        <v>9</v>
      </c>
      <c r="C31" s="14">
        <v>2021</v>
      </c>
      <c r="D31" s="64">
        <v>1.99</v>
      </c>
      <c r="E31" s="64">
        <v>3.278</v>
      </c>
      <c r="F31" s="64">
        <v>0</v>
      </c>
      <c r="G31" s="64">
        <f t="shared" si="0"/>
        <v>5.2679999999999998</v>
      </c>
      <c r="H31" s="65">
        <v>26.885000000000002</v>
      </c>
      <c r="I31" s="65">
        <f t="shared" si="1"/>
        <v>32.152999999999999</v>
      </c>
      <c r="J31" s="66">
        <f t="shared" si="5"/>
        <v>20.839251008447608</v>
      </c>
      <c r="K31" s="21">
        <v>9.4390000000000001</v>
      </c>
      <c r="L31" s="21">
        <v>0.26</v>
      </c>
      <c r="M31" s="21">
        <f t="shared" si="2"/>
        <v>9.6989999999999998</v>
      </c>
      <c r="N31" s="57">
        <f t="shared" si="6"/>
        <v>9.3053333333333317</v>
      </c>
    </row>
    <row r="32" spans="1:14" x14ac:dyDescent="0.4">
      <c r="A32" s="13" t="s">
        <v>100</v>
      </c>
      <c r="B32" s="14" t="s">
        <v>9</v>
      </c>
      <c r="C32" s="14">
        <v>2022</v>
      </c>
      <c r="D32" s="64">
        <v>3.5910000000000002</v>
      </c>
      <c r="E32" s="64">
        <v>1.5780000000000001</v>
      </c>
      <c r="F32" s="64">
        <v>0</v>
      </c>
      <c r="G32" s="64">
        <f t="shared" si="0"/>
        <v>5.1690000000000005</v>
      </c>
      <c r="H32" s="65">
        <v>26.885000000000002</v>
      </c>
      <c r="I32" s="65">
        <f t="shared" si="1"/>
        <v>32.054000000000002</v>
      </c>
      <c r="J32" s="66">
        <f t="shared" si="5"/>
        <v>27.853231320735432</v>
      </c>
      <c r="K32" s="21">
        <v>10.007999999999999</v>
      </c>
      <c r="L32" s="21">
        <v>0.26</v>
      </c>
      <c r="M32" s="21">
        <f t="shared" si="2"/>
        <v>10.267999999999999</v>
      </c>
      <c r="N32" s="57">
        <f t="shared" si="6"/>
        <v>9.7176666666666662</v>
      </c>
    </row>
    <row r="33" spans="1:14" x14ac:dyDescent="0.4">
      <c r="A33" s="13" t="s">
        <v>101</v>
      </c>
      <c r="B33" s="14" t="s">
        <v>9</v>
      </c>
      <c r="C33" s="14">
        <v>2023</v>
      </c>
      <c r="D33" s="64">
        <v>3.2869999999999999</v>
      </c>
      <c r="E33" s="64">
        <v>11.98</v>
      </c>
      <c r="F33" s="64">
        <v>0</v>
      </c>
      <c r="G33" s="64">
        <f t="shared" si="0"/>
        <v>15.266999999999999</v>
      </c>
      <c r="H33" s="65">
        <v>26.885000000000002</v>
      </c>
      <c r="I33" s="65">
        <f t="shared" si="1"/>
        <v>42.152000000000001</v>
      </c>
      <c r="J33" s="66">
        <f t="shared" si="5"/>
        <v>35.452999999999996</v>
      </c>
      <c r="K33" s="21">
        <v>9.9250000000000007</v>
      </c>
      <c r="L33" s="21">
        <v>0.26</v>
      </c>
      <c r="M33" s="21">
        <f t="shared" si="2"/>
        <v>10.185</v>
      </c>
      <c r="N33" s="57">
        <f t="shared" si="6"/>
        <v>10.050666666666666</v>
      </c>
    </row>
    <row r="34" spans="1:14" x14ac:dyDescent="0.4">
      <c r="A34" s="13" t="s">
        <v>102</v>
      </c>
      <c r="B34" s="14" t="s">
        <v>9</v>
      </c>
      <c r="C34" s="14">
        <v>2024</v>
      </c>
      <c r="D34" s="64">
        <v>3.8319999999999999</v>
      </c>
      <c r="E34" s="64">
        <v>52.374000000000002</v>
      </c>
      <c r="F34" s="64">
        <v>0</v>
      </c>
      <c r="G34" s="64">
        <f t="shared" si="0"/>
        <v>56.206000000000003</v>
      </c>
      <c r="H34" s="65">
        <v>26.885000000000002</v>
      </c>
      <c r="I34" s="65">
        <f t="shared" si="1"/>
        <v>83.091000000000008</v>
      </c>
      <c r="J34" s="66">
        <f t="shared" si="5"/>
        <v>52.432333333333339</v>
      </c>
      <c r="K34" s="21">
        <v>9.5299999999999994</v>
      </c>
      <c r="L34" s="21">
        <v>0.26</v>
      </c>
      <c r="M34" s="21">
        <f t="shared" si="2"/>
        <v>9.7899999999999991</v>
      </c>
      <c r="N34" s="57">
        <f t="shared" si="6"/>
        <v>10.081</v>
      </c>
    </row>
    <row r="35" spans="1:14" x14ac:dyDescent="0.4">
      <c r="A35" s="13" t="s">
        <v>103</v>
      </c>
      <c r="B35" s="14" t="s">
        <v>9</v>
      </c>
      <c r="C35" s="14">
        <v>2025</v>
      </c>
      <c r="D35" s="64">
        <v>2.9889999999999999</v>
      </c>
      <c r="E35" s="64">
        <v>25.234000000000002</v>
      </c>
      <c r="F35" s="64">
        <v>0</v>
      </c>
      <c r="G35" s="64">
        <f t="shared" si="0"/>
        <v>28.223000000000003</v>
      </c>
      <c r="H35" s="65">
        <v>26.885000000000002</v>
      </c>
      <c r="I35" s="65">
        <f t="shared" si="1"/>
        <v>55.108000000000004</v>
      </c>
      <c r="J35" s="66">
        <f t="shared" si="5"/>
        <v>60.116999999999997</v>
      </c>
      <c r="K35" s="21">
        <v>9.3409999999999993</v>
      </c>
      <c r="L35" s="21">
        <v>0.26</v>
      </c>
      <c r="M35" s="21">
        <f t="shared" si="2"/>
        <v>9.6009999999999991</v>
      </c>
      <c r="N35" s="57">
        <f t="shared" si="6"/>
        <v>9.8586666666666662</v>
      </c>
    </row>
    <row r="36" spans="1:14" x14ac:dyDescent="0.4">
      <c r="A36" s="13" t="s">
        <v>104</v>
      </c>
      <c r="B36" s="14" t="s">
        <v>10</v>
      </c>
      <c r="C36" s="14">
        <v>2012</v>
      </c>
      <c r="D36" s="64">
        <v>8.8758674560395843</v>
      </c>
      <c r="E36" s="64">
        <v>7.08099164289216</v>
      </c>
      <c r="F36" s="64">
        <v>21.9927429439999</v>
      </c>
      <c r="G36" s="64">
        <f t="shared" si="0"/>
        <v>37.949602042931645</v>
      </c>
      <c r="H36" s="65"/>
      <c r="I36" s="65">
        <f t="shared" si="1"/>
        <v>37.949602042931645</v>
      </c>
      <c r="J36" s="66"/>
      <c r="K36" s="21">
        <v>11.579000000000001</v>
      </c>
      <c r="L36" s="21">
        <v>0.73699999999999999</v>
      </c>
      <c r="M36" s="21">
        <f t="shared" si="2"/>
        <v>12.316000000000001</v>
      </c>
      <c r="N36" s="57"/>
    </row>
    <row r="37" spans="1:14" x14ac:dyDescent="0.4">
      <c r="A37" s="13" t="s">
        <v>105</v>
      </c>
      <c r="B37" s="14" t="s">
        <v>10</v>
      </c>
      <c r="C37" s="14">
        <v>2013</v>
      </c>
      <c r="D37" s="64">
        <v>2.0156348576358933</v>
      </c>
      <c r="E37" s="64">
        <v>6.8917879206212245</v>
      </c>
      <c r="F37" s="64">
        <v>26.685300787830119</v>
      </c>
      <c r="G37" s="64">
        <f t="shared" si="0"/>
        <v>35.592723566087237</v>
      </c>
      <c r="H37" s="65"/>
      <c r="I37" s="65">
        <f t="shared" si="1"/>
        <v>35.592723566087237</v>
      </c>
      <c r="J37" s="66"/>
      <c r="K37" s="21">
        <v>11.412000000000001</v>
      </c>
      <c r="L37" s="21">
        <v>0.71</v>
      </c>
      <c r="M37" s="21">
        <f t="shared" si="2"/>
        <v>12.122</v>
      </c>
      <c r="N37" s="57"/>
    </row>
    <row r="38" spans="1:14" x14ac:dyDescent="0.4">
      <c r="A38" s="13" t="s">
        <v>106</v>
      </c>
      <c r="B38" s="14" t="s">
        <v>10</v>
      </c>
      <c r="C38" s="14">
        <v>2014</v>
      </c>
      <c r="D38" s="64">
        <v>4.8759521306158531</v>
      </c>
      <c r="E38" s="64">
        <v>10.53741634114505</v>
      </c>
      <c r="F38" s="64">
        <v>30.298941051672195</v>
      </c>
      <c r="G38" s="64">
        <f t="shared" si="0"/>
        <v>45.712309523433099</v>
      </c>
      <c r="H38" s="65"/>
      <c r="I38" s="65">
        <f t="shared" si="1"/>
        <v>45.712309523433099</v>
      </c>
      <c r="J38" s="66">
        <f t="shared" ref="J38:J49" si="7">IF(OR(I36="",I37="",I38=""),"",AVERAGE(I36:I38))</f>
        <v>39.751545044150667</v>
      </c>
      <c r="K38" s="21">
        <v>12.364000000000001</v>
      </c>
      <c r="L38" s="21">
        <v>0.65100000000000002</v>
      </c>
      <c r="M38" s="21">
        <f t="shared" si="2"/>
        <v>13.015000000000001</v>
      </c>
      <c r="N38" s="57">
        <f t="shared" ref="N38:N49" si="8">IF(OR(M36="",M37="",M38=""),"",AVERAGE(M36:M38))</f>
        <v>12.484333333333334</v>
      </c>
    </row>
    <row r="39" spans="1:14" x14ac:dyDescent="0.4">
      <c r="A39" s="13" t="s">
        <v>107</v>
      </c>
      <c r="B39" s="14" t="s">
        <v>10</v>
      </c>
      <c r="C39" s="14">
        <v>2015</v>
      </c>
      <c r="D39" s="64">
        <v>8.41160039353319</v>
      </c>
      <c r="E39" s="64">
        <v>24.775664018707705</v>
      </c>
      <c r="F39" s="64">
        <v>21.877513476249089</v>
      </c>
      <c r="G39" s="64">
        <f t="shared" si="0"/>
        <v>55.064777888489985</v>
      </c>
      <c r="H39" s="65"/>
      <c r="I39" s="65">
        <f t="shared" si="1"/>
        <v>55.064777888489985</v>
      </c>
      <c r="J39" s="66">
        <f t="shared" si="7"/>
        <v>45.456603659336771</v>
      </c>
      <c r="K39" s="21">
        <v>15.038</v>
      </c>
      <c r="L39" s="21">
        <v>0.67200000000000004</v>
      </c>
      <c r="M39" s="21">
        <f t="shared" si="2"/>
        <v>15.71</v>
      </c>
      <c r="N39" s="57">
        <f t="shared" si="8"/>
        <v>13.615666666666668</v>
      </c>
    </row>
    <row r="40" spans="1:14" x14ac:dyDescent="0.4">
      <c r="A40" s="13" t="s">
        <v>108</v>
      </c>
      <c r="B40" s="14" t="s">
        <v>10</v>
      </c>
      <c r="C40" s="14">
        <v>2016</v>
      </c>
      <c r="D40" s="64">
        <v>2.2073905282995003</v>
      </c>
      <c r="E40" s="64">
        <v>17.659262739189682</v>
      </c>
      <c r="F40" s="64">
        <v>9.6475321190665539</v>
      </c>
      <c r="G40" s="64">
        <f t="shared" ref="G40:G77" si="9">IF(SUM(D40:F40)=0,"",SUM(D40:F40))</f>
        <v>29.514185386555738</v>
      </c>
      <c r="H40" s="65"/>
      <c r="I40" s="65">
        <f t="shared" ref="I40:I77" si="10">IF(SUM(G40:H40)=0,"",SUM(G40:H40))</f>
        <v>29.514185386555738</v>
      </c>
      <c r="J40" s="66">
        <f t="shared" si="7"/>
        <v>43.430424266159605</v>
      </c>
      <c r="K40" s="21">
        <v>18.135000000000002</v>
      </c>
      <c r="L40" s="21">
        <v>0.67700000000000005</v>
      </c>
      <c r="M40" s="21">
        <f t="shared" ref="M40:M77" si="11">IF(SUM(K40:L40)=0,"",SUM(K40:L40))</f>
        <v>18.812000000000001</v>
      </c>
      <c r="N40" s="57">
        <f t="shared" si="8"/>
        <v>15.845666666666668</v>
      </c>
    </row>
    <row r="41" spans="1:14" x14ac:dyDescent="0.4">
      <c r="A41" s="13" t="s">
        <v>109</v>
      </c>
      <c r="B41" s="14" t="s">
        <v>10</v>
      </c>
      <c r="C41" s="14">
        <v>2017</v>
      </c>
      <c r="D41" s="64">
        <v>2.276215942414165</v>
      </c>
      <c r="E41" s="64">
        <v>18.909359376282314</v>
      </c>
      <c r="F41" s="64">
        <v>9.9912656290644009</v>
      </c>
      <c r="G41" s="64">
        <f t="shared" si="9"/>
        <v>31.17684094776088</v>
      </c>
      <c r="H41" s="65"/>
      <c r="I41" s="65">
        <f t="shared" si="10"/>
        <v>31.17684094776088</v>
      </c>
      <c r="J41" s="66">
        <f t="shared" si="7"/>
        <v>38.585268074268868</v>
      </c>
      <c r="K41" s="21">
        <v>19.766999999999999</v>
      </c>
      <c r="L41" s="21">
        <v>0.78600000000000003</v>
      </c>
      <c r="M41" s="21">
        <f t="shared" si="11"/>
        <v>20.553000000000001</v>
      </c>
      <c r="N41" s="57">
        <f t="shared" si="8"/>
        <v>18.358333333333334</v>
      </c>
    </row>
    <row r="42" spans="1:14" x14ac:dyDescent="0.4">
      <c r="A42" s="13" t="s">
        <v>110</v>
      </c>
      <c r="B42" s="14" t="s">
        <v>10</v>
      </c>
      <c r="C42" s="14">
        <v>2018</v>
      </c>
      <c r="D42" s="64">
        <v>3.3049814741999999</v>
      </c>
      <c r="E42" s="64">
        <v>17.551754261932</v>
      </c>
      <c r="F42" s="64">
        <v>4.4817840021300004</v>
      </c>
      <c r="G42" s="64">
        <f t="shared" si="9"/>
        <v>25.338519738262001</v>
      </c>
      <c r="H42" s="65"/>
      <c r="I42" s="65">
        <f t="shared" si="10"/>
        <v>25.338519738262001</v>
      </c>
      <c r="J42" s="66">
        <f t="shared" si="7"/>
        <v>28.67651535752621</v>
      </c>
      <c r="K42" s="21">
        <v>22.141999999999999</v>
      </c>
      <c r="L42" s="21">
        <v>0.81100000000000005</v>
      </c>
      <c r="M42" s="21">
        <f t="shared" si="11"/>
        <v>22.952999999999999</v>
      </c>
      <c r="N42" s="57">
        <f t="shared" si="8"/>
        <v>20.772666666666666</v>
      </c>
    </row>
    <row r="43" spans="1:14" x14ac:dyDescent="0.4">
      <c r="A43" s="13" t="s">
        <v>111</v>
      </c>
      <c r="B43" s="14" t="s">
        <v>10</v>
      </c>
      <c r="C43" s="14">
        <v>2019</v>
      </c>
      <c r="D43" s="64">
        <v>3.3015365815419293</v>
      </c>
      <c r="E43" s="64">
        <v>4.2339439030321282</v>
      </c>
      <c r="F43" s="64">
        <v>2.0085230501970086</v>
      </c>
      <c r="G43" s="64">
        <f t="shared" si="9"/>
        <v>9.5440035347710648</v>
      </c>
      <c r="H43" s="65"/>
      <c r="I43" s="65">
        <f t="shared" si="10"/>
        <v>9.5440035347710648</v>
      </c>
      <c r="J43" s="66">
        <f t="shared" si="7"/>
        <v>22.019788073597983</v>
      </c>
      <c r="K43" s="21">
        <v>21.695</v>
      </c>
      <c r="L43" s="21">
        <v>1.085</v>
      </c>
      <c r="M43" s="21">
        <f t="shared" si="11"/>
        <v>22.78</v>
      </c>
      <c r="N43" s="57">
        <f t="shared" si="8"/>
        <v>22.095333333333333</v>
      </c>
    </row>
    <row r="44" spans="1:14" x14ac:dyDescent="0.4">
      <c r="A44" s="13" t="s">
        <v>112</v>
      </c>
      <c r="B44" s="14" t="s">
        <v>10</v>
      </c>
      <c r="C44" s="14">
        <v>2020</v>
      </c>
      <c r="D44" s="64">
        <v>3.2867572932592726</v>
      </c>
      <c r="E44" s="64">
        <v>2.6928875818111599</v>
      </c>
      <c r="F44" s="64">
        <v>0.88780760541273884</v>
      </c>
      <c r="G44" s="64">
        <f t="shared" si="9"/>
        <v>6.8674524804831716</v>
      </c>
      <c r="H44" s="65"/>
      <c r="I44" s="65">
        <f t="shared" si="10"/>
        <v>6.8674524804831716</v>
      </c>
      <c r="J44" s="66">
        <f t="shared" si="7"/>
        <v>13.916658584505413</v>
      </c>
      <c r="K44" s="21">
        <v>22.768000000000001</v>
      </c>
      <c r="L44" s="21">
        <v>1.139</v>
      </c>
      <c r="M44" s="21">
        <f t="shared" si="11"/>
        <v>23.907</v>
      </c>
      <c r="N44" s="57">
        <f t="shared" si="8"/>
        <v>23.213333333333335</v>
      </c>
    </row>
    <row r="45" spans="1:14" x14ac:dyDescent="0.4">
      <c r="A45" s="13" t="s">
        <v>113</v>
      </c>
      <c r="B45" s="14" t="s">
        <v>10</v>
      </c>
      <c r="C45" s="14">
        <v>2021</v>
      </c>
      <c r="D45" s="64">
        <v>10.8333226999298</v>
      </c>
      <c r="E45" s="64">
        <v>3.5154701279234399</v>
      </c>
      <c r="F45" s="64">
        <v>20.467600000000001</v>
      </c>
      <c r="G45" s="64">
        <f t="shared" si="9"/>
        <v>34.816392827853242</v>
      </c>
      <c r="H45" s="65">
        <v>0</v>
      </c>
      <c r="I45" s="65">
        <f t="shared" si="10"/>
        <v>34.816392827853242</v>
      </c>
      <c r="J45" s="66">
        <f t="shared" si="7"/>
        <v>17.075949614369161</v>
      </c>
      <c r="K45" s="21">
        <v>23.841000000000001</v>
      </c>
      <c r="L45" s="21">
        <v>1.1919999999999999</v>
      </c>
      <c r="M45" s="21">
        <f t="shared" si="11"/>
        <v>25.033000000000001</v>
      </c>
      <c r="N45" s="57">
        <f t="shared" si="8"/>
        <v>23.906666666666666</v>
      </c>
    </row>
    <row r="46" spans="1:14" x14ac:dyDescent="0.4">
      <c r="A46" s="13" t="s">
        <v>114</v>
      </c>
      <c r="B46" s="14" t="s">
        <v>10</v>
      </c>
      <c r="C46" s="14">
        <v>2022</v>
      </c>
      <c r="D46" s="64">
        <v>10.952034395994399</v>
      </c>
      <c r="E46" s="64">
        <v>2.8428347323329399</v>
      </c>
      <c r="F46" s="64">
        <v>20.467600000000001</v>
      </c>
      <c r="G46" s="64">
        <f t="shared" si="9"/>
        <v>34.262469128327339</v>
      </c>
      <c r="H46" s="65">
        <v>0</v>
      </c>
      <c r="I46" s="65">
        <f t="shared" si="10"/>
        <v>34.262469128327339</v>
      </c>
      <c r="J46" s="66">
        <f t="shared" si="7"/>
        <v>25.315438145554584</v>
      </c>
      <c r="K46" s="21">
        <v>24.916</v>
      </c>
      <c r="L46" s="21">
        <v>1.246</v>
      </c>
      <c r="M46" s="21">
        <f t="shared" si="11"/>
        <v>26.161999999999999</v>
      </c>
      <c r="N46" s="57">
        <f t="shared" si="8"/>
        <v>25.034000000000002</v>
      </c>
    </row>
    <row r="47" spans="1:14" x14ac:dyDescent="0.4">
      <c r="A47" s="13" t="s">
        <v>115</v>
      </c>
      <c r="B47" s="14" t="s">
        <v>10</v>
      </c>
      <c r="C47" s="14">
        <v>2023</v>
      </c>
      <c r="D47" s="64">
        <v>11.072021538297999</v>
      </c>
      <c r="E47" s="64">
        <v>1.9124438271309401</v>
      </c>
      <c r="F47" s="64">
        <v>20.467600000000001</v>
      </c>
      <c r="G47" s="64">
        <f t="shared" si="9"/>
        <v>33.452065365428936</v>
      </c>
      <c r="H47" s="65">
        <v>0</v>
      </c>
      <c r="I47" s="65">
        <f t="shared" si="10"/>
        <v>33.452065365428936</v>
      </c>
      <c r="J47" s="66">
        <f t="shared" si="7"/>
        <v>34.176975773869842</v>
      </c>
      <c r="K47" s="21">
        <v>25.989000000000001</v>
      </c>
      <c r="L47" s="21">
        <v>1.2989999999999999</v>
      </c>
      <c r="M47" s="21">
        <f t="shared" si="11"/>
        <v>27.288</v>
      </c>
      <c r="N47" s="57">
        <f t="shared" si="8"/>
        <v>26.161000000000001</v>
      </c>
    </row>
    <row r="48" spans="1:14" x14ac:dyDescent="0.4">
      <c r="A48" s="13" t="s">
        <v>116</v>
      </c>
      <c r="B48" s="14" t="s">
        <v>10</v>
      </c>
      <c r="C48" s="14">
        <v>2024</v>
      </c>
      <c r="D48" s="64">
        <v>10.7929720345695</v>
      </c>
      <c r="E48" s="64">
        <v>20.2181990123816</v>
      </c>
      <c r="F48" s="64">
        <v>20.467600000000001</v>
      </c>
      <c r="G48" s="64">
        <f t="shared" si="9"/>
        <v>51.478771046951096</v>
      </c>
      <c r="H48" s="65">
        <v>0</v>
      </c>
      <c r="I48" s="65">
        <f t="shared" si="10"/>
        <v>51.478771046951096</v>
      </c>
      <c r="J48" s="66">
        <f t="shared" si="7"/>
        <v>39.731101846902455</v>
      </c>
      <c r="K48" s="21">
        <v>27.062000000000001</v>
      </c>
      <c r="L48" s="21">
        <v>1.353</v>
      </c>
      <c r="M48" s="21">
        <f t="shared" si="11"/>
        <v>28.415000000000003</v>
      </c>
      <c r="N48" s="57">
        <f t="shared" si="8"/>
        <v>27.288333333333338</v>
      </c>
    </row>
    <row r="49" spans="1:14" x14ac:dyDescent="0.4">
      <c r="A49" s="13" t="s">
        <v>117</v>
      </c>
      <c r="B49" s="14" t="s">
        <v>10</v>
      </c>
      <c r="C49" s="14">
        <v>2025</v>
      </c>
      <c r="D49" s="64">
        <v>10.5228815004086</v>
      </c>
      <c r="E49" s="64">
        <v>18.041052300246498</v>
      </c>
      <c r="F49" s="64">
        <v>20.467600000000001</v>
      </c>
      <c r="G49" s="64">
        <f t="shared" si="9"/>
        <v>49.031533800655097</v>
      </c>
      <c r="H49" s="65">
        <v>0</v>
      </c>
      <c r="I49" s="65">
        <f t="shared" si="10"/>
        <v>49.031533800655097</v>
      </c>
      <c r="J49" s="66">
        <f t="shared" si="7"/>
        <v>44.654123404345036</v>
      </c>
      <c r="K49" s="21">
        <v>28.135000000000002</v>
      </c>
      <c r="L49" s="21">
        <v>1.4059999999999999</v>
      </c>
      <c r="M49" s="21">
        <f t="shared" si="11"/>
        <v>29.541</v>
      </c>
      <c r="N49" s="57">
        <f t="shared" si="8"/>
        <v>28.414666666666665</v>
      </c>
    </row>
    <row r="50" spans="1:14" x14ac:dyDescent="0.4">
      <c r="A50" s="13" t="s">
        <v>118</v>
      </c>
      <c r="B50" s="14" t="s">
        <v>11</v>
      </c>
      <c r="C50" s="14">
        <v>2012</v>
      </c>
      <c r="D50" s="64">
        <v>4.9915703808429779</v>
      </c>
      <c r="E50" s="64">
        <v>3.64118317575329</v>
      </c>
      <c r="F50" s="64">
        <v>7.5685777149421201</v>
      </c>
      <c r="G50" s="64">
        <f t="shared" si="9"/>
        <v>16.201331271538386</v>
      </c>
      <c r="H50" s="65"/>
      <c r="I50" s="65">
        <f t="shared" si="10"/>
        <v>16.201331271538386</v>
      </c>
      <c r="J50" s="66"/>
      <c r="K50" s="21">
        <v>9.875</v>
      </c>
      <c r="L50" s="21">
        <v>0</v>
      </c>
      <c r="M50" s="21">
        <f t="shared" si="11"/>
        <v>9.875</v>
      </c>
      <c r="N50" s="57"/>
    </row>
    <row r="51" spans="1:14" x14ac:dyDescent="0.4">
      <c r="A51" s="13" t="s">
        <v>119</v>
      </c>
      <c r="B51" s="14" t="s">
        <v>11</v>
      </c>
      <c r="C51" s="14">
        <v>2013</v>
      </c>
      <c r="D51" s="64">
        <v>0.52656842105263157</v>
      </c>
      <c r="E51" s="64">
        <v>7.9848490077653142E-2</v>
      </c>
      <c r="F51" s="64">
        <v>5.0218226056945641</v>
      </c>
      <c r="G51" s="64">
        <f t="shared" si="9"/>
        <v>5.6282395168248485</v>
      </c>
      <c r="H51" s="65"/>
      <c r="I51" s="65">
        <f t="shared" si="10"/>
        <v>5.6282395168248485</v>
      </c>
      <c r="J51" s="66"/>
      <c r="K51" s="21">
        <v>9.3559999999999999</v>
      </c>
      <c r="L51" s="21">
        <v>0</v>
      </c>
      <c r="M51" s="21">
        <f t="shared" si="11"/>
        <v>9.3559999999999999</v>
      </c>
      <c r="N51" s="57"/>
    </row>
    <row r="52" spans="1:14" x14ac:dyDescent="0.4">
      <c r="A52" s="13" t="s">
        <v>120</v>
      </c>
      <c r="B52" s="14" t="s">
        <v>11</v>
      </c>
      <c r="C52" s="14">
        <v>2014</v>
      </c>
      <c r="D52" s="64">
        <v>1.4121041244083834</v>
      </c>
      <c r="E52" s="64">
        <v>0.78849526707234596</v>
      </c>
      <c r="F52" s="64">
        <v>23.088325219743066</v>
      </c>
      <c r="G52" s="64">
        <f t="shared" si="9"/>
        <v>25.288924611223795</v>
      </c>
      <c r="H52" s="65"/>
      <c r="I52" s="65">
        <f t="shared" si="10"/>
        <v>25.288924611223795</v>
      </c>
      <c r="J52" s="66">
        <f t="shared" ref="J52:J63" si="12">IF(OR(I50="",I51="",I52=""),"",AVERAGE(I50:I52))</f>
        <v>15.706165133195677</v>
      </c>
      <c r="K52" s="21">
        <v>9.9369999999999994</v>
      </c>
      <c r="L52" s="21">
        <v>0.38</v>
      </c>
      <c r="M52" s="21">
        <f t="shared" si="11"/>
        <v>10.317</v>
      </c>
      <c r="N52" s="57">
        <f t="shared" ref="N52:N63" si="13">IF(OR(M50="",M51="",M52=""),"",AVERAGE(M50:M52))</f>
        <v>9.8493333333333339</v>
      </c>
    </row>
    <row r="53" spans="1:14" x14ac:dyDescent="0.4">
      <c r="A53" s="13" t="s">
        <v>121</v>
      </c>
      <c r="B53" s="14" t="s">
        <v>11</v>
      </c>
      <c r="C53" s="14">
        <v>2015</v>
      </c>
      <c r="D53" s="64">
        <v>5.6756151082142567</v>
      </c>
      <c r="E53" s="64">
        <v>4.9837982785994832</v>
      </c>
      <c r="F53" s="64">
        <v>14.891827525695666</v>
      </c>
      <c r="G53" s="64">
        <f t="shared" si="9"/>
        <v>25.551240912509407</v>
      </c>
      <c r="H53" s="65"/>
      <c r="I53" s="65">
        <f t="shared" si="10"/>
        <v>25.551240912509407</v>
      </c>
      <c r="J53" s="66">
        <f t="shared" si="12"/>
        <v>18.822801680186018</v>
      </c>
      <c r="K53" s="21">
        <v>12.14</v>
      </c>
      <c r="L53" s="21">
        <v>0.42799999999999999</v>
      </c>
      <c r="M53" s="21">
        <f t="shared" si="11"/>
        <v>12.568000000000001</v>
      </c>
      <c r="N53" s="57">
        <f t="shared" si="13"/>
        <v>10.747</v>
      </c>
    </row>
    <row r="54" spans="1:14" x14ac:dyDescent="0.4">
      <c r="A54" s="13" t="s">
        <v>122</v>
      </c>
      <c r="B54" s="14" t="s">
        <v>11</v>
      </c>
      <c r="C54" s="14">
        <v>2016</v>
      </c>
      <c r="D54" s="64">
        <v>7.1706615640598992</v>
      </c>
      <c r="E54" s="64">
        <v>1.4846973377703825</v>
      </c>
      <c r="F54" s="64">
        <v>3.4469532445923456</v>
      </c>
      <c r="G54" s="64">
        <f t="shared" si="9"/>
        <v>12.102312146422626</v>
      </c>
      <c r="H54" s="65"/>
      <c r="I54" s="65">
        <f t="shared" si="10"/>
        <v>12.102312146422626</v>
      </c>
      <c r="J54" s="66">
        <f t="shared" si="12"/>
        <v>20.980825890051943</v>
      </c>
      <c r="K54" s="21">
        <v>12.468999999999999</v>
      </c>
      <c r="L54" s="21">
        <v>0.54700000000000004</v>
      </c>
      <c r="M54" s="21">
        <f t="shared" si="11"/>
        <v>13.016</v>
      </c>
      <c r="N54" s="57">
        <f t="shared" si="13"/>
        <v>11.967000000000001</v>
      </c>
    </row>
    <row r="55" spans="1:14" x14ac:dyDescent="0.4">
      <c r="A55" s="13" t="s">
        <v>123</v>
      </c>
      <c r="B55" s="14" t="s">
        <v>11</v>
      </c>
      <c r="C55" s="14">
        <v>2017</v>
      </c>
      <c r="D55" s="64">
        <v>22.248055970455475</v>
      </c>
      <c r="E55" s="64">
        <v>3.4772530160032824</v>
      </c>
      <c r="F55" s="64">
        <v>2.3051683217070167</v>
      </c>
      <c r="G55" s="64">
        <f t="shared" si="9"/>
        <v>28.030477308165771</v>
      </c>
      <c r="H55" s="65"/>
      <c r="I55" s="65">
        <f t="shared" si="10"/>
        <v>28.030477308165771</v>
      </c>
      <c r="J55" s="66">
        <f t="shared" si="12"/>
        <v>21.894676789032602</v>
      </c>
      <c r="K55" s="21">
        <v>6.42</v>
      </c>
      <c r="L55" s="21">
        <v>0.70699999999999996</v>
      </c>
      <c r="M55" s="21">
        <f t="shared" si="11"/>
        <v>7.1269999999999998</v>
      </c>
      <c r="N55" s="57">
        <f t="shared" si="13"/>
        <v>10.903666666666668</v>
      </c>
    </row>
    <row r="56" spans="1:14" x14ac:dyDescent="0.4">
      <c r="A56" s="13" t="s">
        <v>124</v>
      </c>
      <c r="B56" s="14" t="s">
        <v>11</v>
      </c>
      <c r="C56" s="14">
        <v>2018</v>
      </c>
      <c r="D56" s="64">
        <v>20.260999999999999</v>
      </c>
      <c r="E56" s="64">
        <v>12.558999999999999</v>
      </c>
      <c r="F56" s="64">
        <v>2.754</v>
      </c>
      <c r="G56" s="64">
        <f t="shared" si="9"/>
        <v>35.573999999999998</v>
      </c>
      <c r="H56" s="65"/>
      <c r="I56" s="65">
        <f t="shared" si="10"/>
        <v>35.573999999999998</v>
      </c>
      <c r="J56" s="66">
        <f t="shared" si="12"/>
        <v>25.2355964848628</v>
      </c>
      <c r="K56" s="21">
        <v>9.17</v>
      </c>
      <c r="L56" s="21">
        <v>0.86099999999999999</v>
      </c>
      <c r="M56" s="21">
        <f t="shared" si="11"/>
        <v>10.031000000000001</v>
      </c>
      <c r="N56" s="57">
        <f t="shared" si="13"/>
        <v>10.058</v>
      </c>
    </row>
    <row r="57" spans="1:14" x14ac:dyDescent="0.4">
      <c r="A57" s="13" t="s">
        <v>125</v>
      </c>
      <c r="B57" s="14" t="s">
        <v>11</v>
      </c>
      <c r="C57" s="14">
        <v>2019</v>
      </c>
      <c r="D57" s="64">
        <v>15.239060497108021</v>
      </c>
      <c r="E57" s="64">
        <v>19.200825230576836</v>
      </c>
      <c r="F57" s="64">
        <v>12.283132405815227</v>
      </c>
      <c r="G57" s="64">
        <f t="shared" si="9"/>
        <v>46.723018133500076</v>
      </c>
      <c r="H57" s="65"/>
      <c r="I57" s="65">
        <f t="shared" si="10"/>
        <v>46.723018133500076</v>
      </c>
      <c r="J57" s="66">
        <f t="shared" si="12"/>
        <v>36.775831813888615</v>
      </c>
      <c r="K57" s="21">
        <v>14.698</v>
      </c>
      <c r="L57" s="21">
        <v>0.67300000000000004</v>
      </c>
      <c r="M57" s="21">
        <f t="shared" si="11"/>
        <v>15.371</v>
      </c>
      <c r="N57" s="57">
        <f t="shared" si="13"/>
        <v>10.843000000000002</v>
      </c>
    </row>
    <row r="58" spans="1:14" x14ac:dyDescent="0.4">
      <c r="A58" s="13" t="s">
        <v>126</v>
      </c>
      <c r="B58" s="14" t="s">
        <v>11</v>
      </c>
      <c r="C58" s="14">
        <v>2020</v>
      </c>
      <c r="D58" s="64">
        <v>18.518720912431107</v>
      </c>
      <c r="E58" s="64">
        <v>18.486173147581141</v>
      </c>
      <c r="F58" s="64">
        <v>3.3304021739130438</v>
      </c>
      <c r="G58" s="64">
        <f t="shared" si="9"/>
        <v>40.335296233925291</v>
      </c>
      <c r="H58" s="65"/>
      <c r="I58" s="65">
        <f t="shared" si="10"/>
        <v>40.335296233925291</v>
      </c>
      <c r="J58" s="66">
        <f t="shared" si="12"/>
        <v>40.87743812247512</v>
      </c>
      <c r="K58" s="21">
        <v>13.855</v>
      </c>
      <c r="L58" s="21">
        <v>0.63400000000000001</v>
      </c>
      <c r="M58" s="21">
        <f t="shared" si="11"/>
        <v>14.489000000000001</v>
      </c>
      <c r="N58" s="57">
        <f t="shared" si="13"/>
        <v>13.297000000000002</v>
      </c>
    </row>
    <row r="59" spans="1:14" x14ac:dyDescent="0.4">
      <c r="A59" s="13" t="s">
        <v>127</v>
      </c>
      <c r="B59" s="14" t="s">
        <v>11</v>
      </c>
      <c r="C59" s="14">
        <v>2021</v>
      </c>
      <c r="D59" s="64">
        <v>21.457999999999998</v>
      </c>
      <c r="E59" s="64">
        <v>6.3040000000000003</v>
      </c>
      <c r="F59" s="64">
        <v>2.4860000000000002</v>
      </c>
      <c r="G59" s="64">
        <f t="shared" si="9"/>
        <v>30.248000000000001</v>
      </c>
      <c r="H59" s="65">
        <v>0</v>
      </c>
      <c r="I59" s="65">
        <f t="shared" si="10"/>
        <v>30.248000000000001</v>
      </c>
      <c r="J59" s="66">
        <f t="shared" si="12"/>
        <v>39.102104789141791</v>
      </c>
      <c r="K59" s="21">
        <v>22.974</v>
      </c>
      <c r="L59" s="21">
        <v>1.0529999999999999</v>
      </c>
      <c r="M59" s="21">
        <f t="shared" si="11"/>
        <v>24.027000000000001</v>
      </c>
      <c r="N59" s="57">
        <f t="shared" si="13"/>
        <v>17.962333333333333</v>
      </c>
    </row>
    <row r="60" spans="1:14" x14ac:dyDescent="0.4">
      <c r="A60" s="13" t="s">
        <v>128</v>
      </c>
      <c r="B60" s="14" t="s">
        <v>11</v>
      </c>
      <c r="C60" s="14">
        <v>2022</v>
      </c>
      <c r="D60" s="64">
        <v>28.795999999999999</v>
      </c>
      <c r="E60" s="64">
        <v>18.141999999999999</v>
      </c>
      <c r="F60" s="64">
        <v>2.4860000000000002</v>
      </c>
      <c r="G60" s="64">
        <f t="shared" si="9"/>
        <v>49.423999999999999</v>
      </c>
      <c r="H60" s="65">
        <v>0</v>
      </c>
      <c r="I60" s="65">
        <f t="shared" si="10"/>
        <v>49.423999999999999</v>
      </c>
      <c r="J60" s="66">
        <f t="shared" si="12"/>
        <v>40.002432077975101</v>
      </c>
      <c r="K60" s="21">
        <v>22.036000000000001</v>
      </c>
      <c r="L60" s="21">
        <v>1.01</v>
      </c>
      <c r="M60" s="21">
        <f t="shared" si="11"/>
        <v>23.046000000000003</v>
      </c>
      <c r="N60" s="57">
        <f t="shared" si="13"/>
        <v>20.520666666666671</v>
      </c>
    </row>
    <row r="61" spans="1:14" x14ac:dyDescent="0.4">
      <c r="A61" s="13" t="s">
        <v>129</v>
      </c>
      <c r="B61" s="14" t="s">
        <v>11</v>
      </c>
      <c r="C61" s="14">
        <v>2023</v>
      </c>
      <c r="D61" s="64">
        <v>29.414000000000001</v>
      </c>
      <c r="E61" s="64">
        <v>52.343000000000004</v>
      </c>
      <c r="F61" s="64">
        <v>2.4860000000000002</v>
      </c>
      <c r="G61" s="64">
        <f t="shared" si="9"/>
        <v>84.243000000000009</v>
      </c>
      <c r="H61" s="65">
        <v>0</v>
      </c>
      <c r="I61" s="65">
        <f t="shared" si="10"/>
        <v>84.243000000000009</v>
      </c>
      <c r="J61" s="66">
        <f t="shared" si="12"/>
        <v>54.638333333333343</v>
      </c>
      <c r="K61" s="21">
        <v>21.623999999999999</v>
      </c>
      <c r="L61" s="21">
        <v>0.99099999999999999</v>
      </c>
      <c r="M61" s="21">
        <f t="shared" si="11"/>
        <v>22.614999999999998</v>
      </c>
      <c r="N61" s="57">
        <f t="shared" si="13"/>
        <v>23.229333333333333</v>
      </c>
    </row>
    <row r="62" spans="1:14" x14ac:dyDescent="0.4">
      <c r="A62" s="13" t="s">
        <v>130</v>
      </c>
      <c r="B62" s="14" t="s">
        <v>11</v>
      </c>
      <c r="C62" s="14">
        <v>2024</v>
      </c>
      <c r="D62" s="64">
        <v>31.161000000000001</v>
      </c>
      <c r="E62" s="64">
        <v>39.921999999999997</v>
      </c>
      <c r="F62" s="64">
        <v>1.413</v>
      </c>
      <c r="G62" s="64">
        <f t="shared" si="9"/>
        <v>72.495999999999995</v>
      </c>
      <c r="H62" s="65">
        <v>0</v>
      </c>
      <c r="I62" s="65">
        <f t="shared" si="10"/>
        <v>72.495999999999995</v>
      </c>
      <c r="J62" s="66">
        <f t="shared" si="12"/>
        <v>68.721000000000004</v>
      </c>
      <c r="K62" s="21">
        <v>21.204000000000001</v>
      </c>
      <c r="L62" s="21">
        <v>0.97199999999999998</v>
      </c>
      <c r="M62" s="21">
        <f t="shared" si="11"/>
        <v>22.176000000000002</v>
      </c>
      <c r="N62" s="57">
        <f t="shared" si="13"/>
        <v>22.612333333333336</v>
      </c>
    </row>
    <row r="63" spans="1:14" x14ac:dyDescent="0.4">
      <c r="A63" s="13" t="s">
        <v>131</v>
      </c>
      <c r="B63" s="14" t="s">
        <v>11</v>
      </c>
      <c r="C63" s="14">
        <v>2025</v>
      </c>
      <c r="D63" s="64">
        <v>28.414000000000001</v>
      </c>
      <c r="E63" s="64">
        <v>6.9260000000000002</v>
      </c>
      <c r="F63" s="64">
        <v>1.413</v>
      </c>
      <c r="G63" s="64">
        <f t="shared" si="9"/>
        <v>36.753</v>
      </c>
      <c r="H63" s="65">
        <v>0</v>
      </c>
      <c r="I63" s="65">
        <f t="shared" si="10"/>
        <v>36.753</v>
      </c>
      <c r="J63" s="66">
        <f t="shared" si="12"/>
        <v>64.497333333333344</v>
      </c>
      <c r="K63" s="21">
        <v>20.338999999999999</v>
      </c>
      <c r="L63" s="21">
        <v>0.93200000000000005</v>
      </c>
      <c r="M63" s="21">
        <f t="shared" si="11"/>
        <v>21.270999999999997</v>
      </c>
      <c r="N63" s="57">
        <f t="shared" si="13"/>
        <v>22.020666666666667</v>
      </c>
    </row>
    <row r="64" spans="1:14" x14ac:dyDescent="0.4">
      <c r="A64" s="13" t="s">
        <v>139</v>
      </c>
      <c r="B64" s="14" t="s">
        <v>12</v>
      </c>
      <c r="C64" s="14">
        <v>2012</v>
      </c>
      <c r="D64" s="64">
        <v>4.7012764619628014</v>
      </c>
      <c r="E64" s="64">
        <v>8.9147681839772659</v>
      </c>
      <c r="F64" s="64">
        <v>19.494828799334094</v>
      </c>
      <c r="G64" s="64">
        <f t="shared" si="9"/>
        <v>33.110873445274166</v>
      </c>
      <c r="H64" s="65"/>
      <c r="I64" s="65">
        <f t="shared" si="10"/>
        <v>33.110873445274166</v>
      </c>
      <c r="J64" s="66"/>
      <c r="K64" s="21">
        <v>19.024000000000001</v>
      </c>
      <c r="L64" s="21">
        <v>1.214</v>
      </c>
      <c r="M64" s="21">
        <f t="shared" si="11"/>
        <v>20.238</v>
      </c>
      <c r="N64" s="57"/>
    </row>
    <row r="65" spans="1:14" x14ac:dyDescent="0.4">
      <c r="A65" s="13" t="s">
        <v>140</v>
      </c>
      <c r="B65" s="14" t="s">
        <v>12</v>
      </c>
      <c r="C65" s="14">
        <v>2013</v>
      </c>
      <c r="D65" s="64">
        <v>3.7755488394494563</v>
      </c>
      <c r="E65" s="64">
        <v>9.278818774993125</v>
      </c>
      <c r="F65" s="64">
        <v>18.54429487459069</v>
      </c>
      <c r="G65" s="64">
        <f t="shared" si="9"/>
        <v>31.598662489033273</v>
      </c>
      <c r="H65" s="65"/>
      <c r="I65" s="65">
        <f t="shared" si="10"/>
        <v>31.598662489033273</v>
      </c>
      <c r="J65" s="66"/>
      <c r="K65" s="21">
        <v>15.33</v>
      </c>
      <c r="L65" s="21">
        <v>0.97899999999999998</v>
      </c>
      <c r="M65" s="21">
        <f t="shared" si="11"/>
        <v>16.309000000000001</v>
      </c>
      <c r="N65" s="57"/>
    </row>
    <row r="66" spans="1:14" x14ac:dyDescent="0.4">
      <c r="A66" s="13" t="s">
        <v>141</v>
      </c>
      <c r="B66" s="14" t="s">
        <v>12</v>
      </c>
      <c r="C66" s="14">
        <v>2014</v>
      </c>
      <c r="D66" s="64">
        <v>4.9552738908928706</v>
      </c>
      <c r="E66" s="64">
        <v>7.0508253202170534</v>
      </c>
      <c r="F66" s="64">
        <v>17.402488163720452</v>
      </c>
      <c r="G66" s="64">
        <f t="shared" si="9"/>
        <v>29.408587374830375</v>
      </c>
      <c r="H66" s="65"/>
      <c r="I66" s="65">
        <f t="shared" si="10"/>
        <v>29.408587374830375</v>
      </c>
      <c r="J66" s="66">
        <f t="shared" ref="J66:J77" si="14">IF(OR(I64="",I65="",I66=""),"",AVERAGE(I64:I66))</f>
        <v>31.372707769712605</v>
      </c>
      <c r="K66" s="21">
        <v>18.776</v>
      </c>
      <c r="L66" s="21">
        <v>1.198</v>
      </c>
      <c r="M66" s="21">
        <f t="shared" si="11"/>
        <v>19.974</v>
      </c>
      <c r="N66" s="57">
        <f t="shared" ref="N66:N77" si="15">IF(OR(M64="",M65="",M66=""),"",AVERAGE(M64:M66))</f>
        <v>18.840333333333334</v>
      </c>
    </row>
    <row r="67" spans="1:14" x14ac:dyDescent="0.4">
      <c r="A67" s="13" t="s">
        <v>142</v>
      </c>
      <c r="B67" s="14" t="s">
        <v>12</v>
      </c>
      <c r="C67" s="14">
        <v>2015</v>
      </c>
      <c r="D67" s="64">
        <v>5.8086103837761254</v>
      </c>
      <c r="E67" s="64">
        <v>2.8078172425818235</v>
      </c>
      <c r="F67" s="64">
        <v>29.645465226040706</v>
      </c>
      <c r="G67" s="64">
        <f t="shared" si="9"/>
        <v>38.261892852398653</v>
      </c>
      <c r="H67" s="65"/>
      <c r="I67" s="65">
        <f t="shared" si="10"/>
        <v>38.261892852398653</v>
      </c>
      <c r="J67" s="66">
        <f t="shared" si="14"/>
        <v>33.089714238754105</v>
      </c>
      <c r="K67" s="21">
        <v>23.286999999999999</v>
      </c>
      <c r="L67" s="21">
        <v>1.454</v>
      </c>
      <c r="M67" s="21">
        <f t="shared" si="11"/>
        <v>24.741</v>
      </c>
      <c r="N67" s="57">
        <f t="shared" si="15"/>
        <v>20.341333333333335</v>
      </c>
    </row>
    <row r="68" spans="1:14" x14ac:dyDescent="0.4">
      <c r="A68" s="13" t="s">
        <v>143</v>
      </c>
      <c r="B68" s="14" t="s">
        <v>12</v>
      </c>
      <c r="C68" s="14">
        <v>2016</v>
      </c>
      <c r="D68" s="64">
        <v>12.182425457570718</v>
      </c>
      <c r="E68" s="64">
        <v>2.9341240099833605</v>
      </c>
      <c r="F68" s="64">
        <v>17.284290815307813</v>
      </c>
      <c r="G68" s="64">
        <f t="shared" si="9"/>
        <v>32.400840282861893</v>
      </c>
      <c r="H68" s="65"/>
      <c r="I68" s="65">
        <f t="shared" si="10"/>
        <v>32.400840282861893</v>
      </c>
      <c r="J68" s="66">
        <f t="shared" si="14"/>
        <v>33.357106836696978</v>
      </c>
      <c r="K68" s="21">
        <v>27.157</v>
      </c>
      <c r="L68" s="21">
        <v>1.9410000000000001</v>
      </c>
      <c r="M68" s="21">
        <f t="shared" si="11"/>
        <v>29.097999999999999</v>
      </c>
      <c r="N68" s="57">
        <f t="shared" si="15"/>
        <v>24.604333333333333</v>
      </c>
    </row>
    <row r="69" spans="1:14" x14ac:dyDescent="0.4">
      <c r="A69" s="13" t="s">
        <v>144</v>
      </c>
      <c r="B69" s="14" t="s">
        <v>12</v>
      </c>
      <c r="C69" s="14">
        <v>2017</v>
      </c>
      <c r="D69" s="64">
        <v>6.9961755929421416</v>
      </c>
      <c r="E69" s="64">
        <v>6.7685325235945832</v>
      </c>
      <c r="F69" s="64">
        <v>23.732970274928189</v>
      </c>
      <c r="G69" s="64">
        <f t="shared" si="9"/>
        <v>37.497678391464916</v>
      </c>
      <c r="H69" s="65"/>
      <c r="I69" s="65">
        <f t="shared" si="10"/>
        <v>37.497678391464916</v>
      </c>
      <c r="J69" s="66">
        <f t="shared" si="14"/>
        <v>36.053470508908482</v>
      </c>
      <c r="K69" s="21">
        <v>25.436</v>
      </c>
      <c r="L69" s="21">
        <v>1.3169999999999999</v>
      </c>
      <c r="M69" s="21">
        <f t="shared" si="11"/>
        <v>26.753</v>
      </c>
      <c r="N69" s="57">
        <f t="shared" si="15"/>
        <v>26.864000000000001</v>
      </c>
    </row>
    <row r="70" spans="1:14" x14ac:dyDescent="0.4">
      <c r="A70" s="13" t="s">
        <v>145</v>
      </c>
      <c r="B70" s="14" t="s">
        <v>12</v>
      </c>
      <c r="C70" s="14">
        <v>2018</v>
      </c>
      <c r="D70" s="64">
        <v>5.9219999999999997</v>
      </c>
      <c r="E70" s="64">
        <v>10.557</v>
      </c>
      <c r="F70" s="64">
        <v>43.766999999999996</v>
      </c>
      <c r="G70" s="64">
        <f t="shared" si="9"/>
        <v>60.245999999999995</v>
      </c>
      <c r="H70" s="65"/>
      <c r="I70" s="65">
        <f t="shared" si="10"/>
        <v>60.245999999999995</v>
      </c>
      <c r="J70" s="66">
        <f t="shared" si="14"/>
        <v>43.381506224775599</v>
      </c>
      <c r="K70" s="21">
        <v>31.513000000000002</v>
      </c>
      <c r="L70" s="21">
        <v>1.736</v>
      </c>
      <c r="M70" s="21">
        <f t="shared" si="11"/>
        <v>33.249000000000002</v>
      </c>
      <c r="N70" s="57">
        <f t="shared" si="15"/>
        <v>29.7</v>
      </c>
    </row>
    <row r="71" spans="1:14" x14ac:dyDescent="0.4">
      <c r="A71" s="13" t="s">
        <v>146</v>
      </c>
      <c r="B71" s="14" t="s">
        <v>12</v>
      </c>
      <c r="C71" s="14">
        <v>2019</v>
      </c>
      <c r="D71" s="64">
        <v>0</v>
      </c>
      <c r="E71" s="64">
        <v>0</v>
      </c>
      <c r="F71" s="64">
        <v>0</v>
      </c>
      <c r="G71" s="64" t="str">
        <f t="shared" si="9"/>
        <v/>
      </c>
      <c r="H71" s="65"/>
      <c r="I71" s="65" t="str">
        <f t="shared" si="10"/>
        <v/>
      </c>
      <c r="J71" s="66" t="str">
        <f t="shared" si="14"/>
        <v/>
      </c>
      <c r="K71" s="21">
        <v>0</v>
      </c>
      <c r="L71" s="21">
        <v>0</v>
      </c>
      <c r="M71" s="21" t="str">
        <f t="shared" si="11"/>
        <v/>
      </c>
      <c r="N71" s="57" t="str">
        <f t="shared" si="15"/>
        <v/>
      </c>
    </row>
    <row r="72" spans="1:14" x14ac:dyDescent="0.4">
      <c r="A72" s="13" t="s">
        <v>231</v>
      </c>
      <c r="B72" s="14" t="s">
        <v>12</v>
      </c>
      <c r="C72" s="14">
        <v>2020</v>
      </c>
      <c r="D72" s="64">
        <v>0</v>
      </c>
      <c r="E72" s="64">
        <v>0</v>
      </c>
      <c r="F72" s="64">
        <v>0</v>
      </c>
      <c r="G72" s="64" t="str">
        <f t="shared" si="9"/>
        <v/>
      </c>
      <c r="H72" s="65"/>
      <c r="I72" s="65" t="str">
        <f t="shared" si="10"/>
        <v/>
      </c>
      <c r="J72" s="66" t="str">
        <f t="shared" si="14"/>
        <v/>
      </c>
      <c r="K72" s="21">
        <v>0</v>
      </c>
      <c r="L72" s="21">
        <v>0</v>
      </c>
      <c r="M72" s="21" t="str">
        <f t="shared" si="11"/>
        <v/>
      </c>
      <c r="N72" s="57" t="str">
        <f t="shared" si="15"/>
        <v/>
      </c>
    </row>
    <row r="73" spans="1:14" x14ac:dyDescent="0.4">
      <c r="A73" s="13" t="s">
        <v>232</v>
      </c>
      <c r="B73" s="14" t="s">
        <v>12</v>
      </c>
      <c r="C73" s="14">
        <v>2021</v>
      </c>
      <c r="D73" s="64">
        <v>0</v>
      </c>
      <c r="E73" s="64">
        <v>0</v>
      </c>
      <c r="F73" s="64">
        <v>0</v>
      </c>
      <c r="G73" s="64" t="str">
        <f t="shared" si="9"/>
        <v/>
      </c>
      <c r="H73" s="65">
        <v>0</v>
      </c>
      <c r="I73" s="65" t="str">
        <f t="shared" si="10"/>
        <v/>
      </c>
      <c r="J73" s="66" t="str">
        <f t="shared" si="14"/>
        <v/>
      </c>
      <c r="K73" s="21">
        <v>0</v>
      </c>
      <c r="L73" s="21">
        <v>0</v>
      </c>
      <c r="M73" s="21" t="str">
        <f t="shared" si="11"/>
        <v/>
      </c>
      <c r="N73" s="57" t="str">
        <f t="shared" si="15"/>
        <v/>
      </c>
    </row>
    <row r="74" spans="1:14" x14ac:dyDescent="0.4">
      <c r="A74" s="13" t="s">
        <v>233</v>
      </c>
      <c r="B74" s="14" t="s">
        <v>12</v>
      </c>
      <c r="C74" s="14">
        <v>2022</v>
      </c>
      <c r="D74" s="64">
        <v>0</v>
      </c>
      <c r="E74" s="64">
        <v>0</v>
      </c>
      <c r="F74" s="64">
        <v>0</v>
      </c>
      <c r="G74" s="64" t="str">
        <f t="shared" si="9"/>
        <v/>
      </c>
      <c r="H74" s="65">
        <v>0</v>
      </c>
      <c r="I74" s="65" t="str">
        <f t="shared" si="10"/>
        <v/>
      </c>
      <c r="J74" s="66" t="str">
        <f t="shared" si="14"/>
        <v/>
      </c>
      <c r="K74" s="21">
        <v>0</v>
      </c>
      <c r="L74" s="21">
        <v>0</v>
      </c>
      <c r="M74" s="21" t="str">
        <f t="shared" si="11"/>
        <v/>
      </c>
      <c r="N74" s="57" t="str">
        <f t="shared" si="15"/>
        <v/>
      </c>
    </row>
    <row r="75" spans="1:14" x14ac:dyDescent="0.4">
      <c r="A75" s="13" t="s">
        <v>234</v>
      </c>
      <c r="B75" s="14" t="s">
        <v>12</v>
      </c>
      <c r="C75" s="14">
        <v>2023</v>
      </c>
      <c r="D75" s="64">
        <v>0</v>
      </c>
      <c r="E75" s="64">
        <v>0</v>
      </c>
      <c r="F75" s="64">
        <v>0</v>
      </c>
      <c r="G75" s="64" t="str">
        <f t="shared" si="9"/>
        <v/>
      </c>
      <c r="H75" s="65">
        <v>0</v>
      </c>
      <c r="I75" s="65" t="str">
        <f t="shared" si="10"/>
        <v/>
      </c>
      <c r="J75" s="66" t="str">
        <f t="shared" si="14"/>
        <v/>
      </c>
      <c r="K75" s="21">
        <v>0</v>
      </c>
      <c r="L75" s="21">
        <v>0</v>
      </c>
      <c r="M75" s="21" t="str">
        <f t="shared" si="11"/>
        <v/>
      </c>
      <c r="N75" s="57" t="str">
        <f t="shared" si="15"/>
        <v/>
      </c>
    </row>
    <row r="76" spans="1:14" x14ac:dyDescent="0.4">
      <c r="A76" s="13" t="s">
        <v>235</v>
      </c>
      <c r="B76" s="14" t="s">
        <v>12</v>
      </c>
      <c r="C76" s="14">
        <v>2024</v>
      </c>
      <c r="D76" s="64">
        <v>0</v>
      </c>
      <c r="E76" s="64">
        <v>0</v>
      </c>
      <c r="F76" s="64">
        <v>0</v>
      </c>
      <c r="G76" s="64" t="str">
        <f t="shared" si="9"/>
        <v/>
      </c>
      <c r="H76" s="65">
        <v>0</v>
      </c>
      <c r="I76" s="65" t="str">
        <f t="shared" si="10"/>
        <v/>
      </c>
      <c r="J76" s="66" t="str">
        <f t="shared" si="14"/>
        <v/>
      </c>
      <c r="K76" s="21">
        <v>0</v>
      </c>
      <c r="L76" s="21">
        <v>0</v>
      </c>
      <c r="M76" s="21" t="str">
        <f t="shared" si="11"/>
        <v/>
      </c>
      <c r="N76" s="57" t="str">
        <f t="shared" si="15"/>
        <v/>
      </c>
    </row>
    <row r="77" spans="1:14" x14ac:dyDescent="0.4">
      <c r="A77" s="13" t="s">
        <v>236</v>
      </c>
      <c r="B77" s="14" t="s">
        <v>12</v>
      </c>
      <c r="C77" s="14">
        <v>2025</v>
      </c>
      <c r="D77" s="64">
        <v>0</v>
      </c>
      <c r="E77" s="64">
        <v>0</v>
      </c>
      <c r="F77" s="64">
        <v>0</v>
      </c>
      <c r="G77" s="64" t="str">
        <f t="shared" si="9"/>
        <v/>
      </c>
      <c r="H77" s="65">
        <v>0</v>
      </c>
      <c r="I77" s="65" t="str">
        <f t="shared" si="10"/>
        <v/>
      </c>
      <c r="J77" s="66" t="str">
        <f t="shared" si="14"/>
        <v/>
      </c>
      <c r="K77" s="21">
        <v>0</v>
      </c>
      <c r="L77" s="21">
        <v>0</v>
      </c>
      <c r="M77" s="21" t="str">
        <f t="shared" si="11"/>
        <v/>
      </c>
      <c r="N77" s="57" t="str">
        <f t="shared" si="15"/>
        <v/>
      </c>
    </row>
    <row r="78" spans="1:14" x14ac:dyDescent="0.4">
      <c r="A78" s="13" t="s">
        <v>155</v>
      </c>
      <c r="B78" s="14" t="s">
        <v>13</v>
      </c>
      <c r="C78" s="14">
        <v>2012</v>
      </c>
      <c r="D78" s="64">
        <v>3.9660717504639025</v>
      </c>
      <c r="E78" s="64">
        <v>4.8037096403640529</v>
      </c>
      <c r="F78" s="64">
        <v>1.3625429000618534</v>
      </c>
      <c r="G78" s="64">
        <f t="shared" ref="G78:G112" si="16">IF(SUM(D78:F78)=0,"",SUM(D78:F78))</f>
        <v>10.132324290889809</v>
      </c>
      <c r="H78" s="65"/>
      <c r="I78" s="65">
        <f t="shared" ref="I78:I112" si="17">IF(SUM(G78:H78)=0,"",SUM(G78:H78))</f>
        <v>10.132324290889809</v>
      </c>
      <c r="J78" s="66"/>
      <c r="K78" s="21">
        <v>5.383</v>
      </c>
      <c r="L78" s="21">
        <v>0.189</v>
      </c>
      <c r="M78" s="21">
        <f t="shared" ref="M78:M112" si="18">IF(SUM(K78:L78)=0,"",SUM(K78:L78))</f>
        <v>5.5720000000000001</v>
      </c>
      <c r="N78" s="57"/>
    </row>
    <row r="79" spans="1:14" x14ac:dyDescent="0.4">
      <c r="A79" s="13" t="s">
        <v>156</v>
      </c>
      <c r="B79" s="14" t="s">
        <v>13</v>
      </c>
      <c r="C79" s="14">
        <v>2013</v>
      </c>
      <c r="D79" s="64">
        <v>1.5462552200172563</v>
      </c>
      <c r="E79" s="64">
        <v>3.1658847282139777</v>
      </c>
      <c r="F79" s="64">
        <v>0.7758251941328731</v>
      </c>
      <c r="G79" s="64">
        <f t="shared" si="16"/>
        <v>5.4879651423641072</v>
      </c>
      <c r="H79" s="65"/>
      <c r="I79" s="65">
        <f t="shared" si="17"/>
        <v>5.4879651423641072</v>
      </c>
      <c r="J79" s="66"/>
      <c r="K79" s="21">
        <v>4.5259999999999998</v>
      </c>
      <c r="L79" s="21">
        <v>0.14699999999999999</v>
      </c>
      <c r="M79" s="21">
        <f t="shared" si="18"/>
        <v>4.673</v>
      </c>
      <c r="N79" s="57"/>
    </row>
    <row r="80" spans="1:14" x14ac:dyDescent="0.4">
      <c r="A80" s="13" t="s">
        <v>157</v>
      </c>
      <c r="B80" s="14" t="s">
        <v>13</v>
      </c>
      <c r="C80" s="14">
        <v>2014</v>
      </c>
      <c r="D80" s="64">
        <v>2.7396511156186607</v>
      </c>
      <c r="E80" s="64">
        <v>7.9991048005409038</v>
      </c>
      <c r="F80" s="64">
        <v>3.3569181879648404</v>
      </c>
      <c r="G80" s="64">
        <f t="shared" si="16"/>
        <v>14.095674104124406</v>
      </c>
      <c r="H80" s="65"/>
      <c r="I80" s="65">
        <f t="shared" si="17"/>
        <v>14.095674104124406</v>
      </c>
      <c r="J80" s="66">
        <f t="shared" ref="J80:J91" si="19">IF(OR(I78="",I79="",I80=""),"",AVERAGE(I78:I80))</f>
        <v>9.9053211791261067</v>
      </c>
      <c r="K80" s="21">
        <v>5.3754216867469875</v>
      </c>
      <c r="L80" s="21">
        <v>0.16102409638554219</v>
      </c>
      <c r="M80" s="21">
        <f t="shared" si="18"/>
        <v>5.53644578313253</v>
      </c>
      <c r="N80" s="57">
        <f t="shared" ref="N80:N91" si="20">IF(OR(M78="",M79="",M80=""),"",AVERAGE(M78:M80))</f>
        <v>5.2604819277108437</v>
      </c>
    </row>
    <row r="81" spans="1:14" x14ac:dyDescent="0.4">
      <c r="A81" s="13" t="s">
        <v>158</v>
      </c>
      <c r="B81" s="14" t="s">
        <v>13</v>
      </c>
      <c r="C81" s="14">
        <v>2015</v>
      </c>
      <c r="D81" s="64">
        <v>4.417386312358988</v>
      </c>
      <c r="E81" s="64">
        <v>0.36785426589788595</v>
      </c>
      <c r="F81" s="64">
        <v>4.7831504972006353</v>
      </c>
      <c r="G81" s="64">
        <f t="shared" si="16"/>
        <v>9.5683910754575088</v>
      </c>
      <c r="H81" s="65"/>
      <c r="I81" s="65">
        <f t="shared" si="17"/>
        <v>9.5683910754575088</v>
      </c>
      <c r="J81" s="66">
        <f t="shared" si="19"/>
        <v>9.7173434406486745</v>
      </c>
      <c r="K81" s="21">
        <v>7.1868227315247895</v>
      </c>
      <c r="L81" s="21">
        <v>0.25790318054256295</v>
      </c>
      <c r="M81" s="21">
        <f t="shared" si="18"/>
        <v>7.4447259120673523</v>
      </c>
      <c r="N81" s="57">
        <f t="shared" si="20"/>
        <v>5.8847238983999608</v>
      </c>
    </row>
    <row r="82" spans="1:14" x14ac:dyDescent="0.4">
      <c r="A82" s="13" t="s">
        <v>159</v>
      </c>
      <c r="B82" s="14" t="s">
        <v>13</v>
      </c>
      <c r="C82" s="14">
        <v>2016</v>
      </c>
      <c r="D82" s="64">
        <v>5.3831983361064886</v>
      </c>
      <c r="E82" s="64">
        <v>3.7351530782029942</v>
      </c>
      <c r="F82" s="64">
        <v>2.2743856905158064</v>
      </c>
      <c r="G82" s="64">
        <f t="shared" si="16"/>
        <v>11.39273710482529</v>
      </c>
      <c r="H82" s="65"/>
      <c r="I82" s="65">
        <f t="shared" si="17"/>
        <v>11.39273710482529</v>
      </c>
      <c r="J82" s="66">
        <f t="shared" si="19"/>
        <v>11.685600761469068</v>
      </c>
      <c r="K82" s="21">
        <v>7.2069999999999999</v>
      </c>
      <c r="L82" s="21">
        <v>0.219</v>
      </c>
      <c r="M82" s="21">
        <f t="shared" si="18"/>
        <v>7.4260000000000002</v>
      </c>
      <c r="N82" s="57">
        <f t="shared" si="20"/>
        <v>6.8023905650666281</v>
      </c>
    </row>
    <row r="83" spans="1:14" x14ac:dyDescent="0.4">
      <c r="A83" s="13" t="s">
        <v>237</v>
      </c>
      <c r="B83" s="14" t="s">
        <v>13</v>
      </c>
      <c r="C83" s="14">
        <v>2017</v>
      </c>
      <c r="D83" s="64">
        <v>7.1289844891259735</v>
      </c>
      <c r="E83" s="64">
        <v>7.523100533442757</v>
      </c>
      <c r="F83" s="64">
        <v>1.3783798112433319</v>
      </c>
      <c r="G83" s="64">
        <f t="shared" si="16"/>
        <v>16.030464833812061</v>
      </c>
      <c r="H83" s="65"/>
      <c r="I83" s="65">
        <f t="shared" si="17"/>
        <v>16.030464833812061</v>
      </c>
      <c r="J83" s="66">
        <f t="shared" si="19"/>
        <v>12.330531004698287</v>
      </c>
      <c r="K83" s="21">
        <v>7.37</v>
      </c>
      <c r="L83" s="21">
        <v>0.13400000000000001</v>
      </c>
      <c r="M83" s="21">
        <f t="shared" si="18"/>
        <v>7.5040000000000004</v>
      </c>
      <c r="N83" s="57">
        <f t="shared" si="20"/>
        <v>7.4582419706891185</v>
      </c>
    </row>
    <row r="84" spans="1:14" x14ac:dyDescent="0.4">
      <c r="A84" s="14" t="s">
        <v>147</v>
      </c>
      <c r="B84" s="14" t="s">
        <v>14</v>
      </c>
      <c r="C84" s="14">
        <v>2018</v>
      </c>
      <c r="D84" s="64">
        <v>6.07</v>
      </c>
      <c r="E84" s="64">
        <v>3.0430000000000001</v>
      </c>
      <c r="F84" s="64">
        <v>1.1000000000000001</v>
      </c>
      <c r="G84" s="64">
        <f t="shared" si="16"/>
        <v>10.212999999999999</v>
      </c>
      <c r="H84" s="65"/>
      <c r="I84" s="65">
        <f t="shared" si="17"/>
        <v>10.212999999999999</v>
      </c>
      <c r="J84" s="66">
        <f t="shared" si="19"/>
        <v>12.54540064621245</v>
      </c>
      <c r="K84" s="21">
        <v>7.1619999999999999</v>
      </c>
      <c r="L84" s="21">
        <v>0.252</v>
      </c>
      <c r="M84" s="21">
        <f t="shared" si="18"/>
        <v>7.4139999999999997</v>
      </c>
      <c r="N84" s="57">
        <f t="shared" si="20"/>
        <v>7.4480000000000004</v>
      </c>
    </row>
    <row r="85" spans="1:14" x14ac:dyDescent="0.4">
      <c r="A85" s="14" t="s">
        <v>148</v>
      </c>
      <c r="B85" s="14" t="s">
        <v>14</v>
      </c>
      <c r="C85" s="14">
        <v>2019</v>
      </c>
      <c r="D85" s="64">
        <v>7.655857154020473</v>
      </c>
      <c r="E85" s="64">
        <v>5.2811146362428696</v>
      </c>
      <c r="F85" s="64">
        <v>1.5108444166601547</v>
      </c>
      <c r="G85" s="64">
        <f t="shared" si="16"/>
        <v>14.447816206923497</v>
      </c>
      <c r="H85" s="65"/>
      <c r="I85" s="65">
        <f t="shared" si="17"/>
        <v>14.447816206923497</v>
      </c>
      <c r="J85" s="66">
        <f t="shared" si="19"/>
        <v>13.563760346911854</v>
      </c>
      <c r="K85" s="21">
        <v>7.117</v>
      </c>
      <c r="L85" s="21">
        <v>0.252</v>
      </c>
      <c r="M85" s="21">
        <f t="shared" si="18"/>
        <v>7.3689999999999998</v>
      </c>
      <c r="N85" s="57">
        <f t="shared" si="20"/>
        <v>7.4289999999999994</v>
      </c>
    </row>
    <row r="86" spans="1:14" x14ac:dyDescent="0.4">
      <c r="A86" s="14" t="s">
        <v>149</v>
      </c>
      <c r="B86" s="14" t="s">
        <v>14</v>
      </c>
      <c r="C86" s="14">
        <v>2020</v>
      </c>
      <c r="D86" s="64">
        <v>7.7364703448276106</v>
      </c>
      <c r="E86" s="64">
        <v>2.4734088888888968</v>
      </c>
      <c r="F86" s="64">
        <v>1.4767621455938744</v>
      </c>
      <c r="G86" s="64">
        <f t="shared" si="16"/>
        <v>11.68664137931038</v>
      </c>
      <c r="H86" s="65"/>
      <c r="I86" s="65">
        <f t="shared" si="17"/>
        <v>11.68664137931038</v>
      </c>
      <c r="J86" s="66">
        <f t="shared" si="19"/>
        <v>12.115819195411291</v>
      </c>
      <c r="K86" s="21">
        <v>6.9569999999999999</v>
      </c>
      <c r="L86" s="21">
        <v>0.246</v>
      </c>
      <c r="M86" s="21">
        <f t="shared" si="18"/>
        <v>7.2029999999999994</v>
      </c>
      <c r="N86" s="57">
        <f t="shared" si="20"/>
        <v>7.328666666666666</v>
      </c>
    </row>
    <row r="87" spans="1:14" x14ac:dyDescent="0.4">
      <c r="A87" s="14" t="s">
        <v>150</v>
      </c>
      <c r="B87" s="14" t="s">
        <v>14</v>
      </c>
      <c r="C87" s="14">
        <v>2021</v>
      </c>
      <c r="D87" s="64">
        <v>7.0129999999999999</v>
      </c>
      <c r="E87" s="64">
        <v>9.3149999999999995</v>
      </c>
      <c r="F87" s="64">
        <v>2.5379999999999998</v>
      </c>
      <c r="G87" s="64">
        <f t="shared" si="16"/>
        <v>18.866</v>
      </c>
      <c r="H87" s="65">
        <v>2.7477999999999998</v>
      </c>
      <c r="I87" s="65">
        <f t="shared" si="17"/>
        <v>21.613799999999998</v>
      </c>
      <c r="J87" s="66">
        <f t="shared" si="19"/>
        <v>15.916085862077958</v>
      </c>
      <c r="K87" s="21">
        <v>6.8239999999999998</v>
      </c>
      <c r="L87" s="21">
        <v>0.24099999999999999</v>
      </c>
      <c r="M87" s="21">
        <f t="shared" si="18"/>
        <v>7.0649999999999995</v>
      </c>
      <c r="N87" s="57">
        <f t="shared" si="20"/>
        <v>7.2123333333333335</v>
      </c>
    </row>
    <row r="88" spans="1:14" x14ac:dyDescent="0.4">
      <c r="A88" s="14" t="s">
        <v>151</v>
      </c>
      <c r="B88" s="14" t="s">
        <v>14</v>
      </c>
      <c r="C88" s="14">
        <v>2022</v>
      </c>
      <c r="D88" s="64">
        <v>7.0030000000000001</v>
      </c>
      <c r="E88" s="64">
        <v>6.4779999999999998</v>
      </c>
      <c r="F88" s="64">
        <v>2.5379999999999998</v>
      </c>
      <c r="G88" s="64">
        <f t="shared" si="16"/>
        <v>16.018999999999998</v>
      </c>
      <c r="H88" s="65">
        <v>2.7477999999999998</v>
      </c>
      <c r="I88" s="65">
        <f t="shared" si="17"/>
        <v>18.766799999999996</v>
      </c>
      <c r="J88" s="66">
        <f t="shared" si="19"/>
        <v>17.355747126436793</v>
      </c>
      <c r="K88" s="21">
        <v>6.91</v>
      </c>
      <c r="L88" s="21">
        <v>0.24399999999999999</v>
      </c>
      <c r="M88" s="21">
        <f t="shared" si="18"/>
        <v>7.1539999999999999</v>
      </c>
      <c r="N88" s="57">
        <f t="shared" si="20"/>
        <v>7.1406666666666654</v>
      </c>
    </row>
    <row r="89" spans="1:14" x14ac:dyDescent="0.4">
      <c r="A89" s="14" t="s">
        <v>152</v>
      </c>
      <c r="B89" s="14" t="s">
        <v>14</v>
      </c>
      <c r="C89" s="14">
        <v>2023</v>
      </c>
      <c r="D89" s="64">
        <v>7.0250000000000004</v>
      </c>
      <c r="E89" s="64">
        <v>7.27</v>
      </c>
      <c r="F89" s="64">
        <v>2.5379999999999998</v>
      </c>
      <c r="G89" s="64">
        <f t="shared" si="16"/>
        <v>16.832999999999998</v>
      </c>
      <c r="H89" s="65">
        <v>2.7477999999999998</v>
      </c>
      <c r="I89" s="65">
        <f t="shared" si="17"/>
        <v>19.580799999999996</v>
      </c>
      <c r="J89" s="66">
        <f t="shared" si="19"/>
        <v>19.987133333333329</v>
      </c>
      <c r="K89" s="21">
        <v>6.6929999999999996</v>
      </c>
      <c r="L89" s="21">
        <v>0.23699999999999999</v>
      </c>
      <c r="M89" s="21">
        <f t="shared" si="18"/>
        <v>6.93</v>
      </c>
      <c r="N89" s="57">
        <f t="shared" si="20"/>
        <v>7.049666666666667</v>
      </c>
    </row>
    <row r="90" spans="1:14" x14ac:dyDescent="0.4">
      <c r="A90" s="14" t="s">
        <v>153</v>
      </c>
      <c r="B90" s="14" t="s">
        <v>14</v>
      </c>
      <c r="C90" s="14">
        <v>2024</v>
      </c>
      <c r="D90" s="64">
        <v>7.0220000000000002</v>
      </c>
      <c r="E90" s="64">
        <v>8.9250000000000007</v>
      </c>
      <c r="F90" s="64">
        <v>2.5379999999999998</v>
      </c>
      <c r="G90" s="64">
        <f t="shared" si="16"/>
        <v>18.484999999999999</v>
      </c>
      <c r="H90" s="65">
        <v>2.7477999999999998</v>
      </c>
      <c r="I90" s="65">
        <f t="shared" si="17"/>
        <v>21.232799999999997</v>
      </c>
      <c r="J90" s="66">
        <f t="shared" si="19"/>
        <v>19.86013333333333</v>
      </c>
      <c r="K90" s="21">
        <v>6.8289999999999997</v>
      </c>
      <c r="L90" s="21">
        <v>0.24199999999999999</v>
      </c>
      <c r="M90" s="21">
        <f t="shared" si="18"/>
        <v>7.0709999999999997</v>
      </c>
      <c r="N90" s="57">
        <f t="shared" si="20"/>
        <v>7.0516666666666667</v>
      </c>
    </row>
    <row r="91" spans="1:14" x14ac:dyDescent="0.4">
      <c r="A91" s="14" t="s">
        <v>154</v>
      </c>
      <c r="B91" s="14" t="s">
        <v>14</v>
      </c>
      <c r="C91" s="14">
        <v>2025</v>
      </c>
      <c r="D91" s="64">
        <v>7.04</v>
      </c>
      <c r="E91" s="64">
        <v>8.6839999999999993</v>
      </c>
      <c r="F91" s="64">
        <v>2.528</v>
      </c>
      <c r="G91" s="64">
        <f t="shared" si="16"/>
        <v>18.251999999999999</v>
      </c>
      <c r="H91" s="65">
        <v>2.7477999999999998</v>
      </c>
      <c r="I91" s="65">
        <f t="shared" si="17"/>
        <v>20.9998</v>
      </c>
      <c r="J91" s="66">
        <f t="shared" si="19"/>
        <v>20.604466666666664</v>
      </c>
      <c r="K91" s="21">
        <v>6.6680000000000001</v>
      </c>
      <c r="L91" s="21">
        <v>0.23599999999999999</v>
      </c>
      <c r="M91" s="21">
        <f t="shared" si="18"/>
        <v>6.9039999999999999</v>
      </c>
      <c r="N91" s="57">
        <f t="shared" si="20"/>
        <v>6.9683333333333337</v>
      </c>
    </row>
    <row r="92" spans="1:14" x14ac:dyDescent="0.4">
      <c r="A92" s="14" t="s">
        <v>160</v>
      </c>
      <c r="B92" s="14" t="s">
        <v>15</v>
      </c>
      <c r="C92" s="14">
        <v>2012</v>
      </c>
      <c r="D92" s="64">
        <v>4.9740160471635866</v>
      </c>
      <c r="E92" s="64">
        <v>54.484268468204661</v>
      </c>
      <c r="F92" s="64">
        <v>28.219327821598</v>
      </c>
      <c r="G92" s="64">
        <f t="shared" si="16"/>
        <v>87.677612336966249</v>
      </c>
      <c r="H92" s="65"/>
      <c r="I92" s="65">
        <f t="shared" si="17"/>
        <v>87.677612336966249</v>
      </c>
      <c r="J92" s="66"/>
      <c r="K92" s="21">
        <v>30.32</v>
      </c>
      <c r="L92" s="21">
        <v>1.1499999999999999</v>
      </c>
      <c r="M92" s="21">
        <f t="shared" si="18"/>
        <v>31.47</v>
      </c>
      <c r="N92" s="57"/>
    </row>
    <row r="93" spans="1:14" x14ac:dyDescent="0.4">
      <c r="A93" s="14" t="s">
        <v>161</v>
      </c>
      <c r="B93" s="14" t="s">
        <v>15</v>
      </c>
      <c r="C93" s="14">
        <v>2013</v>
      </c>
      <c r="D93" s="64">
        <v>11.480263006266036</v>
      </c>
      <c r="E93" s="64">
        <v>37.706554279146658</v>
      </c>
      <c r="F93" s="64">
        <v>24.153104928501921</v>
      </c>
      <c r="G93" s="64">
        <f t="shared" si="16"/>
        <v>73.339922213914619</v>
      </c>
      <c r="H93" s="65"/>
      <c r="I93" s="65">
        <f t="shared" si="17"/>
        <v>73.339922213914619</v>
      </c>
      <c r="J93" s="66"/>
      <c r="K93" s="21">
        <v>35.508000000000003</v>
      </c>
      <c r="L93" s="21">
        <v>0.82</v>
      </c>
      <c r="M93" s="21">
        <f t="shared" si="18"/>
        <v>36.328000000000003</v>
      </c>
      <c r="N93" s="57"/>
    </row>
    <row r="94" spans="1:14" x14ac:dyDescent="0.4">
      <c r="A94" s="14" t="s">
        <v>162</v>
      </c>
      <c r="B94" s="14" t="s">
        <v>15</v>
      </c>
      <c r="C94" s="14">
        <v>2014</v>
      </c>
      <c r="D94" s="64">
        <v>16.104856920056424</v>
      </c>
      <c r="E94" s="64">
        <v>19.89424441103731</v>
      </c>
      <c r="F94" s="64">
        <v>29.573068355623171</v>
      </c>
      <c r="G94" s="64">
        <f t="shared" si="16"/>
        <v>65.572169686716904</v>
      </c>
      <c r="H94" s="65"/>
      <c r="I94" s="65">
        <f t="shared" si="17"/>
        <v>65.572169686716904</v>
      </c>
      <c r="J94" s="66">
        <f t="shared" ref="J94:J105" si="21">IF(OR(I92="",I93="",I94=""),"",AVERAGE(I92:I94))</f>
        <v>75.529901412532595</v>
      </c>
      <c r="K94" s="21">
        <v>45.823</v>
      </c>
      <c r="L94" s="21">
        <v>1.1399999999999999</v>
      </c>
      <c r="M94" s="21">
        <f t="shared" si="18"/>
        <v>46.963000000000001</v>
      </c>
      <c r="N94" s="57">
        <f t="shared" ref="N94:N105" si="22">IF(OR(M92="",M93="",M94=""),"",AVERAGE(M92:M94))</f>
        <v>38.253666666666668</v>
      </c>
    </row>
    <row r="95" spans="1:14" x14ac:dyDescent="0.4">
      <c r="A95" s="14" t="s">
        <v>163</v>
      </c>
      <c r="B95" s="14" t="s">
        <v>15</v>
      </c>
      <c r="C95" s="14">
        <v>2015</v>
      </c>
      <c r="D95" s="64">
        <v>22.095323318810433</v>
      </c>
      <c r="E95" s="64">
        <v>19.504786249428374</v>
      </c>
      <c r="F95" s="64">
        <v>83.82897752691521</v>
      </c>
      <c r="G95" s="64">
        <f t="shared" si="16"/>
        <v>125.42908709515402</v>
      </c>
      <c r="H95" s="65"/>
      <c r="I95" s="65">
        <f t="shared" si="17"/>
        <v>125.42908709515402</v>
      </c>
      <c r="J95" s="66">
        <f t="shared" si="21"/>
        <v>88.113726331928504</v>
      </c>
      <c r="K95" s="21">
        <v>41.947000000000003</v>
      </c>
      <c r="L95" s="21">
        <v>1.056</v>
      </c>
      <c r="M95" s="21">
        <f t="shared" si="18"/>
        <v>43.003</v>
      </c>
      <c r="N95" s="57">
        <f t="shared" si="22"/>
        <v>42.097999999999999</v>
      </c>
    </row>
    <row r="96" spans="1:14" x14ac:dyDescent="0.4">
      <c r="A96" s="14" t="s">
        <v>164</v>
      </c>
      <c r="B96" s="14" t="s">
        <v>15</v>
      </c>
      <c r="C96" s="14">
        <v>2016</v>
      </c>
      <c r="D96" s="64">
        <v>11.167328405755267</v>
      </c>
      <c r="E96" s="64">
        <v>13.480218729693261</v>
      </c>
      <c r="F96" s="64">
        <v>39.081477863153253</v>
      </c>
      <c r="G96" s="64">
        <f t="shared" si="16"/>
        <v>63.72902499860178</v>
      </c>
      <c r="H96" s="65"/>
      <c r="I96" s="65">
        <f t="shared" si="17"/>
        <v>63.72902499860178</v>
      </c>
      <c r="J96" s="66">
        <f t="shared" si="21"/>
        <v>84.910093926824231</v>
      </c>
      <c r="K96" s="21">
        <v>48.244999999999997</v>
      </c>
      <c r="L96" s="21">
        <v>1.218</v>
      </c>
      <c r="M96" s="21">
        <f t="shared" si="18"/>
        <v>49.462999999999994</v>
      </c>
      <c r="N96" s="57">
        <f t="shared" si="22"/>
        <v>46.476333333333336</v>
      </c>
    </row>
    <row r="97" spans="1:14" x14ac:dyDescent="0.4">
      <c r="A97" s="14" t="s">
        <v>165</v>
      </c>
      <c r="B97" s="14" t="s">
        <v>15</v>
      </c>
      <c r="C97" s="14">
        <v>2017</v>
      </c>
      <c r="D97" s="64">
        <v>17.892684859053318</v>
      </c>
      <c r="E97" s="64">
        <v>22.005985534903949</v>
      </c>
      <c r="F97" s="64">
        <v>27.614274119509151</v>
      </c>
      <c r="G97" s="64">
        <f t="shared" si="16"/>
        <v>67.512944513466422</v>
      </c>
      <c r="H97" s="65"/>
      <c r="I97" s="65">
        <f t="shared" si="17"/>
        <v>67.512944513466422</v>
      </c>
      <c r="J97" s="66">
        <f t="shared" si="21"/>
        <v>85.557018869074071</v>
      </c>
      <c r="K97" s="21">
        <v>44.225999999999999</v>
      </c>
      <c r="L97" s="21">
        <v>0.89500000000000002</v>
      </c>
      <c r="M97" s="21">
        <f t="shared" si="18"/>
        <v>45.121000000000002</v>
      </c>
      <c r="N97" s="57">
        <f t="shared" si="22"/>
        <v>45.862333333333332</v>
      </c>
    </row>
    <row r="98" spans="1:14" x14ac:dyDescent="0.4">
      <c r="A98" s="14" t="s">
        <v>166</v>
      </c>
      <c r="B98" s="14" t="s">
        <v>15</v>
      </c>
      <c r="C98" s="14">
        <v>2018</v>
      </c>
      <c r="D98" s="64">
        <v>15.9119011570459</v>
      </c>
      <c r="E98" s="64">
        <v>27.073865892616599</v>
      </c>
      <c r="F98" s="64">
        <v>14.9465730181072</v>
      </c>
      <c r="G98" s="64">
        <f t="shared" si="16"/>
        <v>57.932340067769701</v>
      </c>
      <c r="H98" s="65"/>
      <c r="I98" s="65">
        <f t="shared" si="17"/>
        <v>57.932340067769701</v>
      </c>
      <c r="J98" s="66">
        <f t="shared" si="21"/>
        <v>63.058103193279301</v>
      </c>
      <c r="K98" s="21">
        <v>45.241</v>
      </c>
      <c r="L98" s="21">
        <v>1.2709999999999999</v>
      </c>
      <c r="M98" s="21">
        <f t="shared" si="18"/>
        <v>46.512</v>
      </c>
      <c r="N98" s="57">
        <f t="shared" si="22"/>
        <v>47.032000000000004</v>
      </c>
    </row>
    <row r="99" spans="1:14" x14ac:dyDescent="0.4">
      <c r="A99" s="14" t="s">
        <v>167</v>
      </c>
      <c r="B99" s="14" t="s">
        <v>15</v>
      </c>
      <c r="C99" s="14">
        <v>2019</v>
      </c>
      <c r="D99" s="64">
        <v>41.073562013130534</v>
      </c>
      <c r="E99" s="64">
        <v>16.470837634445839</v>
      </c>
      <c r="F99" s="64">
        <v>35.798523273858898</v>
      </c>
      <c r="G99" s="64">
        <f t="shared" si="16"/>
        <v>93.342922921435274</v>
      </c>
      <c r="H99" s="65"/>
      <c r="I99" s="65">
        <f t="shared" si="17"/>
        <v>93.342922921435274</v>
      </c>
      <c r="J99" s="66">
        <f t="shared" si="21"/>
        <v>72.929402500890475</v>
      </c>
      <c r="K99" s="21">
        <v>65.531999999999996</v>
      </c>
      <c r="L99" s="21">
        <v>1.4079999999999999</v>
      </c>
      <c r="M99" s="21">
        <f t="shared" si="18"/>
        <v>66.94</v>
      </c>
      <c r="N99" s="57">
        <f t="shared" si="22"/>
        <v>52.857666666666667</v>
      </c>
    </row>
    <row r="100" spans="1:14" x14ac:dyDescent="0.4">
      <c r="A100" s="14" t="s">
        <v>168</v>
      </c>
      <c r="B100" s="14" t="s">
        <v>15</v>
      </c>
      <c r="C100" s="14">
        <v>2020</v>
      </c>
      <c r="D100" s="64">
        <v>29.696843671564388</v>
      </c>
      <c r="E100" s="64">
        <v>10.283470709736712</v>
      </c>
      <c r="F100" s="64">
        <v>55.449321645652397</v>
      </c>
      <c r="G100" s="64">
        <f t="shared" si="16"/>
        <v>95.429636026953489</v>
      </c>
      <c r="H100" s="65"/>
      <c r="I100" s="65">
        <f t="shared" si="17"/>
        <v>95.429636026953489</v>
      </c>
      <c r="J100" s="66">
        <f t="shared" si="21"/>
        <v>82.234966338719488</v>
      </c>
      <c r="K100" s="21">
        <v>69.188999999999993</v>
      </c>
      <c r="L100" s="21">
        <v>1.417</v>
      </c>
      <c r="M100" s="21">
        <f t="shared" si="18"/>
        <v>70.605999999999995</v>
      </c>
      <c r="N100" s="57">
        <f t="shared" si="22"/>
        <v>61.352666666666664</v>
      </c>
    </row>
    <row r="101" spans="1:14" x14ac:dyDescent="0.4">
      <c r="A101" s="14" t="s">
        <v>169</v>
      </c>
      <c r="B101" s="14" t="s">
        <v>15</v>
      </c>
      <c r="C101" s="14">
        <v>2021</v>
      </c>
      <c r="D101" s="64">
        <v>20.382789320503001</v>
      </c>
      <c r="E101" s="64">
        <v>65.815951132099997</v>
      </c>
      <c r="F101" s="64">
        <v>15.6889726714</v>
      </c>
      <c r="G101" s="64">
        <f t="shared" si="16"/>
        <v>101.887713124003</v>
      </c>
      <c r="H101" s="65">
        <v>0</v>
      </c>
      <c r="I101" s="65">
        <f t="shared" si="17"/>
        <v>101.887713124003</v>
      </c>
      <c r="J101" s="66">
        <f t="shared" si="21"/>
        <v>96.886757357463921</v>
      </c>
      <c r="K101" s="21">
        <v>69.47</v>
      </c>
      <c r="L101" s="21">
        <v>1.3560000000000001</v>
      </c>
      <c r="M101" s="21">
        <f t="shared" si="18"/>
        <v>70.825999999999993</v>
      </c>
      <c r="N101" s="57">
        <f t="shared" si="22"/>
        <v>69.457333333333324</v>
      </c>
    </row>
    <row r="102" spans="1:14" x14ac:dyDescent="0.4">
      <c r="A102" s="14" t="s">
        <v>170</v>
      </c>
      <c r="B102" s="14" t="s">
        <v>15</v>
      </c>
      <c r="C102" s="14">
        <v>2022</v>
      </c>
      <c r="D102" s="64">
        <v>33.137031317279302</v>
      </c>
      <c r="E102" s="64">
        <v>98.716856289600003</v>
      </c>
      <c r="F102" s="64">
        <v>15.5880663944</v>
      </c>
      <c r="G102" s="64">
        <f t="shared" si="16"/>
        <v>147.4419540012793</v>
      </c>
      <c r="H102" s="65">
        <v>0</v>
      </c>
      <c r="I102" s="65">
        <f t="shared" si="17"/>
        <v>147.4419540012793</v>
      </c>
      <c r="J102" s="66">
        <f t="shared" si="21"/>
        <v>114.91976771741194</v>
      </c>
      <c r="K102" s="21">
        <v>67.501999999999995</v>
      </c>
      <c r="L102" s="21">
        <v>1.256</v>
      </c>
      <c r="M102" s="21">
        <f t="shared" si="18"/>
        <v>68.757999999999996</v>
      </c>
      <c r="N102" s="57">
        <f t="shared" si="22"/>
        <v>70.063333333333333</v>
      </c>
    </row>
    <row r="103" spans="1:14" x14ac:dyDescent="0.4">
      <c r="A103" s="14" t="s">
        <v>171</v>
      </c>
      <c r="B103" s="14" t="s">
        <v>15</v>
      </c>
      <c r="C103" s="14">
        <v>2023</v>
      </c>
      <c r="D103" s="64">
        <v>30.136488213944101</v>
      </c>
      <c r="E103" s="64">
        <v>98.749058958600003</v>
      </c>
      <c r="F103" s="64">
        <v>18.576582434799999</v>
      </c>
      <c r="G103" s="64">
        <f t="shared" si="16"/>
        <v>147.46212960734411</v>
      </c>
      <c r="H103" s="65">
        <v>0</v>
      </c>
      <c r="I103" s="65">
        <f t="shared" si="17"/>
        <v>147.46212960734411</v>
      </c>
      <c r="J103" s="66">
        <f t="shared" si="21"/>
        <v>132.2639322442088</v>
      </c>
      <c r="K103" s="21">
        <v>58.62</v>
      </c>
      <c r="L103" s="21">
        <v>1.04</v>
      </c>
      <c r="M103" s="21">
        <f t="shared" si="18"/>
        <v>59.66</v>
      </c>
      <c r="N103" s="57">
        <f t="shared" si="22"/>
        <v>66.414666666666662</v>
      </c>
    </row>
    <row r="104" spans="1:14" x14ac:dyDescent="0.4">
      <c r="A104" s="14" t="s">
        <v>172</v>
      </c>
      <c r="B104" s="14" t="s">
        <v>15</v>
      </c>
      <c r="C104" s="14">
        <v>2024</v>
      </c>
      <c r="D104" s="64">
        <v>38.5084199925315</v>
      </c>
      <c r="E104" s="64">
        <v>65.243119983699998</v>
      </c>
      <c r="F104" s="64">
        <v>16.484811117500001</v>
      </c>
      <c r="G104" s="64">
        <f t="shared" si="16"/>
        <v>120.2363510937315</v>
      </c>
      <c r="H104" s="65">
        <v>0</v>
      </c>
      <c r="I104" s="65">
        <f t="shared" si="17"/>
        <v>120.2363510937315</v>
      </c>
      <c r="J104" s="66">
        <f t="shared" si="21"/>
        <v>138.38014490078498</v>
      </c>
      <c r="K104" s="21">
        <v>59.215000000000003</v>
      </c>
      <c r="L104" s="21">
        <v>1.002</v>
      </c>
      <c r="M104" s="21">
        <f t="shared" si="18"/>
        <v>60.217000000000006</v>
      </c>
      <c r="N104" s="57">
        <f t="shared" si="22"/>
        <v>62.878333333333337</v>
      </c>
    </row>
    <row r="105" spans="1:14" x14ac:dyDescent="0.4">
      <c r="A105" s="14" t="s">
        <v>173</v>
      </c>
      <c r="B105" s="14" t="s">
        <v>15</v>
      </c>
      <c r="C105" s="14">
        <v>2025</v>
      </c>
      <c r="D105" s="64">
        <v>31.699675311500499</v>
      </c>
      <c r="E105" s="64">
        <v>56.036402907700001</v>
      </c>
      <c r="F105" s="64">
        <v>18.1277076975</v>
      </c>
      <c r="G105" s="64">
        <f t="shared" si="16"/>
        <v>105.86378591670049</v>
      </c>
      <c r="H105" s="65">
        <v>0</v>
      </c>
      <c r="I105" s="65">
        <f t="shared" si="17"/>
        <v>105.86378591670049</v>
      </c>
      <c r="J105" s="66">
        <f t="shared" si="21"/>
        <v>124.5207555392587</v>
      </c>
      <c r="K105" s="21">
        <v>56.686</v>
      </c>
      <c r="L105" s="21">
        <v>0.91400000000000003</v>
      </c>
      <c r="M105" s="21">
        <f t="shared" si="18"/>
        <v>57.6</v>
      </c>
      <c r="N105" s="57">
        <f t="shared" si="22"/>
        <v>59.158999999999999</v>
      </c>
    </row>
    <row r="106" spans="1:14" x14ac:dyDescent="0.4">
      <c r="A106" s="14" t="s">
        <v>174</v>
      </c>
      <c r="B106" s="14" t="s">
        <v>16</v>
      </c>
      <c r="C106" s="14">
        <v>2012</v>
      </c>
      <c r="D106" s="64">
        <v>1.9769580277458683</v>
      </c>
      <c r="E106" s="64">
        <v>2.7958098435981253</v>
      </c>
      <c r="F106" s="64">
        <v>11.111410267738796</v>
      </c>
      <c r="G106" s="64">
        <f t="shared" si="16"/>
        <v>15.884178139082788</v>
      </c>
      <c r="H106" s="65"/>
      <c r="I106" s="65">
        <f t="shared" si="17"/>
        <v>15.884178139082788</v>
      </c>
      <c r="J106" s="66"/>
      <c r="K106" s="21">
        <v>7.0220000000000002</v>
      </c>
      <c r="L106" s="21">
        <v>0.42299999999999999</v>
      </c>
      <c r="M106" s="21">
        <f t="shared" si="18"/>
        <v>7.4450000000000003</v>
      </c>
      <c r="N106" s="57"/>
    </row>
    <row r="107" spans="1:14" x14ac:dyDescent="0.4">
      <c r="A107" s="14" t="s">
        <v>175</v>
      </c>
      <c r="B107" s="14" t="s">
        <v>16</v>
      </c>
      <c r="C107" s="14">
        <v>2013</v>
      </c>
      <c r="D107" s="64">
        <v>2.3371868852459015</v>
      </c>
      <c r="E107" s="64">
        <v>7.169099568593615</v>
      </c>
      <c r="F107" s="64">
        <v>14.988856427955133</v>
      </c>
      <c r="G107" s="64">
        <f t="shared" si="16"/>
        <v>24.495142881794649</v>
      </c>
      <c r="H107" s="65"/>
      <c r="I107" s="65">
        <f t="shared" si="17"/>
        <v>24.495142881794649</v>
      </c>
      <c r="J107" s="66"/>
      <c r="K107" s="21">
        <v>5.3529999999999998</v>
      </c>
      <c r="L107" s="21">
        <v>0.36399999999999999</v>
      </c>
      <c r="M107" s="21">
        <f t="shared" si="18"/>
        <v>5.7169999999999996</v>
      </c>
      <c r="N107" s="57"/>
    </row>
    <row r="108" spans="1:14" x14ac:dyDescent="0.4">
      <c r="A108" s="14" t="s">
        <v>176</v>
      </c>
      <c r="B108" s="14" t="s">
        <v>16</v>
      </c>
      <c r="C108" s="14">
        <v>2014</v>
      </c>
      <c r="D108" s="64">
        <v>2.9172210953346847</v>
      </c>
      <c r="E108" s="64">
        <v>3.9033686612576055</v>
      </c>
      <c r="F108" s="64">
        <v>11.631890635564568</v>
      </c>
      <c r="G108" s="64">
        <f t="shared" si="16"/>
        <v>18.452480392156858</v>
      </c>
      <c r="H108" s="65"/>
      <c r="I108" s="65">
        <f t="shared" si="17"/>
        <v>18.452480392156858</v>
      </c>
      <c r="J108" s="66">
        <f t="shared" ref="J108:J119" si="23">IF(OR(I106="",I107="",I108=""),"",AVERAGE(I106:I108))</f>
        <v>19.610600471011434</v>
      </c>
      <c r="K108" s="21">
        <v>6.2679999999999998</v>
      </c>
      <c r="L108" s="21">
        <v>0.39400000000000002</v>
      </c>
      <c r="M108" s="21">
        <f t="shared" si="18"/>
        <v>6.6619999999999999</v>
      </c>
      <c r="N108" s="57">
        <f t="shared" ref="N108:N119" si="24">IF(OR(M106="",M107="",M108=""),"",AVERAGE(M106:M108))</f>
        <v>6.6079999999999997</v>
      </c>
    </row>
    <row r="109" spans="1:14" x14ac:dyDescent="0.4">
      <c r="A109" s="14" t="s">
        <v>177</v>
      </c>
      <c r="B109" s="14" t="s">
        <v>16</v>
      </c>
      <c r="C109" s="14">
        <v>2015</v>
      </c>
      <c r="D109" s="64">
        <v>2.8560957633492108</v>
      </c>
      <c r="E109" s="64">
        <v>3.4893903233893213</v>
      </c>
      <c r="F109" s="64">
        <v>7.1365817665246105</v>
      </c>
      <c r="G109" s="64">
        <f t="shared" si="16"/>
        <v>13.482067853263143</v>
      </c>
      <c r="H109" s="65"/>
      <c r="I109" s="65">
        <f t="shared" si="17"/>
        <v>13.482067853263143</v>
      </c>
      <c r="J109" s="66">
        <f t="shared" si="23"/>
        <v>18.809897042404884</v>
      </c>
      <c r="K109" s="21">
        <v>7.2290000000000001</v>
      </c>
      <c r="L109" s="21">
        <v>0.48899999999999999</v>
      </c>
      <c r="M109" s="21">
        <f t="shared" si="18"/>
        <v>7.718</v>
      </c>
      <c r="N109" s="57">
        <f t="shared" si="24"/>
        <v>6.6990000000000007</v>
      </c>
    </row>
    <row r="110" spans="1:14" x14ac:dyDescent="0.4">
      <c r="A110" s="14" t="s">
        <v>178</v>
      </c>
      <c r="B110" s="14" t="s">
        <v>16</v>
      </c>
      <c r="C110" s="14">
        <v>2016</v>
      </c>
      <c r="D110" s="64">
        <v>2.9995672212978364</v>
      </c>
      <c r="E110" s="64">
        <v>1.3692093178036604</v>
      </c>
      <c r="F110" s="64">
        <v>7.8968835274542419</v>
      </c>
      <c r="G110" s="64">
        <f t="shared" si="16"/>
        <v>12.265660066555739</v>
      </c>
      <c r="H110" s="65"/>
      <c r="I110" s="65">
        <f t="shared" si="17"/>
        <v>12.265660066555739</v>
      </c>
      <c r="J110" s="66">
        <f t="shared" si="23"/>
        <v>14.73340277065858</v>
      </c>
      <c r="K110" s="21">
        <v>8.32</v>
      </c>
      <c r="L110" s="21">
        <v>0.44900000000000001</v>
      </c>
      <c r="M110" s="21">
        <f t="shared" si="18"/>
        <v>8.7690000000000001</v>
      </c>
      <c r="N110" s="57">
        <f t="shared" si="24"/>
        <v>7.7163333333333339</v>
      </c>
    </row>
    <row r="111" spans="1:14" x14ac:dyDescent="0.4">
      <c r="A111" s="14" t="s">
        <v>179</v>
      </c>
      <c r="B111" s="14" t="s">
        <v>16</v>
      </c>
      <c r="C111" s="14">
        <v>2017</v>
      </c>
      <c r="D111" s="64">
        <v>4.5651775133360681</v>
      </c>
      <c r="E111" s="64">
        <v>5.9086616331555186</v>
      </c>
      <c r="F111" s="64">
        <v>4.69039146491588</v>
      </c>
      <c r="G111" s="64">
        <f t="shared" si="16"/>
        <v>15.164230611407467</v>
      </c>
      <c r="H111" s="65"/>
      <c r="I111" s="65">
        <f t="shared" si="17"/>
        <v>15.164230611407467</v>
      </c>
      <c r="J111" s="66">
        <f t="shared" si="23"/>
        <v>13.637319510408782</v>
      </c>
      <c r="K111" s="21">
        <v>7.64</v>
      </c>
      <c r="L111" s="21">
        <v>0.28599999999999998</v>
      </c>
      <c r="M111" s="21">
        <f t="shared" si="18"/>
        <v>7.9259999999999993</v>
      </c>
      <c r="N111" s="57">
        <f t="shared" si="24"/>
        <v>8.1376666666666662</v>
      </c>
    </row>
    <row r="112" spans="1:14" x14ac:dyDescent="0.4">
      <c r="A112" s="14" t="s">
        <v>180</v>
      </c>
      <c r="B112" s="14" t="s">
        <v>16</v>
      </c>
      <c r="C112" s="14">
        <v>2018</v>
      </c>
      <c r="D112" s="64">
        <v>5.7759999999999998</v>
      </c>
      <c r="E112" s="64">
        <v>5.8289999999999997</v>
      </c>
      <c r="F112" s="64">
        <v>5.6779999999999999</v>
      </c>
      <c r="G112" s="64">
        <f t="shared" si="16"/>
        <v>17.283000000000001</v>
      </c>
      <c r="H112" s="65"/>
      <c r="I112" s="65">
        <f t="shared" si="17"/>
        <v>17.283000000000001</v>
      </c>
      <c r="J112" s="66">
        <f t="shared" si="23"/>
        <v>14.904296892654402</v>
      </c>
      <c r="K112" s="21">
        <v>8.1389999999999993</v>
      </c>
      <c r="L112" s="21">
        <v>0.36</v>
      </c>
      <c r="M112" s="21">
        <f t="shared" si="18"/>
        <v>8.4989999999999988</v>
      </c>
      <c r="N112" s="57">
        <f t="shared" si="24"/>
        <v>8.3979999999999997</v>
      </c>
    </row>
    <row r="113" spans="1:14" x14ac:dyDescent="0.4">
      <c r="A113" s="14" t="s">
        <v>181</v>
      </c>
      <c r="B113" s="14" t="s">
        <v>16</v>
      </c>
      <c r="C113" s="14">
        <v>2019</v>
      </c>
      <c r="D113" s="64">
        <v>5.1822636318646573</v>
      </c>
      <c r="E113" s="64">
        <v>7.2807051589296581</v>
      </c>
      <c r="F113" s="64">
        <v>6.0955194195376272</v>
      </c>
      <c r="G113" s="64">
        <f t="shared" ref="G113:G154" si="25">IF(SUM(D113:F113)=0,"",SUM(D113:F113))</f>
        <v>18.558488210331944</v>
      </c>
      <c r="H113" s="65"/>
      <c r="I113" s="65">
        <f t="shared" ref="I113:I154" si="26">IF(SUM(G113:H113)=0,"",SUM(G113:H113))</f>
        <v>18.558488210331944</v>
      </c>
      <c r="J113" s="66">
        <f t="shared" si="23"/>
        <v>17.001906273913139</v>
      </c>
      <c r="K113" s="21">
        <v>7.0789999999999997</v>
      </c>
      <c r="L113" s="21">
        <v>0.20899999999999999</v>
      </c>
      <c r="M113" s="21">
        <f t="shared" ref="M113:M154" si="27">IF(SUM(K113:L113)=0,"",SUM(K113:L113))</f>
        <v>7.2879999999999994</v>
      </c>
      <c r="N113" s="57">
        <f t="shared" si="24"/>
        <v>7.9043333333333328</v>
      </c>
    </row>
    <row r="114" spans="1:14" x14ac:dyDescent="0.4">
      <c r="A114" s="14" t="s">
        <v>182</v>
      </c>
      <c r="B114" s="14" t="s">
        <v>16</v>
      </c>
      <c r="C114" s="14">
        <v>2020</v>
      </c>
      <c r="D114" s="64">
        <v>5.1410169073164287</v>
      </c>
      <c r="E114" s="64">
        <v>13.090728744723449</v>
      </c>
      <c r="F114" s="64">
        <v>11.428187139225455</v>
      </c>
      <c r="G114" s="64">
        <f t="shared" si="25"/>
        <v>29.659932791265334</v>
      </c>
      <c r="H114" s="65"/>
      <c r="I114" s="65">
        <f t="shared" si="26"/>
        <v>29.659932791265334</v>
      </c>
      <c r="J114" s="66">
        <f t="shared" si="23"/>
        <v>21.833807000532428</v>
      </c>
      <c r="K114" s="21">
        <v>8.218</v>
      </c>
      <c r="L114" s="21">
        <v>0.23499999999999999</v>
      </c>
      <c r="M114" s="21">
        <f t="shared" si="27"/>
        <v>8.4529999999999994</v>
      </c>
      <c r="N114" s="57">
        <f t="shared" si="24"/>
        <v>8.08</v>
      </c>
    </row>
    <row r="115" spans="1:14" x14ac:dyDescent="0.4">
      <c r="A115" s="14" t="s">
        <v>183</v>
      </c>
      <c r="B115" s="14" t="s">
        <v>16</v>
      </c>
      <c r="C115" s="14">
        <v>2021</v>
      </c>
      <c r="D115" s="64">
        <v>8.1780000000000008</v>
      </c>
      <c r="E115" s="64">
        <v>10.282999999999999</v>
      </c>
      <c r="F115" s="64">
        <v>8.6709999999999994</v>
      </c>
      <c r="G115" s="64">
        <f t="shared" si="25"/>
        <v>27.131999999999998</v>
      </c>
      <c r="H115" s="65">
        <v>7.1834000000000007</v>
      </c>
      <c r="I115" s="65">
        <f t="shared" si="26"/>
        <v>34.315399999999997</v>
      </c>
      <c r="J115" s="66">
        <f t="shared" si="23"/>
        <v>27.511273667199092</v>
      </c>
      <c r="K115" s="21">
        <v>8.4280000000000008</v>
      </c>
      <c r="L115" s="21">
        <v>0.23200000000000001</v>
      </c>
      <c r="M115" s="21">
        <f t="shared" si="27"/>
        <v>8.66</v>
      </c>
      <c r="N115" s="57">
        <f t="shared" si="24"/>
        <v>8.1336666666666666</v>
      </c>
    </row>
    <row r="116" spans="1:14" x14ac:dyDescent="0.4">
      <c r="A116" s="14" t="s">
        <v>184</v>
      </c>
      <c r="B116" s="14" t="s">
        <v>16</v>
      </c>
      <c r="C116" s="14">
        <v>2022</v>
      </c>
      <c r="D116" s="64">
        <v>8.3559999999999999</v>
      </c>
      <c r="E116" s="64">
        <v>10.352</v>
      </c>
      <c r="F116" s="64">
        <v>8.5690000000000008</v>
      </c>
      <c r="G116" s="64">
        <f t="shared" si="25"/>
        <v>27.277000000000001</v>
      </c>
      <c r="H116" s="65">
        <v>7.1834000000000007</v>
      </c>
      <c r="I116" s="65">
        <f t="shared" si="26"/>
        <v>34.4604</v>
      </c>
      <c r="J116" s="66">
        <f t="shared" si="23"/>
        <v>32.811910930421782</v>
      </c>
      <c r="K116" s="21">
        <v>8.5719999999999992</v>
      </c>
      <c r="L116" s="21">
        <v>0.22900000000000001</v>
      </c>
      <c r="M116" s="21">
        <f t="shared" si="27"/>
        <v>8.8009999999999984</v>
      </c>
      <c r="N116" s="57">
        <f t="shared" si="24"/>
        <v>8.6379999999999999</v>
      </c>
    </row>
    <row r="117" spans="1:14" x14ac:dyDescent="0.4">
      <c r="A117" s="14" t="s">
        <v>185</v>
      </c>
      <c r="B117" s="14" t="s">
        <v>16</v>
      </c>
      <c r="C117" s="14">
        <v>2023</v>
      </c>
      <c r="D117" s="64">
        <v>8.3290000000000006</v>
      </c>
      <c r="E117" s="64">
        <v>11.256</v>
      </c>
      <c r="F117" s="64">
        <v>8.4700000000000006</v>
      </c>
      <c r="G117" s="64">
        <f t="shared" si="25"/>
        <v>28.055</v>
      </c>
      <c r="H117" s="65">
        <v>7.1834000000000007</v>
      </c>
      <c r="I117" s="65">
        <f t="shared" si="26"/>
        <v>35.238399999999999</v>
      </c>
      <c r="J117" s="66">
        <f t="shared" si="23"/>
        <v>34.671399999999998</v>
      </c>
      <c r="K117" s="21">
        <v>8.7129999999999992</v>
      </c>
      <c r="L117" s="21">
        <v>0.22600000000000001</v>
      </c>
      <c r="M117" s="21">
        <f t="shared" si="27"/>
        <v>8.9390000000000001</v>
      </c>
      <c r="N117" s="57">
        <f t="shared" si="24"/>
        <v>8.7999999999999989</v>
      </c>
    </row>
    <row r="118" spans="1:14" x14ac:dyDescent="0.4">
      <c r="A118" s="14" t="s">
        <v>186</v>
      </c>
      <c r="B118" s="14" t="s">
        <v>16</v>
      </c>
      <c r="C118" s="14">
        <v>2024</v>
      </c>
      <c r="D118" s="64">
        <v>6.1440000000000001</v>
      </c>
      <c r="E118" s="64">
        <v>9.6829999999999998</v>
      </c>
      <c r="F118" s="64">
        <v>8.36</v>
      </c>
      <c r="G118" s="64">
        <f t="shared" si="25"/>
        <v>24.186999999999998</v>
      </c>
      <c r="H118" s="65">
        <v>7.1834000000000007</v>
      </c>
      <c r="I118" s="65">
        <f t="shared" si="26"/>
        <v>31.370399999999997</v>
      </c>
      <c r="J118" s="66">
        <f t="shared" si="23"/>
        <v>33.689733333333329</v>
      </c>
      <c r="K118" s="21">
        <v>8.75</v>
      </c>
      <c r="L118" s="21">
        <v>0.224</v>
      </c>
      <c r="M118" s="21">
        <f t="shared" si="27"/>
        <v>8.9740000000000002</v>
      </c>
      <c r="N118" s="57">
        <f t="shared" si="24"/>
        <v>8.9046666666666656</v>
      </c>
    </row>
    <row r="119" spans="1:14" x14ac:dyDescent="0.4">
      <c r="A119" s="14" t="s">
        <v>187</v>
      </c>
      <c r="B119" s="14" t="s">
        <v>16</v>
      </c>
      <c r="C119" s="14">
        <v>2025</v>
      </c>
      <c r="D119" s="64">
        <v>6.0049999999999999</v>
      </c>
      <c r="E119" s="64">
        <v>9.9030000000000005</v>
      </c>
      <c r="F119" s="64">
        <v>8.2650000000000006</v>
      </c>
      <c r="G119" s="64">
        <f t="shared" si="25"/>
        <v>24.173000000000002</v>
      </c>
      <c r="H119" s="65">
        <v>7.1834000000000007</v>
      </c>
      <c r="I119" s="65">
        <f t="shared" si="26"/>
        <v>31.356400000000001</v>
      </c>
      <c r="J119" s="66">
        <f t="shared" si="23"/>
        <v>32.65506666666667</v>
      </c>
      <c r="K119" s="21">
        <v>8.782</v>
      </c>
      <c r="L119" s="21">
        <v>0.223</v>
      </c>
      <c r="M119" s="21">
        <f t="shared" si="27"/>
        <v>9.0050000000000008</v>
      </c>
      <c r="N119" s="57">
        <f t="shared" si="24"/>
        <v>8.972666666666667</v>
      </c>
    </row>
    <row r="120" spans="1:14" x14ac:dyDescent="0.4">
      <c r="A120" s="14" t="s">
        <v>188</v>
      </c>
      <c r="B120" s="14" t="s">
        <v>17</v>
      </c>
      <c r="C120" s="14">
        <v>2012</v>
      </c>
      <c r="D120" s="64">
        <v>1.976999235551824</v>
      </c>
      <c r="E120" s="64">
        <v>0</v>
      </c>
      <c r="F120" s="64">
        <v>8.8314748358999662</v>
      </c>
      <c r="G120" s="64">
        <f t="shared" si="25"/>
        <v>10.808474071451791</v>
      </c>
      <c r="H120" s="65"/>
      <c r="I120" s="65">
        <f t="shared" si="26"/>
        <v>10.808474071451791</v>
      </c>
      <c r="J120" s="66"/>
      <c r="K120" s="21">
        <v>9.0519999999999996</v>
      </c>
      <c r="L120" s="21">
        <v>0.60599999999999998</v>
      </c>
      <c r="M120" s="21">
        <f t="shared" si="27"/>
        <v>9.6579999999999995</v>
      </c>
      <c r="N120" s="57"/>
    </row>
    <row r="121" spans="1:14" x14ac:dyDescent="0.4">
      <c r="A121" s="14" t="s">
        <v>189</v>
      </c>
      <c r="B121" s="14" t="s">
        <v>17</v>
      </c>
      <c r="C121" s="14">
        <v>2013</v>
      </c>
      <c r="D121" s="64">
        <v>3.0133538047523727</v>
      </c>
      <c r="E121" s="64">
        <v>8.4078301984469375E-3</v>
      </c>
      <c r="F121" s="64">
        <v>7.239551542310612</v>
      </c>
      <c r="G121" s="64">
        <f t="shared" si="25"/>
        <v>10.261313177261432</v>
      </c>
      <c r="H121" s="65"/>
      <c r="I121" s="65">
        <f t="shared" si="26"/>
        <v>10.261313177261432</v>
      </c>
      <c r="J121" s="66"/>
      <c r="K121" s="21">
        <v>7.1859999999999999</v>
      </c>
      <c r="L121" s="21">
        <v>0.45400000000000001</v>
      </c>
      <c r="M121" s="21">
        <f t="shared" si="27"/>
        <v>7.64</v>
      </c>
      <c r="N121" s="57"/>
    </row>
    <row r="122" spans="1:14" x14ac:dyDescent="0.4">
      <c r="A122" s="14" t="s">
        <v>190</v>
      </c>
      <c r="B122" s="14" t="s">
        <v>17</v>
      </c>
      <c r="C122" s="14">
        <v>2014</v>
      </c>
      <c r="D122" s="64">
        <v>6.0817870299970576</v>
      </c>
      <c r="E122" s="64">
        <v>0</v>
      </c>
      <c r="F122" s="64">
        <v>11.603197145772089</v>
      </c>
      <c r="G122" s="64">
        <f t="shared" si="25"/>
        <v>17.684984175769145</v>
      </c>
      <c r="H122" s="65"/>
      <c r="I122" s="65">
        <f t="shared" si="26"/>
        <v>17.684984175769145</v>
      </c>
      <c r="J122" s="66">
        <f t="shared" ref="J122:J133" si="28">IF(OR(I120="",I121="",I122=""),"",AVERAGE(I120:I122))</f>
        <v>12.918257141494124</v>
      </c>
      <c r="K122" s="21">
        <v>8.4760000000000009</v>
      </c>
      <c r="L122" s="21">
        <v>0.51500000000000001</v>
      </c>
      <c r="M122" s="21">
        <f t="shared" si="27"/>
        <v>8.9910000000000014</v>
      </c>
      <c r="N122" s="57">
        <f t="shared" ref="N122:N133" si="29">IF(OR(M120="",M121="",M122=""),"",AVERAGE(M120:M122))</f>
        <v>8.7629999999999999</v>
      </c>
    </row>
    <row r="123" spans="1:14" x14ac:dyDescent="0.4">
      <c r="A123" s="14" t="s">
        <v>191</v>
      </c>
      <c r="B123" s="14" t="s">
        <v>17</v>
      </c>
      <c r="C123" s="14">
        <v>2015</v>
      </c>
      <c r="D123" s="64">
        <v>6.1862729918342101</v>
      </c>
      <c r="E123" s="64">
        <v>-7.0898684549176904E-4</v>
      </c>
      <c r="F123" s="64">
        <v>9.2849871627062743</v>
      </c>
      <c r="G123" s="64">
        <f t="shared" si="25"/>
        <v>15.470551167694993</v>
      </c>
      <c r="H123" s="65"/>
      <c r="I123" s="65">
        <f t="shared" si="26"/>
        <v>15.470551167694993</v>
      </c>
      <c r="J123" s="66">
        <f t="shared" si="28"/>
        <v>14.472282840241855</v>
      </c>
      <c r="K123" s="21">
        <v>8.6630000000000003</v>
      </c>
      <c r="L123" s="21">
        <v>0.64600000000000002</v>
      </c>
      <c r="M123" s="21">
        <f t="shared" si="27"/>
        <v>9.3090000000000011</v>
      </c>
      <c r="N123" s="57">
        <f t="shared" si="29"/>
        <v>8.6466666666666665</v>
      </c>
    </row>
    <row r="124" spans="1:14" x14ac:dyDescent="0.4">
      <c r="A124" s="14" t="s">
        <v>192</v>
      </c>
      <c r="B124" s="14" t="s">
        <v>17</v>
      </c>
      <c r="C124" s="14">
        <v>2016</v>
      </c>
      <c r="D124" s="64">
        <v>2.476309210399334</v>
      </c>
      <c r="E124" s="64">
        <v>0</v>
      </c>
      <c r="F124" s="64">
        <v>8.5042258348381843</v>
      </c>
      <c r="G124" s="64">
        <f t="shared" si="25"/>
        <v>10.980535045237518</v>
      </c>
      <c r="H124" s="65"/>
      <c r="I124" s="65">
        <f t="shared" si="26"/>
        <v>10.980535045237518</v>
      </c>
      <c r="J124" s="66">
        <f t="shared" si="28"/>
        <v>14.712023462900552</v>
      </c>
      <c r="K124" s="21">
        <v>9.0790000000000006</v>
      </c>
      <c r="L124" s="21">
        <v>0.63300000000000001</v>
      </c>
      <c r="M124" s="21">
        <f t="shared" si="27"/>
        <v>9.7119999999999997</v>
      </c>
      <c r="N124" s="57">
        <f t="shared" si="29"/>
        <v>9.3373333333333353</v>
      </c>
    </row>
    <row r="125" spans="1:14" x14ac:dyDescent="0.4">
      <c r="A125" s="14" t="s">
        <v>193</v>
      </c>
      <c r="B125" s="14" t="s">
        <v>17</v>
      </c>
      <c r="C125" s="14">
        <v>2017</v>
      </c>
      <c r="D125" s="64">
        <v>4.9619856062946246</v>
      </c>
      <c r="E125" s="64">
        <v>1.1713765170291341E-3</v>
      </c>
      <c r="F125" s="64">
        <v>8.1966197933525144</v>
      </c>
      <c r="G125" s="64">
        <f t="shared" si="25"/>
        <v>13.159776776164168</v>
      </c>
      <c r="H125" s="65"/>
      <c r="I125" s="65">
        <f t="shared" si="26"/>
        <v>13.159776776164168</v>
      </c>
      <c r="J125" s="66">
        <f t="shared" si="28"/>
        <v>13.203620996365558</v>
      </c>
      <c r="K125" s="21">
        <v>9.2609999999999992</v>
      </c>
      <c r="L125" s="21">
        <v>0.54200000000000004</v>
      </c>
      <c r="M125" s="21">
        <f t="shared" si="27"/>
        <v>9.802999999999999</v>
      </c>
      <c r="N125" s="57">
        <f t="shared" si="29"/>
        <v>9.6079999999999988</v>
      </c>
    </row>
    <row r="126" spans="1:14" x14ac:dyDescent="0.4">
      <c r="A126" s="14" t="s">
        <v>194</v>
      </c>
      <c r="B126" s="14" t="s">
        <v>17</v>
      </c>
      <c r="C126" s="14">
        <v>2018</v>
      </c>
      <c r="D126" s="64">
        <v>7.3294280000000001</v>
      </c>
      <c r="E126" s="64">
        <v>7.4337536377999998</v>
      </c>
      <c r="F126" s="64">
        <v>8.5637290256000007</v>
      </c>
      <c r="G126" s="64">
        <f t="shared" si="25"/>
        <v>23.3269106634</v>
      </c>
      <c r="H126" s="65"/>
      <c r="I126" s="65">
        <f t="shared" si="26"/>
        <v>23.3269106634</v>
      </c>
      <c r="J126" s="66">
        <f t="shared" si="28"/>
        <v>15.822407494933897</v>
      </c>
      <c r="K126" s="21">
        <v>9.7409999999999997</v>
      </c>
      <c r="L126" s="21">
        <v>0.38400000000000001</v>
      </c>
      <c r="M126" s="21">
        <f t="shared" si="27"/>
        <v>10.125</v>
      </c>
      <c r="N126" s="57">
        <f t="shared" si="29"/>
        <v>9.8800000000000008</v>
      </c>
    </row>
    <row r="127" spans="1:14" x14ac:dyDescent="0.4">
      <c r="A127" s="14" t="s">
        <v>195</v>
      </c>
      <c r="B127" s="14" t="s">
        <v>17</v>
      </c>
      <c r="C127" s="14">
        <v>2019</v>
      </c>
      <c r="D127" s="64">
        <v>11.392170092434368</v>
      </c>
      <c r="E127" s="64">
        <v>16.319864571601133</v>
      </c>
      <c r="F127" s="64">
        <v>7.0463797007203564</v>
      </c>
      <c r="G127" s="64">
        <f t="shared" si="25"/>
        <v>34.758414364755858</v>
      </c>
      <c r="H127" s="65"/>
      <c r="I127" s="65">
        <f t="shared" si="26"/>
        <v>34.758414364755858</v>
      </c>
      <c r="J127" s="66">
        <f t="shared" si="28"/>
        <v>23.748367268106676</v>
      </c>
      <c r="K127" s="21">
        <v>14.321</v>
      </c>
      <c r="L127" s="21">
        <v>0.45400000000000001</v>
      </c>
      <c r="M127" s="21">
        <f t="shared" si="27"/>
        <v>14.775</v>
      </c>
      <c r="N127" s="57">
        <f t="shared" si="29"/>
        <v>11.567666666666666</v>
      </c>
    </row>
    <row r="128" spans="1:14" x14ac:dyDescent="0.4">
      <c r="A128" s="14" t="s">
        <v>196</v>
      </c>
      <c r="B128" s="14" t="s">
        <v>17</v>
      </c>
      <c r="C128" s="14">
        <v>2020</v>
      </c>
      <c r="D128" s="64">
        <v>7.0602818705376329</v>
      </c>
      <c r="E128" s="64">
        <v>15.970287679913831</v>
      </c>
      <c r="F128" s="64">
        <v>9.2655679913688314</v>
      </c>
      <c r="G128" s="64">
        <f t="shared" si="25"/>
        <v>32.296137541820293</v>
      </c>
      <c r="H128" s="65"/>
      <c r="I128" s="65">
        <f t="shared" si="26"/>
        <v>32.296137541820293</v>
      </c>
      <c r="J128" s="66">
        <f t="shared" si="28"/>
        <v>30.127154189992051</v>
      </c>
      <c r="K128" s="21">
        <v>13.526999999999999</v>
      </c>
      <c r="L128" s="21">
        <v>0.44</v>
      </c>
      <c r="M128" s="21">
        <f t="shared" si="27"/>
        <v>13.966999999999999</v>
      </c>
      <c r="N128" s="57">
        <f t="shared" si="29"/>
        <v>12.955666666666666</v>
      </c>
    </row>
    <row r="129" spans="1:14" x14ac:dyDescent="0.4">
      <c r="A129" s="14" t="s">
        <v>197</v>
      </c>
      <c r="B129" s="14" t="s">
        <v>17</v>
      </c>
      <c r="C129" s="14">
        <v>2021</v>
      </c>
      <c r="D129" s="64">
        <v>7.7678749038461499</v>
      </c>
      <c r="E129" s="64">
        <v>5.9679625673076897</v>
      </c>
      <c r="F129" s="64">
        <v>15.9949038461538</v>
      </c>
      <c r="G129" s="64">
        <f t="shared" si="25"/>
        <v>29.73074131730764</v>
      </c>
      <c r="H129" s="65">
        <v>0</v>
      </c>
      <c r="I129" s="65">
        <f t="shared" si="26"/>
        <v>29.73074131730764</v>
      </c>
      <c r="J129" s="66">
        <f t="shared" si="28"/>
        <v>32.261764407961266</v>
      </c>
      <c r="K129" s="21">
        <v>12.682</v>
      </c>
      <c r="L129" s="21">
        <v>0.42599999999999999</v>
      </c>
      <c r="M129" s="21">
        <f t="shared" si="27"/>
        <v>13.108000000000001</v>
      </c>
      <c r="N129" s="57">
        <f t="shared" si="29"/>
        <v>13.949999999999998</v>
      </c>
    </row>
    <row r="130" spans="1:14" x14ac:dyDescent="0.4">
      <c r="A130" s="14" t="s">
        <v>198</v>
      </c>
      <c r="B130" s="14" t="s">
        <v>17</v>
      </c>
      <c r="C130" s="14">
        <v>2022</v>
      </c>
      <c r="D130" s="64">
        <v>7.7678749038461499</v>
      </c>
      <c r="E130" s="64">
        <v>8.2861202933653892</v>
      </c>
      <c r="F130" s="64">
        <v>15.9949038461538</v>
      </c>
      <c r="G130" s="64">
        <f t="shared" si="25"/>
        <v>32.048899043365338</v>
      </c>
      <c r="H130" s="65">
        <v>0</v>
      </c>
      <c r="I130" s="65">
        <f t="shared" si="26"/>
        <v>32.048899043365338</v>
      </c>
      <c r="J130" s="66">
        <f t="shared" si="28"/>
        <v>31.358592634164424</v>
      </c>
      <c r="K130" s="21">
        <v>12.526</v>
      </c>
      <c r="L130" s="21">
        <v>0.41399999999999998</v>
      </c>
      <c r="M130" s="21">
        <f t="shared" si="27"/>
        <v>12.94</v>
      </c>
      <c r="N130" s="57">
        <f t="shared" si="29"/>
        <v>13.338333333333333</v>
      </c>
    </row>
    <row r="131" spans="1:14" x14ac:dyDescent="0.4">
      <c r="A131" s="14" t="s">
        <v>199</v>
      </c>
      <c r="B131" s="14" t="s">
        <v>17</v>
      </c>
      <c r="C131" s="14">
        <v>2023</v>
      </c>
      <c r="D131" s="64">
        <v>7.7678749038461499</v>
      </c>
      <c r="E131" s="64">
        <v>12.169475910865399</v>
      </c>
      <c r="F131" s="64">
        <v>15.9949038461538</v>
      </c>
      <c r="G131" s="64">
        <f t="shared" si="25"/>
        <v>35.932254660865354</v>
      </c>
      <c r="H131" s="65">
        <v>0</v>
      </c>
      <c r="I131" s="65">
        <f t="shared" si="26"/>
        <v>35.932254660865354</v>
      </c>
      <c r="J131" s="66">
        <f t="shared" si="28"/>
        <v>32.570631673846115</v>
      </c>
      <c r="K131" s="21">
        <v>12.308999999999999</v>
      </c>
      <c r="L131" s="21">
        <v>0.40200000000000002</v>
      </c>
      <c r="M131" s="21">
        <f t="shared" si="27"/>
        <v>12.710999999999999</v>
      </c>
      <c r="N131" s="57">
        <f t="shared" si="29"/>
        <v>12.919666666666666</v>
      </c>
    </row>
    <row r="132" spans="1:14" x14ac:dyDescent="0.4">
      <c r="A132" s="14" t="s">
        <v>200</v>
      </c>
      <c r="B132" s="14" t="s">
        <v>17</v>
      </c>
      <c r="C132" s="14">
        <v>2024</v>
      </c>
      <c r="D132" s="64">
        <v>7.7678749038461499</v>
      </c>
      <c r="E132" s="64">
        <v>18.772834133076898</v>
      </c>
      <c r="F132" s="64">
        <v>15.9949038461538</v>
      </c>
      <c r="G132" s="64">
        <f t="shared" si="25"/>
        <v>42.535612883076851</v>
      </c>
      <c r="H132" s="65">
        <v>0</v>
      </c>
      <c r="I132" s="65">
        <f t="shared" si="26"/>
        <v>42.535612883076851</v>
      </c>
      <c r="J132" s="66">
        <f t="shared" si="28"/>
        <v>36.838922195769179</v>
      </c>
      <c r="K132" s="21">
        <v>12.022</v>
      </c>
      <c r="L132" s="21">
        <v>0.39200000000000002</v>
      </c>
      <c r="M132" s="21">
        <f t="shared" si="27"/>
        <v>12.414</v>
      </c>
      <c r="N132" s="57">
        <f t="shared" si="29"/>
        <v>12.688333333333333</v>
      </c>
    </row>
    <row r="133" spans="1:14" x14ac:dyDescent="0.4">
      <c r="A133" s="14" t="s">
        <v>201</v>
      </c>
      <c r="B133" s="14" t="s">
        <v>17</v>
      </c>
      <c r="C133" s="14">
        <v>2025</v>
      </c>
      <c r="D133" s="64">
        <v>7.7678749038461499</v>
      </c>
      <c r="E133" s="64">
        <v>14.802800389615401</v>
      </c>
      <c r="F133" s="64">
        <v>15.9949038461538</v>
      </c>
      <c r="G133" s="64">
        <f t="shared" si="25"/>
        <v>38.565579139615352</v>
      </c>
      <c r="H133" s="65">
        <v>0</v>
      </c>
      <c r="I133" s="65">
        <f t="shared" si="26"/>
        <v>38.565579139615352</v>
      </c>
      <c r="J133" s="66">
        <f t="shared" si="28"/>
        <v>39.011148894519188</v>
      </c>
      <c r="K133" s="21">
        <v>11.468999999999999</v>
      </c>
      <c r="L133" s="21">
        <v>0.38200000000000001</v>
      </c>
      <c r="M133" s="21">
        <f t="shared" si="27"/>
        <v>11.850999999999999</v>
      </c>
      <c r="N133" s="57">
        <f t="shared" si="29"/>
        <v>12.325333333333333</v>
      </c>
    </row>
    <row r="134" spans="1:14" x14ac:dyDescent="0.4">
      <c r="A134" s="14" t="s">
        <v>202</v>
      </c>
      <c r="B134" s="14" t="s">
        <v>18</v>
      </c>
      <c r="C134" s="14">
        <v>2012</v>
      </c>
      <c r="D134" s="64">
        <v>1.702432754551191</v>
      </c>
      <c r="E134" s="64">
        <v>2.9552276101831394</v>
      </c>
      <c r="F134" s="64">
        <v>33.41779089648962</v>
      </c>
      <c r="G134" s="64">
        <f t="shared" si="25"/>
        <v>38.075451261223954</v>
      </c>
      <c r="H134" s="65"/>
      <c r="I134" s="65">
        <f t="shared" si="26"/>
        <v>38.075451261223954</v>
      </c>
      <c r="J134" s="66"/>
      <c r="K134" s="21">
        <v>10.75</v>
      </c>
      <c r="L134" s="21">
        <v>0.70499999999999996</v>
      </c>
      <c r="M134" s="21">
        <f t="shared" si="27"/>
        <v>11.455</v>
      </c>
      <c r="N134" s="57"/>
    </row>
    <row r="135" spans="1:14" x14ac:dyDescent="0.4">
      <c r="A135" s="14" t="s">
        <v>203</v>
      </c>
      <c r="B135" s="14" t="s">
        <v>18</v>
      </c>
      <c r="C135" s="14">
        <v>2013</v>
      </c>
      <c r="D135" s="64">
        <v>3.0248951594598799</v>
      </c>
      <c r="E135" s="64">
        <v>-0.25792388427437435</v>
      </c>
      <c r="F135" s="64">
        <v>21.388155511266636</v>
      </c>
      <c r="G135" s="64">
        <f t="shared" si="25"/>
        <v>24.15512678645214</v>
      </c>
      <c r="H135" s="65"/>
      <c r="I135" s="65">
        <f t="shared" si="26"/>
        <v>24.15512678645214</v>
      </c>
      <c r="J135" s="66"/>
      <c r="K135" s="21">
        <v>8.2810000000000006</v>
      </c>
      <c r="L135" s="21">
        <v>0.61099999999999999</v>
      </c>
      <c r="M135" s="21">
        <f t="shared" si="27"/>
        <v>8.8920000000000012</v>
      </c>
      <c r="N135" s="57"/>
    </row>
    <row r="136" spans="1:14" x14ac:dyDescent="0.4">
      <c r="A136" s="14" t="s">
        <v>204</v>
      </c>
      <c r="B136" s="14" t="s">
        <v>18</v>
      </c>
      <c r="C136" s="14">
        <v>2014</v>
      </c>
      <c r="D136" s="64">
        <v>7.0645699468847196</v>
      </c>
      <c r="E136" s="64">
        <v>0.76776422561189972</v>
      </c>
      <c r="F136" s="64">
        <v>26.134983034570634</v>
      </c>
      <c r="G136" s="64">
        <f t="shared" si="25"/>
        <v>33.967317207067254</v>
      </c>
      <c r="H136" s="65"/>
      <c r="I136" s="65">
        <f t="shared" si="26"/>
        <v>33.967317207067254</v>
      </c>
      <c r="J136" s="66">
        <f t="shared" ref="J136:J147" si="30">IF(OR(I134="",I135="",I136=""),"",AVERAGE(I134:I136))</f>
        <v>32.065965084914446</v>
      </c>
      <c r="K136" s="21">
        <v>9.4320000000000004</v>
      </c>
      <c r="L136" s="21">
        <v>0.58499999999999996</v>
      </c>
      <c r="M136" s="21">
        <f t="shared" si="27"/>
        <v>10.016999999999999</v>
      </c>
      <c r="N136" s="57">
        <f t="shared" ref="N136:N147" si="31">IF(OR(M134="",M135="",M136=""),"",AVERAGE(M134:M136))</f>
        <v>10.121333333333334</v>
      </c>
    </row>
    <row r="137" spans="1:14" x14ac:dyDescent="0.4">
      <c r="A137" s="14" t="s">
        <v>205</v>
      </c>
      <c r="B137" s="14" t="s">
        <v>18</v>
      </c>
      <c r="C137" s="14">
        <v>2015</v>
      </c>
      <c r="D137" s="64">
        <v>14.251865199520349</v>
      </c>
      <c r="E137" s="64">
        <v>1.1483606545165874</v>
      </c>
      <c r="F137" s="64">
        <v>20.743162509720044</v>
      </c>
      <c r="G137" s="64">
        <f t="shared" si="25"/>
        <v>36.143388363756983</v>
      </c>
      <c r="H137" s="65"/>
      <c r="I137" s="65">
        <f t="shared" si="26"/>
        <v>36.143388363756983</v>
      </c>
      <c r="J137" s="66">
        <f t="shared" si="30"/>
        <v>31.421944119092128</v>
      </c>
      <c r="K137" s="21">
        <v>12.305</v>
      </c>
      <c r="L137" s="21">
        <v>0.68899999999999995</v>
      </c>
      <c r="M137" s="21">
        <f t="shared" si="27"/>
        <v>12.994</v>
      </c>
      <c r="N137" s="57">
        <f t="shared" si="31"/>
        <v>10.634333333333332</v>
      </c>
    </row>
    <row r="138" spans="1:14" x14ac:dyDescent="0.4">
      <c r="A138" s="14" t="s">
        <v>206</v>
      </c>
      <c r="B138" s="14" t="s">
        <v>18</v>
      </c>
      <c r="C138" s="14">
        <v>2016</v>
      </c>
      <c r="D138" s="64">
        <v>5.2250699126422626</v>
      </c>
      <c r="E138" s="64">
        <v>0.68555887086356082</v>
      </c>
      <c r="F138" s="64">
        <v>6.1308671323028259</v>
      </c>
      <c r="G138" s="64">
        <f t="shared" si="25"/>
        <v>12.04149591580865</v>
      </c>
      <c r="H138" s="65"/>
      <c r="I138" s="65">
        <f t="shared" si="26"/>
        <v>12.04149591580865</v>
      </c>
      <c r="J138" s="66">
        <f t="shared" si="30"/>
        <v>27.384067162210965</v>
      </c>
      <c r="K138" s="21">
        <v>12.507999999999999</v>
      </c>
      <c r="L138" s="21">
        <v>0.77900000000000003</v>
      </c>
      <c r="M138" s="21">
        <f t="shared" si="27"/>
        <v>13.286999999999999</v>
      </c>
      <c r="N138" s="57">
        <f t="shared" si="31"/>
        <v>12.099333333333334</v>
      </c>
    </row>
    <row r="139" spans="1:14" x14ac:dyDescent="0.4">
      <c r="A139" s="14" t="s">
        <v>207</v>
      </c>
      <c r="B139" s="14" t="s">
        <v>18</v>
      </c>
      <c r="C139" s="14">
        <v>2017</v>
      </c>
      <c r="D139" s="64">
        <v>5.3040057907771843</v>
      </c>
      <c r="E139" s="64">
        <v>0.646146922115716</v>
      </c>
      <c r="F139" s="64">
        <v>7.3272511975384962</v>
      </c>
      <c r="G139" s="64">
        <f t="shared" si="25"/>
        <v>13.277403910431396</v>
      </c>
      <c r="H139" s="65"/>
      <c r="I139" s="65">
        <f t="shared" si="26"/>
        <v>13.277403910431396</v>
      </c>
      <c r="J139" s="66">
        <f t="shared" si="30"/>
        <v>20.487429396665679</v>
      </c>
      <c r="K139" s="21">
        <v>13.973000000000001</v>
      </c>
      <c r="L139" s="21">
        <v>0.78900000000000003</v>
      </c>
      <c r="M139" s="21">
        <f t="shared" si="27"/>
        <v>14.762</v>
      </c>
      <c r="N139" s="57">
        <f t="shared" si="31"/>
        <v>13.680999999999999</v>
      </c>
    </row>
    <row r="140" spans="1:14" x14ac:dyDescent="0.4">
      <c r="A140" s="14" t="s">
        <v>208</v>
      </c>
      <c r="B140" s="14" t="s">
        <v>18</v>
      </c>
      <c r="C140" s="14">
        <v>2018</v>
      </c>
      <c r="D140" s="64">
        <v>5.0039999999999996</v>
      </c>
      <c r="E140" s="64">
        <v>1.88</v>
      </c>
      <c r="F140" s="64">
        <v>10.342000000000001</v>
      </c>
      <c r="G140" s="64">
        <f t="shared" si="25"/>
        <v>17.225999999999999</v>
      </c>
      <c r="H140" s="65"/>
      <c r="I140" s="65">
        <f t="shared" si="26"/>
        <v>17.225999999999999</v>
      </c>
      <c r="J140" s="66">
        <f t="shared" si="30"/>
        <v>14.181633275413347</v>
      </c>
      <c r="K140" s="21">
        <v>13.347</v>
      </c>
      <c r="L140" s="21">
        <v>0.72499999999999998</v>
      </c>
      <c r="M140" s="21">
        <f t="shared" si="27"/>
        <v>14.071999999999999</v>
      </c>
      <c r="N140" s="57">
        <f t="shared" si="31"/>
        <v>14.040333333333331</v>
      </c>
    </row>
    <row r="141" spans="1:14" x14ac:dyDescent="0.4">
      <c r="A141" s="14" t="s">
        <v>209</v>
      </c>
      <c r="B141" s="14" t="s">
        <v>18</v>
      </c>
      <c r="C141" s="14">
        <v>2019</v>
      </c>
      <c r="D141" s="64">
        <v>0.23804228098915747</v>
      </c>
      <c r="E141" s="64">
        <v>13.943033934004255</v>
      </c>
      <c r="F141" s="64">
        <v>12.38697885950546</v>
      </c>
      <c r="G141" s="64">
        <f t="shared" si="25"/>
        <v>26.568055074498872</v>
      </c>
      <c r="H141" s="65"/>
      <c r="I141" s="65">
        <f t="shared" si="26"/>
        <v>26.568055074498872</v>
      </c>
      <c r="J141" s="66">
        <f t="shared" si="30"/>
        <v>19.023819661643422</v>
      </c>
      <c r="K141" s="21">
        <v>22.888000000000002</v>
      </c>
      <c r="L141" s="21">
        <v>0.71199999999999997</v>
      </c>
      <c r="M141" s="21">
        <f t="shared" si="27"/>
        <v>23.6</v>
      </c>
      <c r="N141" s="57">
        <f t="shared" si="31"/>
        <v>17.477999999999998</v>
      </c>
    </row>
    <row r="142" spans="1:14" x14ac:dyDescent="0.4">
      <c r="A142" s="14" t="s">
        <v>210</v>
      </c>
      <c r="B142" s="14" t="s">
        <v>18</v>
      </c>
      <c r="C142" s="14">
        <v>2020</v>
      </c>
      <c r="D142" s="64">
        <v>-2.6493739980151321</v>
      </c>
      <c r="E142" s="64">
        <v>6.2191071074128184</v>
      </c>
      <c r="F142" s="64">
        <v>7.7609950377891916</v>
      </c>
      <c r="G142" s="64">
        <f t="shared" si="25"/>
        <v>11.330728147186878</v>
      </c>
      <c r="H142" s="65"/>
      <c r="I142" s="65">
        <f t="shared" si="26"/>
        <v>11.330728147186878</v>
      </c>
      <c r="J142" s="66">
        <f t="shared" si="30"/>
        <v>18.374927740561915</v>
      </c>
      <c r="K142" s="21">
        <v>22.260999999999999</v>
      </c>
      <c r="L142" s="21">
        <v>0.71199999999999997</v>
      </c>
      <c r="M142" s="21">
        <f t="shared" si="27"/>
        <v>22.972999999999999</v>
      </c>
      <c r="N142" s="57">
        <f t="shared" si="31"/>
        <v>20.215</v>
      </c>
    </row>
    <row r="143" spans="1:14" x14ac:dyDescent="0.4">
      <c r="A143" s="14" t="s">
        <v>211</v>
      </c>
      <c r="B143" s="14" t="s">
        <v>18</v>
      </c>
      <c r="C143" s="14">
        <v>2021</v>
      </c>
      <c r="D143" s="64">
        <v>8.0449999999999999</v>
      </c>
      <c r="E143" s="64">
        <v>7.8479999999999999</v>
      </c>
      <c r="F143" s="64">
        <v>7.6139999999999999</v>
      </c>
      <c r="G143" s="64">
        <f t="shared" si="25"/>
        <v>23.507000000000001</v>
      </c>
      <c r="H143" s="65">
        <v>7.8022000000000009</v>
      </c>
      <c r="I143" s="65">
        <f t="shared" si="26"/>
        <v>31.309200000000004</v>
      </c>
      <c r="J143" s="66">
        <f t="shared" si="30"/>
        <v>23.069327740561917</v>
      </c>
      <c r="K143" s="21">
        <v>21.949000000000002</v>
      </c>
      <c r="L143" s="21">
        <v>0.71199999999999997</v>
      </c>
      <c r="M143" s="21">
        <f t="shared" si="27"/>
        <v>22.661000000000001</v>
      </c>
      <c r="N143" s="57">
        <f t="shared" si="31"/>
        <v>23.078000000000003</v>
      </c>
    </row>
    <row r="144" spans="1:14" x14ac:dyDescent="0.4">
      <c r="A144" s="14" t="s">
        <v>212</v>
      </c>
      <c r="B144" s="14" t="s">
        <v>18</v>
      </c>
      <c r="C144" s="14">
        <v>2022</v>
      </c>
      <c r="D144" s="64">
        <v>11.055999999999999</v>
      </c>
      <c r="E144" s="64">
        <v>17.045999999999999</v>
      </c>
      <c r="F144" s="64">
        <v>14.026999999999999</v>
      </c>
      <c r="G144" s="64">
        <f t="shared" si="25"/>
        <v>42.128999999999998</v>
      </c>
      <c r="H144" s="65">
        <v>7.8022000000000009</v>
      </c>
      <c r="I144" s="65">
        <f t="shared" si="26"/>
        <v>49.931199999999997</v>
      </c>
      <c r="J144" s="66">
        <f t="shared" si="30"/>
        <v>30.857042715728955</v>
      </c>
      <c r="K144" s="21">
        <v>19.852</v>
      </c>
      <c r="L144" s="21">
        <v>0.71199999999999997</v>
      </c>
      <c r="M144" s="21">
        <f t="shared" si="27"/>
        <v>20.564</v>
      </c>
      <c r="N144" s="57">
        <f t="shared" si="31"/>
        <v>22.066000000000003</v>
      </c>
    </row>
    <row r="145" spans="1:14" x14ac:dyDescent="0.4">
      <c r="A145" s="14" t="s">
        <v>213</v>
      </c>
      <c r="B145" s="14" t="s">
        <v>18</v>
      </c>
      <c r="C145" s="14">
        <v>2023</v>
      </c>
      <c r="D145" s="64">
        <v>8.89</v>
      </c>
      <c r="E145" s="64">
        <v>21.228999999999999</v>
      </c>
      <c r="F145" s="64">
        <v>11.3</v>
      </c>
      <c r="G145" s="64">
        <f t="shared" si="25"/>
        <v>41.418999999999997</v>
      </c>
      <c r="H145" s="65">
        <v>7.8022000000000009</v>
      </c>
      <c r="I145" s="65">
        <f t="shared" si="26"/>
        <v>49.221199999999996</v>
      </c>
      <c r="J145" s="66">
        <f t="shared" si="30"/>
        <v>43.487199999999994</v>
      </c>
      <c r="K145" s="21">
        <v>19.948</v>
      </c>
      <c r="L145" s="21">
        <v>0.71199999999999997</v>
      </c>
      <c r="M145" s="21">
        <f t="shared" si="27"/>
        <v>20.66</v>
      </c>
      <c r="N145" s="57">
        <f t="shared" si="31"/>
        <v>21.295000000000002</v>
      </c>
    </row>
    <row r="146" spans="1:14" x14ac:dyDescent="0.4">
      <c r="A146" s="14" t="s">
        <v>214</v>
      </c>
      <c r="B146" s="14" t="s">
        <v>18</v>
      </c>
      <c r="C146" s="14">
        <v>2024</v>
      </c>
      <c r="D146" s="64">
        <v>6.3579999999999997</v>
      </c>
      <c r="E146" s="64">
        <v>15.736000000000001</v>
      </c>
      <c r="F146" s="64">
        <v>4.2389999999999999</v>
      </c>
      <c r="G146" s="64">
        <f t="shared" si="25"/>
        <v>26.333000000000002</v>
      </c>
      <c r="H146" s="65">
        <v>7.8022000000000009</v>
      </c>
      <c r="I146" s="65">
        <f t="shared" si="26"/>
        <v>34.135200000000005</v>
      </c>
      <c r="J146" s="66">
        <f t="shared" si="30"/>
        <v>44.429200000000002</v>
      </c>
      <c r="K146" s="21">
        <v>19.914000000000001</v>
      </c>
      <c r="L146" s="21">
        <v>0.71199999999999997</v>
      </c>
      <c r="M146" s="21">
        <f t="shared" si="27"/>
        <v>20.626000000000001</v>
      </c>
      <c r="N146" s="57">
        <f t="shared" si="31"/>
        <v>20.616666666666671</v>
      </c>
    </row>
    <row r="147" spans="1:14" x14ac:dyDescent="0.4">
      <c r="A147" s="14" t="s">
        <v>215</v>
      </c>
      <c r="B147" s="14" t="s">
        <v>18</v>
      </c>
      <c r="C147" s="14">
        <v>2025</v>
      </c>
      <c r="D147" s="64">
        <v>4.3659999999999997</v>
      </c>
      <c r="E147" s="64">
        <v>5.4779999999999998</v>
      </c>
      <c r="F147" s="64">
        <v>4.2939999999999996</v>
      </c>
      <c r="G147" s="64">
        <f t="shared" si="25"/>
        <v>14.137999999999998</v>
      </c>
      <c r="H147" s="65">
        <v>7.8022000000000009</v>
      </c>
      <c r="I147" s="65">
        <f t="shared" si="26"/>
        <v>21.940199999999997</v>
      </c>
      <c r="J147" s="66">
        <f t="shared" si="30"/>
        <v>35.098866666666673</v>
      </c>
      <c r="K147" s="21">
        <v>19.954999999999998</v>
      </c>
      <c r="L147" s="21">
        <v>0.71199999999999997</v>
      </c>
      <c r="M147" s="21">
        <f t="shared" si="27"/>
        <v>20.666999999999998</v>
      </c>
      <c r="N147" s="57">
        <f t="shared" si="31"/>
        <v>20.651</v>
      </c>
    </row>
    <row r="148" spans="1:14" x14ac:dyDescent="0.4">
      <c r="A148" s="14" t="s">
        <v>219</v>
      </c>
      <c r="B148" s="14" t="s">
        <v>19</v>
      </c>
      <c r="C148" s="14">
        <v>2012</v>
      </c>
      <c r="D148" s="64">
        <v>0</v>
      </c>
      <c r="E148" s="64">
        <v>0</v>
      </c>
      <c r="F148" s="64">
        <v>0</v>
      </c>
      <c r="G148" s="64" t="str">
        <f t="shared" si="25"/>
        <v/>
      </c>
      <c r="H148" s="65"/>
      <c r="I148" s="65" t="str">
        <f t="shared" si="26"/>
        <v/>
      </c>
      <c r="J148" s="66"/>
      <c r="K148" s="21">
        <v>0</v>
      </c>
      <c r="L148" s="21">
        <v>0</v>
      </c>
      <c r="M148" s="21" t="str">
        <f t="shared" si="27"/>
        <v/>
      </c>
      <c r="N148" s="57"/>
    </row>
    <row r="149" spans="1:14" x14ac:dyDescent="0.4">
      <c r="A149" s="14" t="s">
        <v>220</v>
      </c>
      <c r="B149" s="14" t="s">
        <v>19</v>
      </c>
      <c r="C149" s="14">
        <v>2013</v>
      </c>
      <c r="D149" s="64">
        <v>0</v>
      </c>
      <c r="E149" s="64">
        <v>0</v>
      </c>
      <c r="F149" s="64">
        <v>0</v>
      </c>
      <c r="G149" s="64" t="str">
        <f t="shared" si="25"/>
        <v/>
      </c>
      <c r="H149" s="65"/>
      <c r="I149" s="65" t="str">
        <f t="shared" si="26"/>
        <v/>
      </c>
      <c r="J149" s="66"/>
      <c r="K149" s="21">
        <v>0</v>
      </c>
      <c r="L149" s="21">
        <v>0</v>
      </c>
      <c r="M149" s="21" t="str">
        <f t="shared" si="27"/>
        <v/>
      </c>
      <c r="N149" s="57"/>
    </row>
    <row r="150" spans="1:14" x14ac:dyDescent="0.4">
      <c r="A150" s="14" t="s">
        <v>221</v>
      </c>
      <c r="B150" s="14" t="s">
        <v>19</v>
      </c>
      <c r="C150" s="14">
        <v>2014</v>
      </c>
      <c r="D150" s="64">
        <v>0</v>
      </c>
      <c r="E150" s="64">
        <v>0</v>
      </c>
      <c r="F150" s="64">
        <v>0</v>
      </c>
      <c r="G150" s="64" t="str">
        <f t="shared" si="25"/>
        <v/>
      </c>
      <c r="H150" s="65"/>
      <c r="I150" s="65" t="str">
        <f t="shared" si="26"/>
        <v/>
      </c>
      <c r="J150" s="66" t="str">
        <f>IF(OR(I148="",I149="",I150=""),"",AVERAGE(I148:I150))</f>
        <v/>
      </c>
      <c r="K150" s="21">
        <v>0</v>
      </c>
      <c r="L150" s="21">
        <v>0</v>
      </c>
      <c r="M150" s="21" t="str">
        <f t="shared" si="27"/>
        <v/>
      </c>
      <c r="N150" s="57" t="str">
        <f>IF(OR(M148="",M149="",M150=""),"",AVERAGE(M148:M150))</f>
        <v/>
      </c>
    </row>
    <row r="151" spans="1:14" x14ac:dyDescent="0.4">
      <c r="A151" s="14" t="s">
        <v>222</v>
      </c>
      <c r="B151" s="14" t="s">
        <v>19</v>
      </c>
      <c r="C151" s="14">
        <v>2015</v>
      </c>
      <c r="D151" s="64">
        <v>0</v>
      </c>
      <c r="E151" s="64">
        <v>0</v>
      </c>
      <c r="F151" s="64">
        <v>0</v>
      </c>
      <c r="G151" s="64" t="str">
        <f t="shared" si="25"/>
        <v/>
      </c>
      <c r="H151" s="65"/>
      <c r="I151" s="65" t="str">
        <f t="shared" si="26"/>
        <v/>
      </c>
      <c r="J151" s="66" t="str">
        <f t="shared" ref="J151:J175" si="32">IF(OR(I149="",I150="",I151=""),"",AVERAGE(I149:I151))</f>
        <v/>
      </c>
      <c r="K151" s="21">
        <v>0</v>
      </c>
      <c r="L151" s="21">
        <v>0</v>
      </c>
      <c r="M151" s="21" t="str">
        <f t="shared" si="27"/>
        <v/>
      </c>
      <c r="N151" s="57" t="str">
        <f t="shared" ref="N151:N164" si="33">IF(OR(M149="",M150="",M151=""),"",AVERAGE(M149:M151))</f>
        <v/>
      </c>
    </row>
    <row r="152" spans="1:14" x14ac:dyDescent="0.4">
      <c r="A152" s="14" t="s">
        <v>223</v>
      </c>
      <c r="B152" s="14" t="s">
        <v>19</v>
      </c>
      <c r="C152" s="14">
        <v>2016</v>
      </c>
      <c r="D152" s="64">
        <v>0</v>
      </c>
      <c r="E152" s="64">
        <v>0</v>
      </c>
      <c r="F152" s="64">
        <v>0</v>
      </c>
      <c r="G152" s="64" t="str">
        <f t="shared" si="25"/>
        <v/>
      </c>
      <c r="H152" s="65"/>
      <c r="I152" s="65" t="str">
        <f t="shared" si="26"/>
        <v/>
      </c>
      <c r="J152" s="66" t="str">
        <f t="shared" si="32"/>
        <v/>
      </c>
      <c r="K152" s="21">
        <v>0</v>
      </c>
      <c r="L152" s="21">
        <v>0</v>
      </c>
      <c r="M152" s="21" t="str">
        <f t="shared" si="27"/>
        <v/>
      </c>
      <c r="N152" s="57" t="str">
        <f t="shared" si="33"/>
        <v/>
      </c>
    </row>
    <row r="153" spans="1:14" x14ac:dyDescent="0.4">
      <c r="A153" s="14" t="s">
        <v>224</v>
      </c>
      <c r="B153" s="14" t="s">
        <v>19</v>
      </c>
      <c r="C153" s="14">
        <v>2017</v>
      </c>
      <c r="D153" s="64">
        <v>0</v>
      </c>
      <c r="E153" s="64">
        <v>0</v>
      </c>
      <c r="F153" s="64">
        <v>0</v>
      </c>
      <c r="G153" s="64" t="str">
        <f t="shared" si="25"/>
        <v/>
      </c>
      <c r="H153" s="65"/>
      <c r="I153" s="65" t="str">
        <f t="shared" si="26"/>
        <v/>
      </c>
      <c r="J153" s="66" t="str">
        <f t="shared" si="32"/>
        <v/>
      </c>
      <c r="K153" s="21">
        <v>0</v>
      </c>
      <c r="L153" s="21">
        <v>0</v>
      </c>
      <c r="M153" s="21" t="str">
        <f t="shared" si="27"/>
        <v/>
      </c>
      <c r="N153" s="57" t="str">
        <f t="shared" si="33"/>
        <v/>
      </c>
    </row>
    <row r="154" spans="1:14" x14ac:dyDescent="0.4">
      <c r="A154" s="14" t="s">
        <v>238</v>
      </c>
      <c r="B154" s="14" t="s">
        <v>19</v>
      </c>
      <c r="C154" s="14">
        <v>2018</v>
      </c>
      <c r="D154" s="64">
        <v>5.9219999999999997</v>
      </c>
      <c r="E154" s="64">
        <v>10.491</v>
      </c>
      <c r="F154" s="64">
        <v>43.767000000000003</v>
      </c>
      <c r="G154" s="64">
        <f t="shared" si="25"/>
        <v>60.180000000000007</v>
      </c>
      <c r="H154" s="65"/>
      <c r="I154" s="65">
        <f t="shared" si="26"/>
        <v>60.180000000000007</v>
      </c>
      <c r="J154" s="66" t="str">
        <f t="shared" si="32"/>
        <v/>
      </c>
      <c r="K154" s="21">
        <v>31.28</v>
      </c>
      <c r="L154" s="21">
        <v>1.722</v>
      </c>
      <c r="M154" s="21">
        <f t="shared" si="27"/>
        <v>33.002000000000002</v>
      </c>
      <c r="N154" s="57" t="str">
        <f t="shared" si="33"/>
        <v/>
      </c>
    </row>
    <row r="155" spans="1:14" x14ac:dyDescent="0.4">
      <c r="A155" s="14" t="s">
        <v>132</v>
      </c>
      <c r="B155" s="14" t="s">
        <v>19</v>
      </c>
      <c r="C155" s="14">
        <v>2019</v>
      </c>
      <c r="D155" s="64">
        <v>14.092940391483062</v>
      </c>
      <c r="E155" s="64">
        <v>10.471060600107347</v>
      </c>
      <c r="F155" s="64">
        <v>36.351305711002581</v>
      </c>
      <c r="G155" s="64">
        <f t="shared" ref="G155:G175" si="34">IF(SUM(D155:F155)=0,"",SUM(D155:F155))</f>
        <v>60.915306702592986</v>
      </c>
      <c r="H155" s="65"/>
      <c r="I155" s="65">
        <f t="shared" ref="I155:I175" si="35">IF(SUM(G155:H155)=0,"",SUM(G155:H155))</f>
        <v>60.915306702592986</v>
      </c>
      <c r="J155" s="66" t="str">
        <f t="shared" si="32"/>
        <v/>
      </c>
      <c r="K155" s="21">
        <v>31.28</v>
      </c>
      <c r="L155" s="21">
        <v>1.722</v>
      </c>
      <c r="M155" s="21">
        <f t="shared" ref="M155:M175" si="36">IF(SUM(K155:L155)=0,"",SUM(K155:L155))</f>
        <v>33.002000000000002</v>
      </c>
      <c r="N155" s="57" t="str">
        <f t="shared" si="33"/>
        <v/>
      </c>
    </row>
    <row r="156" spans="1:14" x14ac:dyDescent="0.4">
      <c r="A156" s="14" t="s">
        <v>133</v>
      </c>
      <c r="B156" s="14" t="s">
        <v>19</v>
      </c>
      <c r="C156" s="14">
        <v>2020</v>
      </c>
      <c r="D156" s="64">
        <v>13.605907399666375</v>
      </c>
      <c r="E156" s="64">
        <v>9.1530123027920993</v>
      </c>
      <c r="F156" s="64">
        <v>24.912456042955032</v>
      </c>
      <c r="G156" s="64">
        <f t="shared" si="34"/>
        <v>47.671375745413506</v>
      </c>
      <c r="H156" s="65"/>
      <c r="I156" s="65">
        <f t="shared" si="35"/>
        <v>47.671375745413506</v>
      </c>
      <c r="J156" s="66">
        <f t="shared" si="32"/>
        <v>56.255560816002166</v>
      </c>
      <c r="K156" s="21">
        <v>31.28</v>
      </c>
      <c r="L156" s="21">
        <v>1.722</v>
      </c>
      <c r="M156" s="21">
        <f t="shared" si="36"/>
        <v>33.002000000000002</v>
      </c>
      <c r="N156" s="57">
        <f t="shared" si="33"/>
        <v>33.002000000000002</v>
      </c>
    </row>
    <row r="157" spans="1:14" x14ac:dyDescent="0.4">
      <c r="A157" s="14" t="s">
        <v>134</v>
      </c>
      <c r="B157" s="14" t="s">
        <v>19</v>
      </c>
      <c r="C157" s="14">
        <v>2021</v>
      </c>
      <c r="D157" s="64">
        <v>16.923999999999999</v>
      </c>
      <c r="E157" s="64">
        <v>11.6</v>
      </c>
      <c r="F157" s="64">
        <v>29.713000000000001</v>
      </c>
      <c r="G157" s="64">
        <f t="shared" si="34"/>
        <v>58.237000000000002</v>
      </c>
      <c r="H157" s="65">
        <v>0</v>
      </c>
      <c r="I157" s="65">
        <f t="shared" si="35"/>
        <v>58.237000000000002</v>
      </c>
      <c r="J157" s="66">
        <f t="shared" si="32"/>
        <v>55.607894149335493</v>
      </c>
      <c r="K157" s="21">
        <v>31.823429290809901</v>
      </c>
      <c r="L157" s="21">
        <v>1.75191640788922</v>
      </c>
      <c r="M157" s="21">
        <f t="shared" si="36"/>
        <v>33.575345698699124</v>
      </c>
      <c r="N157" s="57">
        <f t="shared" si="33"/>
        <v>33.193115232899707</v>
      </c>
    </row>
    <row r="158" spans="1:14" x14ac:dyDescent="0.4">
      <c r="A158" s="14" t="s">
        <v>135</v>
      </c>
      <c r="B158" s="14" t="s">
        <v>19</v>
      </c>
      <c r="C158" s="14">
        <v>2022</v>
      </c>
      <c r="D158" s="64">
        <v>14.321</v>
      </c>
      <c r="E158" s="64">
        <v>19.042000000000002</v>
      </c>
      <c r="F158" s="64">
        <v>37.372</v>
      </c>
      <c r="G158" s="64">
        <f t="shared" si="34"/>
        <v>70.734999999999999</v>
      </c>
      <c r="H158" s="65">
        <v>0</v>
      </c>
      <c r="I158" s="65">
        <f t="shared" si="35"/>
        <v>70.734999999999999</v>
      </c>
      <c r="J158" s="66">
        <f t="shared" si="32"/>
        <v>58.881125248471164</v>
      </c>
      <c r="K158" s="21">
        <v>33.930752572706901</v>
      </c>
      <c r="L158" s="21">
        <v>1.97679436241611</v>
      </c>
      <c r="M158" s="21">
        <f t="shared" si="36"/>
        <v>35.907546935123008</v>
      </c>
      <c r="N158" s="57">
        <f t="shared" si="33"/>
        <v>34.161630877940716</v>
      </c>
    </row>
    <row r="159" spans="1:14" x14ac:dyDescent="0.4">
      <c r="A159" s="14" t="s">
        <v>136</v>
      </c>
      <c r="B159" s="14" t="s">
        <v>19</v>
      </c>
      <c r="C159" s="14">
        <v>2023</v>
      </c>
      <c r="D159" s="64">
        <v>11.507</v>
      </c>
      <c r="E159" s="64">
        <v>19.042000000000002</v>
      </c>
      <c r="F159" s="64">
        <v>28.895</v>
      </c>
      <c r="G159" s="64">
        <f t="shared" si="34"/>
        <v>59.444000000000003</v>
      </c>
      <c r="H159" s="65">
        <v>0</v>
      </c>
      <c r="I159" s="65">
        <f t="shared" si="35"/>
        <v>59.444000000000003</v>
      </c>
      <c r="J159" s="66">
        <f t="shared" si="32"/>
        <v>62.80533333333333</v>
      </c>
      <c r="K159" s="21">
        <v>35.908320357941797</v>
      </c>
      <c r="L159" s="21">
        <v>1.97679436241611</v>
      </c>
      <c r="M159" s="21">
        <f t="shared" si="36"/>
        <v>37.885114720357905</v>
      </c>
      <c r="N159" s="57">
        <f t="shared" si="33"/>
        <v>35.789335784726681</v>
      </c>
    </row>
    <row r="160" spans="1:14" x14ac:dyDescent="0.4">
      <c r="A160" s="14" t="s">
        <v>137</v>
      </c>
      <c r="B160" s="14" t="s">
        <v>19</v>
      </c>
      <c r="C160" s="14">
        <v>2024</v>
      </c>
      <c r="D160" s="64">
        <v>10.619</v>
      </c>
      <c r="E160" s="64">
        <v>19.042000000000002</v>
      </c>
      <c r="F160" s="64">
        <v>28.251999999999999</v>
      </c>
      <c r="G160" s="64">
        <f t="shared" si="34"/>
        <v>57.912999999999997</v>
      </c>
      <c r="H160" s="65">
        <v>0</v>
      </c>
      <c r="I160" s="65">
        <f t="shared" si="35"/>
        <v>57.912999999999997</v>
      </c>
      <c r="J160" s="66">
        <f t="shared" si="32"/>
        <v>62.697333333333326</v>
      </c>
      <c r="K160" s="21">
        <v>36.487735123042498</v>
      </c>
      <c r="L160" s="21">
        <v>2.0086918120805399</v>
      </c>
      <c r="M160" s="21">
        <f t="shared" si="36"/>
        <v>38.49642693512304</v>
      </c>
      <c r="N160" s="57">
        <f t="shared" si="33"/>
        <v>37.429696196867987</v>
      </c>
    </row>
    <row r="161" spans="1:14" x14ac:dyDescent="0.4">
      <c r="A161" s="14" t="s">
        <v>138</v>
      </c>
      <c r="B161" s="14" t="s">
        <v>19</v>
      </c>
      <c r="C161" s="14">
        <v>2025</v>
      </c>
      <c r="D161" s="64">
        <v>17.047000000000001</v>
      </c>
      <c r="E161" s="64">
        <v>11.6</v>
      </c>
      <c r="F161" s="64">
        <v>15.212999999999999</v>
      </c>
      <c r="G161" s="64">
        <f t="shared" si="34"/>
        <v>43.86</v>
      </c>
      <c r="H161" s="65">
        <v>0</v>
      </c>
      <c r="I161" s="65">
        <f t="shared" si="35"/>
        <v>43.86</v>
      </c>
      <c r="J161" s="66">
        <f t="shared" si="32"/>
        <v>53.738999999999997</v>
      </c>
      <c r="K161" s="21">
        <v>37.065750335570499</v>
      </c>
      <c r="L161" s="21">
        <v>2.0405122147651</v>
      </c>
      <c r="M161" s="21">
        <f t="shared" si="36"/>
        <v>39.1062625503356</v>
      </c>
      <c r="N161" s="57">
        <f t="shared" si="33"/>
        <v>38.495934735272179</v>
      </c>
    </row>
    <row r="162" spans="1:14" x14ac:dyDescent="0.4">
      <c r="A162" s="14" t="s">
        <v>225</v>
      </c>
      <c r="B162" s="14" t="s">
        <v>20</v>
      </c>
      <c r="C162" s="14">
        <v>2012</v>
      </c>
      <c r="D162" s="64">
        <v>0</v>
      </c>
      <c r="E162" s="64">
        <v>0</v>
      </c>
      <c r="F162" s="64">
        <v>0</v>
      </c>
      <c r="G162" s="64" t="str">
        <f t="shared" si="34"/>
        <v/>
      </c>
      <c r="H162" s="65"/>
      <c r="I162" s="65" t="str">
        <f t="shared" si="35"/>
        <v/>
      </c>
      <c r="J162" s="66"/>
      <c r="K162" s="21">
        <v>0</v>
      </c>
      <c r="L162" s="21">
        <v>0</v>
      </c>
      <c r="M162" s="21" t="str">
        <f t="shared" si="36"/>
        <v/>
      </c>
      <c r="N162" s="57"/>
    </row>
    <row r="163" spans="1:14" x14ac:dyDescent="0.4">
      <c r="A163" s="14" t="s">
        <v>226</v>
      </c>
      <c r="B163" s="14" t="s">
        <v>20</v>
      </c>
      <c r="C163" s="14">
        <v>2013</v>
      </c>
      <c r="D163" s="64">
        <v>0</v>
      </c>
      <c r="E163" s="64">
        <v>0</v>
      </c>
      <c r="F163" s="64">
        <v>0</v>
      </c>
      <c r="G163" s="64" t="str">
        <f t="shared" si="34"/>
        <v/>
      </c>
      <c r="H163" s="65"/>
      <c r="I163" s="65" t="str">
        <f t="shared" si="35"/>
        <v/>
      </c>
      <c r="J163" s="66"/>
      <c r="K163" s="21">
        <v>0</v>
      </c>
      <c r="L163" s="21">
        <v>0</v>
      </c>
      <c r="M163" s="21" t="str">
        <f t="shared" si="36"/>
        <v/>
      </c>
      <c r="N163" s="57"/>
    </row>
    <row r="164" spans="1:14" x14ac:dyDescent="0.4">
      <c r="A164" s="14" t="s">
        <v>227</v>
      </c>
      <c r="B164" s="14" t="s">
        <v>20</v>
      </c>
      <c r="C164" s="14">
        <v>2014</v>
      </c>
      <c r="D164" s="64">
        <v>0</v>
      </c>
      <c r="E164" s="64">
        <v>0</v>
      </c>
      <c r="F164" s="64">
        <v>0</v>
      </c>
      <c r="G164" s="64" t="str">
        <f t="shared" si="34"/>
        <v/>
      </c>
      <c r="H164" s="65"/>
      <c r="I164" s="65" t="str">
        <f t="shared" si="35"/>
        <v/>
      </c>
      <c r="J164" s="66" t="str">
        <f t="shared" si="32"/>
        <v/>
      </c>
      <c r="K164" s="21">
        <v>0</v>
      </c>
      <c r="L164" s="21">
        <v>0</v>
      </c>
      <c r="M164" s="21" t="str">
        <f t="shared" si="36"/>
        <v/>
      </c>
      <c r="N164" s="57" t="str">
        <f t="shared" si="33"/>
        <v/>
      </c>
    </row>
    <row r="165" spans="1:14" x14ac:dyDescent="0.4">
      <c r="A165" s="14" t="s">
        <v>228</v>
      </c>
      <c r="B165" s="14" t="s">
        <v>20</v>
      </c>
      <c r="C165" s="14">
        <v>2015</v>
      </c>
      <c r="D165" s="64">
        <v>0</v>
      </c>
      <c r="E165" s="64">
        <v>0</v>
      </c>
      <c r="F165" s="64">
        <v>0</v>
      </c>
      <c r="G165" s="64" t="str">
        <f t="shared" si="34"/>
        <v/>
      </c>
      <c r="H165" s="65"/>
      <c r="I165" s="65" t="str">
        <f t="shared" si="35"/>
        <v/>
      </c>
      <c r="J165" s="66" t="str">
        <f t="shared" si="32"/>
        <v/>
      </c>
      <c r="K165" s="21">
        <v>0</v>
      </c>
      <c r="L165" s="21">
        <v>0</v>
      </c>
      <c r="M165" s="21" t="str">
        <f t="shared" si="36"/>
        <v/>
      </c>
      <c r="N165" s="57" t="str">
        <f>IF(OR(M163="",M164="",M165=""),"",AVERAGE(M163:M165))</f>
        <v/>
      </c>
    </row>
    <row r="166" spans="1:14" x14ac:dyDescent="0.4">
      <c r="A166" s="14" t="s">
        <v>229</v>
      </c>
      <c r="B166" s="14" t="s">
        <v>20</v>
      </c>
      <c r="C166" s="14">
        <v>2016</v>
      </c>
      <c r="D166" s="64">
        <v>0</v>
      </c>
      <c r="E166" s="64">
        <v>0</v>
      </c>
      <c r="F166" s="64">
        <v>0</v>
      </c>
      <c r="G166" s="64" t="str">
        <f t="shared" si="34"/>
        <v/>
      </c>
      <c r="H166" s="65"/>
      <c r="I166" s="65" t="str">
        <f t="shared" si="35"/>
        <v/>
      </c>
      <c r="J166" s="66" t="str">
        <f t="shared" si="32"/>
        <v/>
      </c>
      <c r="K166" s="21">
        <v>0</v>
      </c>
      <c r="L166" s="21">
        <v>0</v>
      </c>
      <c r="M166" s="21" t="str">
        <f t="shared" si="36"/>
        <v/>
      </c>
      <c r="N166" s="57" t="str">
        <f t="shared" ref="N166:N175" si="37">IF(OR(M164="",M165="",M166=""),"",AVERAGE(M164:M166))</f>
        <v/>
      </c>
    </row>
    <row r="167" spans="1:14" x14ac:dyDescent="0.4">
      <c r="A167" s="14" t="s">
        <v>230</v>
      </c>
      <c r="B167" s="14" t="s">
        <v>20</v>
      </c>
      <c r="C167" s="14">
        <v>2017</v>
      </c>
      <c r="D167" s="64">
        <v>0</v>
      </c>
      <c r="E167" s="64">
        <v>0</v>
      </c>
      <c r="F167" s="64">
        <v>0</v>
      </c>
      <c r="G167" s="64" t="str">
        <f t="shared" si="34"/>
        <v/>
      </c>
      <c r="H167" s="65"/>
      <c r="I167" s="65" t="str">
        <f t="shared" si="35"/>
        <v/>
      </c>
      <c r="J167" s="66" t="str">
        <f t="shared" si="32"/>
        <v/>
      </c>
      <c r="K167" s="21">
        <v>0</v>
      </c>
      <c r="L167" s="21">
        <v>0</v>
      </c>
      <c r="M167" s="21" t="str">
        <f t="shared" si="36"/>
        <v/>
      </c>
      <c r="N167" s="57" t="str">
        <f t="shared" si="37"/>
        <v/>
      </c>
    </row>
    <row r="168" spans="1:14" x14ac:dyDescent="0.4">
      <c r="A168" s="14" t="s">
        <v>239</v>
      </c>
      <c r="B168" s="14" t="s">
        <v>20</v>
      </c>
      <c r="C168" s="14">
        <v>2018</v>
      </c>
      <c r="D168" s="64">
        <v>0</v>
      </c>
      <c r="E168" s="64">
        <v>6.6082259794604706E-2</v>
      </c>
      <c r="F168" s="64">
        <v>0</v>
      </c>
      <c r="G168" s="64">
        <f t="shared" si="34"/>
        <v>6.6082259794604706E-2</v>
      </c>
      <c r="H168" s="65"/>
      <c r="I168" s="65">
        <f t="shared" si="35"/>
        <v>6.6082259794604706E-2</v>
      </c>
      <c r="J168" s="66" t="str">
        <f t="shared" si="32"/>
        <v/>
      </c>
      <c r="K168" s="21">
        <v>0.23300000000000001</v>
      </c>
      <c r="L168" s="21">
        <v>1.4E-2</v>
      </c>
      <c r="M168" s="21">
        <f t="shared" si="36"/>
        <v>0.24700000000000003</v>
      </c>
      <c r="N168" s="57" t="str">
        <f t="shared" si="37"/>
        <v/>
      </c>
    </row>
    <row r="169" spans="1:14" x14ac:dyDescent="0.4">
      <c r="A169" s="14" t="s">
        <v>83</v>
      </c>
      <c r="B169" s="14" t="s">
        <v>20</v>
      </c>
      <c r="C169" s="14">
        <v>2019</v>
      </c>
      <c r="D169" s="64">
        <v>0</v>
      </c>
      <c r="E169" s="64">
        <v>6.5427413137433207E-2</v>
      </c>
      <c r="F169" s="64">
        <v>0</v>
      </c>
      <c r="G169" s="64">
        <f t="shared" si="34"/>
        <v>6.5427413137433207E-2</v>
      </c>
      <c r="H169" s="65"/>
      <c r="I169" s="65">
        <f t="shared" si="35"/>
        <v>6.5427413137433207E-2</v>
      </c>
      <c r="J169" s="66" t="str">
        <f t="shared" si="32"/>
        <v/>
      </c>
      <c r="K169" s="21">
        <v>0.23300000000000001</v>
      </c>
      <c r="L169" s="21">
        <v>1.4E-2</v>
      </c>
      <c r="M169" s="21">
        <f t="shared" si="36"/>
        <v>0.24700000000000003</v>
      </c>
      <c r="N169" s="57" t="str">
        <f t="shared" si="37"/>
        <v/>
      </c>
    </row>
    <row r="170" spans="1:14" x14ac:dyDescent="0.4">
      <c r="A170" s="14" t="s">
        <v>84</v>
      </c>
      <c r="B170" s="14" t="s">
        <v>20</v>
      </c>
      <c r="C170" s="14">
        <v>2020</v>
      </c>
      <c r="D170" s="64">
        <v>0</v>
      </c>
      <c r="E170" s="64">
        <v>0.10973472862611554</v>
      </c>
      <c r="F170" s="64">
        <v>0</v>
      </c>
      <c r="G170" s="64">
        <f t="shared" si="34"/>
        <v>0.10973472862611554</v>
      </c>
      <c r="H170" s="65"/>
      <c r="I170" s="65">
        <f t="shared" si="35"/>
        <v>0.10973472862611554</v>
      </c>
      <c r="J170" s="66">
        <f t="shared" si="32"/>
        <v>8.0414800519384488E-2</v>
      </c>
      <c r="K170" s="21">
        <v>0.23300000000000001</v>
      </c>
      <c r="L170" s="21">
        <v>1.4E-2</v>
      </c>
      <c r="M170" s="21">
        <f t="shared" si="36"/>
        <v>0.24700000000000003</v>
      </c>
      <c r="N170" s="57">
        <f t="shared" si="37"/>
        <v>0.24700000000000003</v>
      </c>
    </row>
    <row r="171" spans="1:14" x14ac:dyDescent="0.4">
      <c r="A171" s="14" t="s">
        <v>85</v>
      </c>
      <c r="B171" s="14" t="s">
        <v>20</v>
      </c>
      <c r="C171" s="14">
        <v>2021</v>
      </c>
      <c r="D171" s="64">
        <v>3.8238067023658701E-2</v>
      </c>
      <c r="E171" s="64">
        <v>0</v>
      </c>
      <c r="F171" s="64">
        <v>0</v>
      </c>
      <c r="G171" s="64">
        <f t="shared" si="34"/>
        <v>3.8238067023658701E-2</v>
      </c>
      <c r="H171" s="65">
        <v>0</v>
      </c>
      <c r="I171" s="65">
        <f t="shared" si="35"/>
        <v>3.8238067023658701E-2</v>
      </c>
      <c r="J171" s="66">
        <f t="shared" si="32"/>
        <v>7.1133402929069153E-2</v>
      </c>
      <c r="K171" s="21">
        <v>0.23699999999999999</v>
      </c>
      <c r="L171" s="21">
        <v>1.4E-2</v>
      </c>
      <c r="M171" s="21">
        <f t="shared" si="36"/>
        <v>0.251</v>
      </c>
      <c r="N171" s="57">
        <f t="shared" si="37"/>
        <v>0.24833333333333338</v>
      </c>
    </row>
    <row r="172" spans="1:14" x14ac:dyDescent="0.4">
      <c r="A172" s="14" t="s">
        <v>86</v>
      </c>
      <c r="B172" s="14" t="s">
        <v>20</v>
      </c>
      <c r="C172" s="14">
        <v>2022</v>
      </c>
      <c r="D172" s="64">
        <v>4.0824348939440903E-2</v>
      </c>
      <c r="E172" s="64">
        <v>9.4486985977379201E-2</v>
      </c>
      <c r="F172" s="64">
        <v>0</v>
      </c>
      <c r="G172" s="64">
        <f t="shared" si="34"/>
        <v>0.1353113349168201</v>
      </c>
      <c r="H172" s="65">
        <v>0</v>
      </c>
      <c r="I172" s="65">
        <f t="shared" si="35"/>
        <v>0.1353113349168201</v>
      </c>
      <c r="J172" s="66">
        <f t="shared" si="32"/>
        <v>9.4428043522198093E-2</v>
      </c>
      <c r="K172" s="21">
        <v>0.253</v>
      </c>
      <c r="L172" s="21">
        <v>1.4999999999999999E-2</v>
      </c>
      <c r="M172" s="21">
        <f t="shared" si="36"/>
        <v>0.26800000000000002</v>
      </c>
      <c r="N172" s="57">
        <f t="shared" si="37"/>
        <v>0.25533333333333336</v>
      </c>
    </row>
    <row r="173" spans="1:14" x14ac:dyDescent="0.4">
      <c r="A173" s="14" t="s">
        <v>87</v>
      </c>
      <c r="B173" s="14" t="s">
        <v>20</v>
      </c>
      <c r="C173" s="14">
        <v>2023</v>
      </c>
      <c r="D173" s="64">
        <v>4.3230031519225803E-2</v>
      </c>
      <c r="E173" s="64">
        <v>9.4486985977379201E-2</v>
      </c>
      <c r="F173" s="64">
        <v>0</v>
      </c>
      <c r="G173" s="64">
        <f t="shared" si="34"/>
        <v>0.137717017496605</v>
      </c>
      <c r="H173" s="65">
        <v>0</v>
      </c>
      <c r="I173" s="65">
        <f t="shared" si="35"/>
        <v>0.137717017496605</v>
      </c>
      <c r="J173" s="66">
        <f t="shared" si="32"/>
        <v>0.1037554731456946</v>
      </c>
      <c r="K173" s="21">
        <v>0.26700000000000002</v>
      </c>
      <c r="L173" s="21">
        <v>1.6E-2</v>
      </c>
      <c r="M173" s="21">
        <f t="shared" si="36"/>
        <v>0.28300000000000003</v>
      </c>
      <c r="N173" s="57">
        <f t="shared" si="37"/>
        <v>0.26733333333333337</v>
      </c>
    </row>
    <row r="174" spans="1:14" x14ac:dyDescent="0.4">
      <c r="A174" s="14" t="s">
        <v>88</v>
      </c>
      <c r="B174" s="14" t="s">
        <v>20</v>
      </c>
      <c r="C174" s="14">
        <v>2024</v>
      </c>
      <c r="D174" s="64">
        <v>4.3990400971140001E-2</v>
      </c>
      <c r="E174" s="64">
        <v>9.4486985977379201E-2</v>
      </c>
      <c r="F174" s="64">
        <v>0</v>
      </c>
      <c r="G174" s="64">
        <f t="shared" si="34"/>
        <v>0.13847738694851919</v>
      </c>
      <c r="H174" s="65">
        <v>0</v>
      </c>
      <c r="I174" s="65">
        <f t="shared" si="35"/>
        <v>0.13847738694851919</v>
      </c>
      <c r="J174" s="66">
        <f t="shared" si="32"/>
        <v>0.13716857978731475</v>
      </c>
      <c r="K174" s="21">
        <v>0.27200000000000002</v>
      </c>
      <c r="L174" s="21">
        <v>1.6E-2</v>
      </c>
      <c r="M174" s="21">
        <f t="shared" si="36"/>
        <v>0.28800000000000003</v>
      </c>
      <c r="N174" s="57">
        <f t="shared" si="37"/>
        <v>0.27966666666666667</v>
      </c>
    </row>
    <row r="175" spans="1:14" x14ac:dyDescent="0.4">
      <c r="A175" s="14" t="s">
        <v>89</v>
      </c>
      <c r="B175" s="14" t="s">
        <v>20</v>
      </c>
      <c r="C175" s="14">
        <v>2025</v>
      </c>
      <c r="D175" s="64">
        <v>4.47562212523165E-2</v>
      </c>
      <c r="E175" s="64">
        <v>9.4486985977379201E-2</v>
      </c>
      <c r="F175" s="64">
        <v>0</v>
      </c>
      <c r="G175" s="64">
        <f t="shared" si="34"/>
        <v>0.13924320722969569</v>
      </c>
      <c r="H175" s="65">
        <v>0</v>
      </c>
      <c r="I175" s="65">
        <f t="shared" si="35"/>
        <v>0.13924320722969569</v>
      </c>
      <c r="J175" s="66">
        <f t="shared" si="32"/>
        <v>0.13847920389160664</v>
      </c>
      <c r="K175" s="21">
        <v>0.27600000000000002</v>
      </c>
      <c r="L175" s="21">
        <v>1.7000000000000001E-2</v>
      </c>
      <c r="M175" s="21">
        <f t="shared" si="36"/>
        <v>0.29300000000000004</v>
      </c>
      <c r="N175" s="57">
        <f t="shared" si="37"/>
        <v>0.28800000000000003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E14"/>
  <sheetViews>
    <sheetView showGridLines="0" workbookViewId="0"/>
  </sheetViews>
  <sheetFormatPr defaultColWidth="9" defaultRowHeight="13.15" x14ac:dyDescent="0.4"/>
  <cols>
    <col min="1" max="1" width="2.125" style="5" customWidth="1"/>
    <col min="2" max="2" width="22.125" style="5" customWidth="1"/>
    <col min="3" max="3" width="37.875" style="5" customWidth="1"/>
    <col min="4" max="4" width="29.375" style="5" customWidth="1"/>
    <col min="5" max="5" width="31.125" style="5" customWidth="1"/>
    <col min="6" max="16384" width="9" style="5"/>
  </cols>
  <sheetData>
    <row r="1" spans="2:5" ht="15.75" x14ac:dyDescent="0.5">
      <c r="B1" s="22" t="s">
        <v>30</v>
      </c>
    </row>
    <row r="3" spans="2:5" x14ac:dyDescent="0.4">
      <c r="B3" s="1" t="s">
        <v>31</v>
      </c>
      <c r="D3" s="159"/>
      <c r="E3" s="159"/>
    </row>
    <row r="4" spans="2:5" ht="29.45" customHeight="1" x14ac:dyDescent="0.4">
      <c r="C4" s="2"/>
      <c r="D4" s="164" t="s">
        <v>300</v>
      </c>
      <c r="E4" s="165"/>
    </row>
    <row r="5" spans="2:5" x14ac:dyDescent="0.4">
      <c r="B5" s="3"/>
      <c r="C5" s="1"/>
      <c r="D5" s="68" t="s">
        <v>29</v>
      </c>
      <c r="E5" s="68"/>
    </row>
    <row r="6" spans="2:5" x14ac:dyDescent="0.4">
      <c r="D6" s="69" t="s">
        <v>27</v>
      </c>
      <c r="E6" s="26" t="s">
        <v>28</v>
      </c>
    </row>
    <row r="7" spans="2:5" x14ac:dyDescent="0.4">
      <c r="D7" s="26" t="s">
        <v>247</v>
      </c>
      <c r="E7" s="26" t="s">
        <v>248</v>
      </c>
    </row>
    <row r="8" spans="2:5" x14ac:dyDescent="0.4">
      <c r="B8" s="23" t="s">
        <v>2</v>
      </c>
      <c r="C8" s="23" t="s">
        <v>3</v>
      </c>
      <c r="D8" s="69"/>
      <c r="E8" s="69"/>
    </row>
    <row r="9" spans="2:5" x14ac:dyDescent="0.4">
      <c r="B9" s="4" t="s">
        <v>264</v>
      </c>
      <c r="C9" s="4" t="s">
        <v>242</v>
      </c>
      <c r="D9" s="82">
        <v>0.48052410000000001</v>
      </c>
      <c r="E9" s="82">
        <v>1.257423</v>
      </c>
    </row>
    <row r="10" spans="2:5" x14ac:dyDescent="0.4">
      <c r="B10" s="4" t="s">
        <v>4</v>
      </c>
      <c r="C10" s="4" t="s">
        <v>5</v>
      </c>
      <c r="D10" s="82">
        <v>2.0036930000000002</v>
      </c>
      <c r="E10" s="82">
        <v>-2.8797300000000001E-2</v>
      </c>
    </row>
    <row r="14" spans="2:5" x14ac:dyDescent="0.4">
      <c r="D14" s="74"/>
    </row>
  </sheetData>
  <mergeCells count="1">
    <mergeCell ref="D4:E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G42"/>
  <sheetViews>
    <sheetView showGridLines="0" zoomScale="80" zoomScaleNormal="80" workbookViewId="0"/>
  </sheetViews>
  <sheetFormatPr defaultColWidth="8.75" defaultRowHeight="14.25" x14ac:dyDescent="0.45"/>
  <cols>
    <col min="1" max="1" width="28.375" style="94" customWidth="1"/>
    <col min="2" max="22" width="8.75" style="94"/>
    <col min="23" max="29" width="10.125" style="94" customWidth="1"/>
    <col min="30" max="30" width="8.375" style="94" customWidth="1"/>
    <col min="31" max="32" width="15.125" style="94" customWidth="1"/>
    <col min="33" max="33" width="8.375" style="94" customWidth="1"/>
    <col min="34" max="16384" width="8.75" style="94"/>
  </cols>
  <sheetData>
    <row r="1" spans="1:33" ht="21" thickTop="1" x14ac:dyDescent="0.6">
      <c r="A1" s="91" t="s">
        <v>301</v>
      </c>
      <c r="B1" s="92"/>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row>
    <row r="2" spans="1:33" ht="19.350000000000001" customHeight="1" x14ac:dyDescent="0.6">
      <c r="A2" s="95"/>
      <c r="B2" s="96"/>
      <c r="C2" s="97"/>
      <c r="D2" s="97"/>
      <c r="E2" s="97"/>
      <c r="F2" s="98"/>
      <c r="G2" s="97"/>
      <c r="H2" s="97"/>
      <c r="I2" s="97"/>
      <c r="J2" s="97"/>
      <c r="K2" s="97"/>
      <c r="L2" s="97"/>
      <c r="M2" s="97"/>
      <c r="N2" s="97"/>
      <c r="O2" s="97"/>
      <c r="P2" s="97"/>
      <c r="Q2" s="97"/>
      <c r="R2" s="97"/>
      <c r="S2" s="97"/>
      <c r="T2" s="97"/>
      <c r="U2" s="97"/>
      <c r="V2" s="97"/>
      <c r="W2" s="97"/>
      <c r="X2" s="97"/>
      <c r="Y2" s="97"/>
      <c r="Z2" s="97"/>
      <c r="AA2" s="97"/>
      <c r="AB2" s="97"/>
      <c r="AC2" s="97"/>
      <c r="AD2" s="97"/>
      <c r="AE2" s="97"/>
      <c r="AF2" s="97"/>
      <c r="AG2" s="97"/>
    </row>
    <row r="3" spans="1:33" ht="17.649999999999999" x14ac:dyDescent="0.5">
      <c r="A3" s="124" t="s">
        <v>292</v>
      </c>
      <c r="B3" s="125"/>
      <c r="C3" s="126"/>
      <c r="D3" s="126"/>
      <c r="E3" s="126"/>
      <c r="F3" s="126"/>
      <c r="G3" s="126"/>
      <c r="H3" s="126"/>
      <c r="I3" s="126"/>
      <c r="J3" s="126"/>
      <c r="K3" s="126"/>
      <c r="L3" s="126"/>
      <c r="M3" s="126"/>
      <c r="N3" s="126"/>
      <c r="O3" s="126"/>
      <c r="P3" s="126"/>
      <c r="Q3" s="126"/>
      <c r="R3" s="126"/>
      <c r="S3" s="126"/>
      <c r="T3" s="126"/>
      <c r="U3" s="126"/>
      <c r="V3" s="126"/>
      <c r="W3" s="126"/>
      <c r="X3" s="126"/>
      <c r="Y3" s="126"/>
      <c r="Z3" s="126"/>
      <c r="AA3" s="126"/>
      <c r="AB3" s="126"/>
      <c r="AC3" s="126"/>
      <c r="AD3" s="126"/>
      <c r="AE3" s="126"/>
      <c r="AF3" s="126"/>
      <c r="AG3" s="126"/>
    </row>
    <row r="4" spans="1:33" ht="15.4" x14ac:dyDescent="0.45">
      <c r="A4" s="127" t="s">
        <v>67</v>
      </c>
      <c r="B4" s="128"/>
      <c r="C4" s="128"/>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row>
    <row r="5" spans="1:33" ht="14.85" customHeight="1" x14ac:dyDescent="0.45">
      <c r="A5" s="129"/>
      <c r="B5" s="143" t="s">
        <v>27</v>
      </c>
      <c r="C5" s="144"/>
      <c r="D5" s="144"/>
      <c r="E5" s="144"/>
      <c r="F5" s="144"/>
      <c r="G5" s="144"/>
      <c r="H5" s="145"/>
      <c r="I5" s="100" t="s">
        <v>270</v>
      </c>
      <c r="J5" s="100"/>
      <c r="K5" s="100"/>
      <c r="L5" s="100"/>
      <c r="M5" s="100"/>
      <c r="N5" s="100"/>
      <c r="O5" s="101"/>
      <c r="P5" s="102" t="s">
        <v>271</v>
      </c>
      <c r="Q5" s="103"/>
      <c r="R5" s="103"/>
      <c r="S5" s="103"/>
      <c r="T5" s="103"/>
      <c r="U5" s="103"/>
      <c r="V5" s="104"/>
      <c r="W5" s="105" t="s">
        <v>288</v>
      </c>
      <c r="X5" s="106"/>
      <c r="Y5" s="106"/>
      <c r="Z5" s="106"/>
      <c r="AA5" s="106"/>
      <c r="AB5" s="106"/>
      <c r="AC5" s="107"/>
      <c r="AD5" s="166"/>
      <c r="AE5" s="130"/>
    </row>
    <row r="6" spans="1:33" ht="16.350000000000001" customHeight="1" x14ac:dyDescent="0.45">
      <c r="A6" s="131"/>
      <c r="B6" s="146" t="s">
        <v>272</v>
      </c>
      <c r="C6" s="146" t="s">
        <v>273</v>
      </c>
      <c r="D6" s="146" t="s">
        <v>274</v>
      </c>
      <c r="E6" s="146" t="s">
        <v>275</v>
      </c>
      <c r="F6" s="146" t="s">
        <v>276</v>
      </c>
      <c r="G6" s="146" t="s">
        <v>277</v>
      </c>
      <c r="H6" s="146" t="s">
        <v>278</v>
      </c>
      <c r="I6" s="109" t="s">
        <v>279</v>
      </c>
      <c r="J6" s="109" t="s">
        <v>280</v>
      </c>
      <c r="K6" s="109" t="s">
        <v>281</v>
      </c>
      <c r="L6" s="109" t="s">
        <v>282</v>
      </c>
      <c r="M6" s="109" t="s">
        <v>283</v>
      </c>
      <c r="N6" s="109" t="s">
        <v>284</v>
      </c>
      <c r="O6" s="109" t="s">
        <v>285</v>
      </c>
      <c r="P6" s="110" t="s">
        <v>279</v>
      </c>
      <c r="Q6" s="110" t="s">
        <v>280</v>
      </c>
      <c r="R6" s="110" t="s">
        <v>281</v>
      </c>
      <c r="S6" s="110" t="s">
        <v>282</v>
      </c>
      <c r="T6" s="110" t="s">
        <v>283</v>
      </c>
      <c r="U6" s="110" t="s">
        <v>284</v>
      </c>
      <c r="V6" s="110" t="s">
        <v>285</v>
      </c>
      <c r="W6" s="132" t="s">
        <v>279</v>
      </c>
      <c r="X6" s="132" t="s">
        <v>280</v>
      </c>
      <c r="Y6" s="132" t="s">
        <v>281</v>
      </c>
      <c r="Z6" s="132" t="s">
        <v>282</v>
      </c>
      <c r="AA6" s="132" t="s">
        <v>283</v>
      </c>
      <c r="AB6" s="132" t="s">
        <v>284</v>
      </c>
      <c r="AC6" s="132" t="s">
        <v>285</v>
      </c>
      <c r="AD6" s="167"/>
      <c r="AE6" s="168" t="s">
        <v>288</v>
      </c>
      <c r="AF6" s="169" t="s">
        <v>289</v>
      </c>
      <c r="AG6" s="169" t="s">
        <v>290</v>
      </c>
    </row>
    <row r="7" spans="1:33" x14ac:dyDescent="0.45">
      <c r="A7" s="133" t="s">
        <v>291</v>
      </c>
      <c r="B7" s="108">
        <v>1</v>
      </c>
      <c r="C7" s="108">
        <v>2</v>
      </c>
      <c r="D7" s="108">
        <v>3</v>
      </c>
      <c r="E7" s="108">
        <v>4</v>
      </c>
      <c r="F7" s="108">
        <v>5</v>
      </c>
      <c r="G7" s="108">
        <v>6</v>
      </c>
      <c r="H7" s="108">
        <v>7</v>
      </c>
      <c r="I7" s="134">
        <v>8</v>
      </c>
      <c r="J7" s="134">
        <v>9</v>
      </c>
      <c r="K7" s="134">
        <v>10</v>
      </c>
      <c r="L7" s="134">
        <v>11</v>
      </c>
      <c r="M7" s="134">
        <v>12</v>
      </c>
      <c r="N7" s="134">
        <v>13</v>
      </c>
      <c r="O7" s="134">
        <v>14</v>
      </c>
      <c r="P7" s="135">
        <v>8</v>
      </c>
      <c r="Q7" s="135">
        <v>9</v>
      </c>
      <c r="R7" s="135">
        <v>10</v>
      </c>
      <c r="S7" s="135">
        <v>11</v>
      </c>
      <c r="T7" s="135">
        <v>12</v>
      </c>
      <c r="U7" s="135">
        <v>13</v>
      </c>
      <c r="V7" s="135">
        <v>14</v>
      </c>
      <c r="W7" s="136">
        <v>8</v>
      </c>
      <c r="X7" s="136">
        <v>9</v>
      </c>
      <c r="Y7" s="136">
        <v>10</v>
      </c>
      <c r="Z7" s="136">
        <v>11</v>
      </c>
      <c r="AA7" s="136">
        <v>12</v>
      </c>
      <c r="AB7" s="136">
        <v>13</v>
      </c>
      <c r="AC7" s="136">
        <v>14</v>
      </c>
      <c r="AD7" s="137"/>
      <c r="AE7" s="168"/>
      <c r="AF7" s="170"/>
      <c r="AG7" s="170"/>
    </row>
    <row r="8" spans="1:33" x14ac:dyDescent="0.45">
      <c r="A8" s="111" t="s">
        <v>8</v>
      </c>
      <c r="B8" s="112">
        <v>20.356000000000002</v>
      </c>
      <c r="C8" s="112">
        <v>17.63</v>
      </c>
      <c r="D8" s="112">
        <v>18.649999999999999</v>
      </c>
      <c r="E8" s="112">
        <v>22.923999999999999</v>
      </c>
      <c r="F8" s="112">
        <v>22.324999999999999</v>
      </c>
      <c r="G8" s="112">
        <v>24.545999999999999</v>
      </c>
      <c r="H8" s="112">
        <v>26.712</v>
      </c>
      <c r="I8" s="113">
        <v>28.086999999999499</v>
      </c>
      <c r="J8" s="113">
        <v>27.920875394353502</v>
      </c>
      <c r="K8" s="113">
        <v>38.258393938480403</v>
      </c>
      <c r="L8" s="113">
        <v>42.179663973420197</v>
      </c>
      <c r="M8" s="113">
        <v>43.284504984516801</v>
      </c>
      <c r="N8" s="113">
        <v>42.955054777273702</v>
      </c>
      <c r="O8" s="113">
        <v>40.454029125558499</v>
      </c>
      <c r="P8" s="114">
        <f>IFERROR(INTERCEPT($B8:$H8, $B$7:$H$7) +SLOPE($B8:$H8, $B$7:$H$7)*P$7,"")</f>
        <v>27.102571428571427</v>
      </c>
      <c r="Q8" s="114">
        <f t="shared" ref="Q8:V20" si="0">IFERROR(INTERCEPT($B8:$H8, $B$7:$H$7) +SLOPE($B8:$H8, $B$7:$H$7)*Q$7,"")</f>
        <v>28.408821428571429</v>
      </c>
      <c r="R8" s="114">
        <f t="shared" si="0"/>
        <v>29.715071428571427</v>
      </c>
      <c r="S8" s="114">
        <f t="shared" si="0"/>
        <v>31.021321428571426</v>
      </c>
      <c r="T8" s="114">
        <f t="shared" si="0"/>
        <v>32.327571428571424</v>
      </c>
      <c r="U8" s="114">
        <f t="shared" si="0"/>
        <v>33.633821428571423</v>
      </c>
      <c r="V8" s="114">
        <f t="shared" si="0"/>
        <v>34.940071428571429</v>
      </c>
      <c r="W8" s="138">
        <f t="shared" ref="W8:AC21" si="1" xml:space="preserve"> IF($AE8="Company forecast",I8, IF($AE8="Ofwat forecast",P8))</f>
        <v>28.086999999999499</v>
      </c>
      <c r="X8" s="138">
        <f t="shared" si="1"/>
        <v>27.920875394353502</v>
      </c>
      <c r="Y8" s="138">
        <f t="shared" si="1"/>
        <v>38.258393938480403</v>
      </c>
      <c r="Z8" s="138">
        <f t="shared" si="1"/>
        <v>42.179663973420197</v>
      </c>
      <c r="AA8" s="138">
        <f t="shared" si="1"/>
        <v>43.284504984516801</v>
      </c>
      <c r="AB8" s="138">
        <f t="shared" si="1"/>
        <v>42.955054777273702</v>
      </c>
      <c r="AC8" s="138">
        <f t="shared" si="1"/>
        <v>40.454029125558499</v>
      </c>
      <c r="AD8" s="122"/>
      <c r="AE8" s="139" t="s">
        <v>60</v>
      </c>
      <c r="AF8" s="140" t="s">
        <v>60</v>
      </c>
      <c r="AG8" s="141" t="str">
        <f t="shared" ref="AG8:AG21" si="2" xml:space="preserve"> IF(AE8=AF8, "OK", "error")</f>
        <v>OK</v>
      </c>
    </row>
    <row r="9" spans="1:33" x14ac:dyDescent="0.45">
      <c r="A9" s="111" t="s">
        <v>20</v>
      </c>
      <c r="B9" s="115"/>
      <c r="C9" s="115"/>
      <c r="D9" s="115"/>
      <c r="E9" s="115"/>
      <c r="F9" s="115"/>
      <c r="G9" s="115"/>
      <c r="H9" s="112">
        <v>0.23300000000000001</v>
      </c>
      <c r="I9" s="113">
        <v>0.23300000000000001</v>
      </c>
      <c r="J9" s="113">
        <v>0.23300000000000001</v>
      </c>
      <c r="K9" s="113">
        <v>0.23699999999999999</v>
      </c>
      <c r="L9" s="113">
        <v>0.253</v>
      </c>
      <c r="M9" s="113">
        <v>0.26700000000000002</v>
      </c>
      <c r="N9" s="113">
        <v>0.27200000000000002</v>
      </c>
      <c r="O9" s="113">
        <v>0.27600000000000002</v>
      </c>
      <c r="P9" s="116"/>
      <c r="Q9" s="116"/>
      <c r="R9" s="116"/>
      <c r="S9" s="116"/>
      <c r="T9" s="116"/>
      <c r="U9" s="116"/>
      <c r="V9" s="116"/>
      <c r="W9" s="138">
        <f t="shared" si="1"/>
        <v>0.23300000000000001</v>
      </c>
      <c r="X9" s="138">
        <f t="shared" si="1"/>
        <v>0.23300000000000001</v>
      </c>
      <c r="Y9" s="138">
        <f t="shared" si="1"/>
        <v>0.23699999999999999</v>
      </c>
      <c r="Z9" s="138">
        <f t="shared" si="1"/>
        <v>0.253</v>
      </c>
      <c r="AA9" s="138">
        <f t="shared" si="1"/>
        <v>0.26700000000000002</v>
      </c>
      <c r="AB9" s="138">
        <f t="shared" si="1"/>
        <v>0.27200000000000002</v>
      </c>
      <c r="AC9" s="138">
        <f t="shared" si="1"/>
        <v>0.27600000000000002</v>
      </c>
      <c r="AD9" s="122"/>
      <c r="AE9" s="139" t="s">
        <v>60</v>
      </c>
      <c r="AF9" s="140" t="s">
        <v>60</v>
      </c>
      <c r="AG9" s="141" t="str">
        <f t="shared" si="2"/>
        <v>OK</v>
      </c>
    </row>
    <row r="10" spans="1:33" x14ac:dyDescent="0.45">
      <c r="A10" s="111" t="s">
        <v>9</v>
      </c>
      <c r="B10" s="112">
        <v>5.2679999999999998</v>
      </c>
      <c r="C10" s="112">
        <v>5.0709999999999997</v>
      </c>
      <c r="D10" s="112">
        <v>6.0919999999999996</v>
      </c>
      <c r="E10" s="112">
        <v>7.9530000000000003</v>
      </c>
      <c r="F10" s="112">
        <v>7.3</v>
      </c>
      <c r="G10" s="112">
        <v>8.31</v>
      </c>
      <c r="H10" s="112">
        <v>8.75</v>
      </c>
      <c r="I10" s="113">
        <v>8.7710000000000008</v>
      </c>
      <c r="J10" s="113">
        <v>8.9260000000000002</v>
      </c>
      <c r="K10" s="113">
        <v>9.4390000000000001</v>
      </c>
      <c r="L10" s="113">
        <v>10.007999999999999</v>
      </c>
      <c r="M10" s="113">
        <v>9.9250000000000007</v>
      </c>
      <c r="N10" s="113">
        <v>9.5299999999999994</v>
      </c>
      <c r="O10" s="113">
        <v>9.3409999999999993</v>
      </c>
      <c r="P10" s="114">
        <f t="shared" ref="P10:P19" si="3">IFERROR(INTERCEPT($B10:$H10, $B$7:$H$7) +SLOPE($B10:$H10, $B$7:$H$7)*P$7,"")</f>
        <v>9.5537142857142854</v>
      </c>
      <c r="Q10" s="114">
        <f t="shared" si="0"/>
        <v>10.201285714285714</v>
      </c>
      <c r="R10" s="114">
        <f t="shared" si="0"/>
        <v>10.848857142857144</v>
      </c>
      <c r="S10" s="114">
        <f t="shared" si="0"/>
        <v>11.496428571428572</v>
      </c>
      <c r="T10" s="114">
        <f t="shared" si="0"/>
        <v>12.144</v>
      </c>
      <c r="U10" s="114">
        <f t="shared" si="0"/>
        <v>12.791571428571428</v>
      </c>
      <c r="V10" s="114">
        <f t="shared" si="0"/>
        <v>13.439142857142858</v>
      </c>
      <c r="W10" s="138">
        <f t="shared" si="1"/>
        <v>8.7710000000000008</v>
      </c>
      <c r="X10" s="138">
        <f t="shared" si="1"/>
        <v>8.9260000000000002</v>
      </c>
      <c r="Y10" s="138">
        <f t="shared" si="1"/>
        <v>9.4390000000000001</v>
      </c>
      <c r="Z10" s="138">
        <f t="shared" si="1"/>
        <v>10.007999999999999</v>
      </c>
      <c r="AA10" s="138">
        <f t="shared" si="1"/>
        <v>9.9250000000000007</v>
      </c>
      <c r="AB10" s="138">
        <f t="shared" si="1"/>
        <v>9.5299999999999994</v>
      </c>
      <c r="AC10" s="138">
        <f t="shared" si="1"/>
        <v>9.3409999999999993</v>
      </c>
      <c r="AD10" s="122"/>
      <c r="AE10" s="139" t="s">
        <v>60</v>
      </c>
      <c r="AF10" s="140" t="s">
        <v>60</v>
      </c>
      <c r="AG10" s="141" t="str">
        <f t="shared" si="2"/>
        <v>OK</v>
      </c>
    </row>
    <row r="11" spans="1:33" x14ac:dyDescent="0.45">
      <c r="A11" s="111" t="s">
        <v>10</v>
      </c>
      <c r="B11" s="112">
        <v>11.579000000000001</v>
      </c>
      <c r="C11" s="112">
        <v>11.412000000000001</v>
      </c>
      <c r="D11" s="112">
        <v>12.364000000000001</v>
      </c>
      <c r="E11" s="112">
        <v>15.038</v>
      </c>
      <c r="F11" s="112">
        <v>18.135000000000002</v>
      </c>
      <c r="G11" s="112">
        <v>19.766999999999999</v>
      </c>
      <c r="H11" s="112">
        <v>22.141999999999999</v>
      </c>
      <c r="I11" s="113">
        <v>21.695</v>
      </c>
      <c r="J11" s="113">
        <v>22.768000000000001</v>
      </c>
      <c r="K11" s="113">
        <v>23.841000000000001</v>
      </c>
      <c r="L11" s="113">
        <v>24.916</v>
      </c>
      <c r="M11" s="113">
        <v>25.989000000000001</v>
      </c>
      <c r="N11" s="113">
        <v>27.062000000000001</v>
      </c>
      <c r="O11" s="113">
        <v>28.135000000000002</v>
      </c>
      <c r="P11" s="114">
        <f t="shared" si="3"/>
        <v>23.515285714285717</v>
      </c>
      <c r="Q11" s="114">
        <f t="shared" si="0"/>
        <v>25.449928571428572</v>
      </c>
      <c r="R11" s="114">
        <f t="shared" si="0"/>
        <v>27.38457142857143</v>
      </c>
      <c r="S11" s="114">
        <f t="shared" si="0"/>
        <v>29.319214285714288</v>
      </c>
      <c r="T11" s="114">
        <f t="shared" si="0"/>
        <v>31.253857142857143</v>
      </c>
      <c r="U11" s="114">
        <f t="shared" si="0"/>
        <v>33.188500000000005</v>
      </c>
      <c r="V11" s="114">
        <f t="shared" si="0"/>
        <v>35.123142857142859</v>
      </c>
      <c r="W11" s="138">
        <f t="shared" si="1"/>
        <v>21.695</v>
      </c>
      <c r="X11" s="138">
        <f t="shared" si="1"/>
        <v>22.768000000000001</v>
      </c>
      <c r="Y11" s="138">
        <f t="shared" si="1"/>
        <v>23.841000000000001</v>
      </c>
      <c r="Z11" s="138">
        <f t="shared" si="1"/>
        <v>24.916</v>
      </c>
      <c r="AA11" s="138">
        <f t="shared" si="1"/>
        <v>25.989000000000001</v>
      </c>
      <c r="AB11" s="138">
        <f t="shared" si="1"/>
        <v>27.062000000000001</v>
      </c>
      <c r="AC11" s="138">
        <f t="shared" si="1"/>
        <v>28.135000000000002</v>
      </c>
      <c r="AD11" s="122"/>
      <c r="AE11" s="139" t="s">
        <v>60</v>
      </c>
      <c r="AF11" s="140" t="s">
        <v>60</v>
      </c>
      <c r="AG11" s="141" t="str">
        <f t="shared" si="2"/>
        <v>OK</v>
      </c>
    </row>
    <row r="12" spans="1:33" x14ac:dyDescent="0.45">
      <c r="A12" s="111" t="s">
        <v>11</v>
      </c>
      <c r="B12" s="112">
        <v>9.875</v>
      </c>
      <c r="C12" s="112">
        <v>9.3559999999999999</v>
      </c>
      <c r="D12" s="112">
        <v>9.9369999999999994</v>
      </c>
      <c r="E12" s="112">
        <v>12.14</v>
      </c>
      <c r="F12" s="112">
        <v>12.468999999999999</v>
      </c>
      <c r="G12" s="112">
        <v>6.42</v>
      </c>
      <c r="H12" s="112">
        <v>9.17</v>
      </c>
      <c r="I12" s="113">
        <v>14.698</v>
      </c>
      <c r="J12" s="113">
        <v>13.855</v>
      </c>
      <c r="K12" s="113">
        <v>22.974</v>
      </c>
      <c r="L12" s="113">
        <v>22.036000000000001</v>
      </c>
      <c r="M12" s="113">
        <v>21.623999999999999</v>
      </c>
      <c r="N12" s="113">
        <v>21.204000000000001</v>
      </c>
      <c r="O12" s="113">
        <v>20.338999999999999</v>
      </c>
      <c r="P12" s="114">
        <f t="shared" si="3"/>
        <v>9.1302857142857157</v>
      </c>
      <c r="Q12" s="114">
        <f t="shared" si="0"/>
        <v>8.9354642857142856</v>
      </c>
      <c r="R12" s="114">
        <f t="shared" si="0"/>
        <v>8.7406428571428574</v>
      </c>
      <c r="S12" s="114">
        <f t="shared" si="0"/>
        <v>8.5458214285714291</v>
      </c>
      <c r="T12" s="114">
        <f t="shared" si="0"/>
        <v>8.3510000000000009</v>
      </c>
      <c r="U12" s="114">
        <f t="shared" si="0"/>
        <v>8.1561785714285726</v>
      </c>
      <c r="V12" s="114">
        <f t="shared" si="0"/>
        <v>7.9613571428571435</v>
      </c>
      <c r="W12" s="138">
        <f t="shared" si="1"/>
        <v>14.698</v>
      </c>
      <c r="X12" s="138">
        <f t="shared" si="1"/>
        <v>13.855</v>
      </c>
      <c r="Y12" s="138">
        <f t="shared" si="1"/>
        <v>22.974</v>
      </c>
      <c r="Z12" s="138">
        <f t="shared" si="1"/>
        <v>22.036000000000001</v>
      </c>
      <c r="AA12" s="138">
        <f t="shared" si="1"/>
        <v>21.623999999999999</v>
      </c>
      <c r="AB12" s="138">
        <f t="shared" si="1"/>
        <v>21.204000000000001</v>
      </c>
      <c r="AC12" s="138">
        <f t="shared" si="1"/>
        <v>20.338999999999999</v>
      </c>
      <c r="AD12" s="122"/>
      <c r="AE12" s="139" t="s">
        <v>60</v>
      </c>
      <c r="AF12" s="140" t="s">
        <v>60</v>
      </c>
      <c r="AG12" s="141" t="str">
        <f t="shared" si="2"/>
        <v>OK</v>
      </c>
    </row>
    <row r="13" spans="1:33" x14ac:dyDescent="0.45">
      <c r="A13" s="111" t="s">
        <v>19</v>
      </c>
      <c r="B13" s="115"/>
      <c r="C13" s="115"/>
      <c r="D13" s="115"/>
      <c r="E13" s="115"/>
      <c r="F13" s="115"/>
      <c r="G13" s="115"/>
      <c r="H13" s="112">
        <v>31.28</v>
      </c>
      <c r="I13" s="113">
        <v>31.28</v>
      </c>
      <c r="J13" s="113">
        <v>31.28</v>
      </c>
      <c r="K13" s="113">
        <v>31.823429290809901</v>
      </c>
      <c r="L13" s="113">
        <v>33.930752572706901</v>
      </c>
      <c r="M13" s="113">
        <v>35.908320357941797</v>
      </c>
      <c r="N13" s="113">
        <v>36.487735123042498</v>
      </c>
      <c r="O13" s="113">
        <v>37.065750335570499</v>
      </c>
      <c r="P13" s="116"/>
      <c r="Q13" s="116"/>
      <c r="R13" s="116"/>
      <c r="S13" s="116"/>
      <c r="T13" s="116"/>
      <c r="U13" s="116"/>
      <c r="V13" s="116"/>
      <c r="W13" s="138">
        <f t="shared" si="1"/>
        <v>31.28</v>
      </c>
      <c r="X13" s="138">
        <f t="shared" si="1"/>
        <v>31.28</v>
      </c>
      <c r="Y13" s="138">
        <f t="shared" si="1"/>
        <v>31.823429290809901</v>
      </c>
      <c r="Z13" s="138">
        <f t="shared" si="1"/>
        <v>33.930752572706901</v>
      </c>
      <c r="AA13" s="138">
        <f t="shared" si="1"/>
        <v>35.908320357941797</v>
      </c>
      <c r="AB13" s="138">
        <f t="shared" si="1"/>
        <v>36.487735123042498</v>
      </c>
      <c r="AC13" s="138">
        <f t="shared" si="1"/>
        <v>37.065750335570499</v>
      </c>
      <c r="AD13" s="122"/>
      <c r="AE13" s="139" t="s">
        <v>60</v>
      </c>
      <c r="AF13" s="140" t="s">
        <v>60</v>
      </c>
      <c r="AG13" s="141" t="str">
        <f t="shared" si="2"/>
        <v>OK</v>
      </c>
    </row>
    <row r="14" spans="1:33" ht="15" customHeight="1" x14ac:dyDescent="0.45">
      <c r="A14" s="111" t="s">
        <v>12</v>
      </c>
      <c r="B14" s="112">
        <v>19.024000000000001</v>
      </c>
      <c r="C14" s="112">
        <v>15.33</v>
      </c>
      <c r="D14" s="112">
        <v>18.776</v>
      </c>
      <c r="E14" s="112">
        <v>23.286999999999999</v>
      </c>
      <c r="F14" s="112">
        <v>27.157</v>
      </c>
      <c r="G14" s="112">
        <v>25.436</v>
      </c>
      <c r="H14" s="112">
        <v>31.513000000000002</v>
      </c>
      <c r="I14" s="115"/>
      <c r="J14" s="115"/>
      <c r="K14" s="115"/>
      <c r="L14" s="115"/>
      <c r="M14" s="115"/>
      <c r="N14" s="115"/>
      <c r="O14" s="115"/>
      <c r="P14" s="114">
        <f t="shared" si="3"/>
        <v>32.369</v>
      </c>
      <c r="Q14" s="114">
        <f t="shared" si="0"/>
        <v>34.728285714285718</v>
      </c>
      <c r="R14" s="114">
        <f t="shared" si="0"/>
        <v>37.08757142857143</v>
      </c>
      <c r="S14" s="114">
        <f t="shared" si="0"/>
        <v>39.446857142857148</v>
      </c>
      <c r="T14" s="114">
        <f t="shared" si="0"/>
        <v>41.806142857142859</v>
      </c>
      <c r="U14" s="114">
        <f t="shared" si="0"/>
        <v>44.165428571428571</v>
      </c>
      <c r="V14" s="114">
        <f t="shared" si="0"/>
        <v>46.524714285714289</v>
      </c>
      <c r="W14" s="138">
        <f t="shared" si="1"/>
        <v>0</v>
      </c>
      <c r="X14" s="138">
        <f t="shared" si="1"/>
        <v>0</v>
      </c>
      <c r="Y14" s="138">
        <f t="shared" si="1"/>
        <v>0</v>
      </c>
      <c r="Z14" s="138">
        <f t="shared" si="1"/>
        <v>0</v>
      </c>
      <c r="AA14" s="138">
        <f t="shared" si="1"/>
        <v>0</v>
      </c>
      <c r="AB14" s="138">
        <f t="shared" si="1"/>
        <v>0</v>
      </c>
      <c r="AC14" s="138">
        <f t="shared" si="1"/>
        <v>0</v>
      </c>
      <c r="AD14" s="122"/>
      <c r="AE14" s="139" t="s">
        <v>60</v>
      </c>
      <c r="AF14" s="140" t="s">
        <v>60</v>
      </c>
      <c r="AG14" s="141" t="str">
        <f t="shared" si="2"/>
        <v>OK</v>
      </c>
    </row>
    <row r="15" spans="1:33" x14ac:dyDescent="0.45">
      <c r="A15" s="111" t="s">
        <v>14</v>
      </c>
      <c r="B15" s="112">
        <v>5.383</v>
      </c>
      <c r="C15" s="112">
        <v>4.5259999999999998</v>
      </c>
      <c r="D15" s="112">
        <v>5.3754216867469875</v>
      </c>
      <c r="E15" s="112">
        <v>7.1868227315247895</v>
      </c>
      <c r="F15" s="112">
        <v>7.2069999999999999</v>
      </c>
      <c r="G15" s="112">
        <v>7.37</v>
      </c>
      <c r="H15" s="112">
        <v>7.1619999999999999</v>
      </c>
      <c r="I15" s="113">
        <v>7.117</v>
      </c>
      <c r="J15" s="113">
        <v>6.9569999999999999</v>
      </c>
      <c r="K15" s="113">
        <v>6.8239999999999998</v>
      </c>
      <c r="L15" s="113">
        <v>6.91</v>
      </c>
      <c r="M15" s="113">
        <v>6.6929999999999996</v>
      </c>
      <c r="N15" s="113">
        <v>6.8289999999999997</v>
      </c>
      <c r="O15" s="113">
        <v>6.6680000000000001</v>
      </c>
      <c r="P15" s="114">
        <f t="shared" si="3"/>
        <v>8.1524032473606844</v>
      </c>
      <c r="Q15" s="114">
        <f t="shared" si="0"/>
        <v>8.6115667585482925</v>
      </c>
      <c r="R15" s="114">
        <f t="shared" si="0"/>
        <v>9.0707302697359005</v>
      </c>
      <c r="S15" s="114">
        <f t="shared" si="0"/>
        <v>9.5298937809235085</v>
      </c>
      <c r="T15" s="114">
        <f t="shared" si="0"/>
        <v>9.9890572921111165</v>
      </c>
      <c r="U15" s="114">
        <f t="shared" si="0"/>
        <v>10.448220803298723</v>
      </c>
      <c r="V15" s="114">
        <f t="shared" si="0"/>
        <v>10.907384314486331</v>
      </c>
      <c r="W15" s="138">
        <f t="shared" si="1"/>
        <v>7.117</v>
      </c>
      <c r="X15" s="138">
        <f t="shared" si="1"/>
        <v>6.9569999999999999</v>
      </c>
      <c r="Y15" s="138">
        <f t="shared" si="1"/>
        <v>6.8239999999999998</v>
      </c>
      <c r="Z15" s="138">
        <f t="shared" si="1"/>
        <v>6.91</v>
      </c>
      <c r="AA15" s="138">
        <f t="shared" si="1"/>
        <v>6.6929999999999996</v>
      </c>
      <c r="AB15" s="138">
        <f t="shared" si="1"/>
        <v>6.8289999999999997</v>
      </c>
      <c r="AC15" s="138">
        <f t="shared" si="1"/>
        <v>6.6680000000000001</v>
      </c>
      <c r="AD15" s="122"/>
      <c r="AE15" s="139" t="s">
        <v>60</v>
      </c>
      <c r="AF15" s="140" t="s">
        <v>60</v>
      </c>
      <c r="AG15" s="141" t="str">
        <f t="shared" si="2"/>
        <v>OK</v>
      </c>
    </row>
    <row r="16" spans="1:33" x14ac:dyDescent="0.45">
      <c r="A16" s="111" t="s">
        <v>15</v>
      </c>
      <c r="B16" s="112">
        <v>30.32</v>
      </c>
      <c r="C16" s="112">
        <v>35.508000000000003</v>
      </c>
      <c r="D16" s="112">
        <v>45.823</v>
      </c>
      <c r="E16" s="112">
        <v>41.947000000000003</v>
      </c>
      <c r="F16" s="112">
        <v>48.244999999999997</v>
      </c>
      <c r="G16" s="112">
        <v>44.225999999999999</v>
      </c>
      <c r="H16" s="112">
        <v>45.241</v>
      </c>
      <c r="I16" s="113">
        <v>65.531999999999996</v>
      </c>
      <c r="J16" s="113">
        <v>69.188999999999993</v>
      </c>
      <c r="K16" s="113">
        <v>69.47</v>
      </c>
      <c r="L16" s="113">
        <v>67.501999999999995</v>
      </c>
      <c r="M16" s="113">
        <v>58.62</v>
      </c>
      <c r="N16" s="113">
        <v>59.215000000000003</v>
      </c>
      <c r="O16" s="113">
        <v>56.686</v>
      </c>
      <c r="P16" s="114">
        <f t="shared" si="3"/>
        <v>50.847285714285704</v>
      </c>
      <c r="Q16" s="114">
        <f t="shared" si="0"/>
        <v>53.155178571428564</v>
      </c>
      <c r="R16" s="114">
        <f t="shared" si="0"/>
        <v>55.463071428571425</v>
      </c>
      <c r="S16" s="114">
        <f t="shared" si="0"/>
        <v>57.770964285714278</v>
      </c>
      <c r="T16" s="114">
        <f t="shared" si="0"/>
        <v>60.078857142857132</v>
      </c>
      <c r="U16" s="114">
        <f t="shared" si="0"/>
        <v>62.386749999999992</v>
      </c>
      <c r="V16" s="114">
        <f t="shared" si="0"/>
        <v>64.694642857142838</v>
      </c>
      <c r="W16" s="138">
        <f t="shared" si="1"/>
        <v>65.531999999999996</v>
      </c>
      <c r="X16" s="138">
        <f t="shared" si="1"/>
        <v>69.188999999999993</v>
      </c>
      <c r="Y16" s="138">
        <f t="shared" si="1"/>
        <v>69.47</v>
      </c>
      <c r="Z16" s="138">
        <f t="shared" si="1"/>
        <v>67.501999999999995</v>
      </c>
      <c r="AA16" s="138">
        <f t="shared" si="1"/>
        <v>58.62</v>
      </c>
      <c r="AB16" s="138">
        <f t="shared" si="1"/>
        <v>59.215000000000003</v>
      </c>
      <c r="AC16" s="138">
        <f t="shared" si="1"/>
        <v>56.686</v>
      </c>
      <c r="AD16" s="122"/>
      <c r="AE16" s="139" t="s">
        <v>60</v>
      </c>
      <c r="AF16" s="140" t="s">
        <v>60</v>
      </c>
      <c r="AG16" s="141" t="str">
        <f t="shared" si="2"/>
        <v>OK</v>
      </c>
    </row>
    <row r="17" spans="1:33" x14ac:dyDescent="0.45">
      <c r="A17" s="111" t="s">
        <v>16</v>
      </c>
      <c r="B17" s="112">
        <v>7.0220000000000002</v>
      </c>
      <c r="C17" s="112">
        <v>5.3529999999999998</v>
      </c>
      <c r="D17" s="112">
        <v>6.2679999999999998</v>
      </c>
      <c r="E17" s="112">
        <v>7.2290000000000001</v>
      </c>
      <c r="F17" s="112">
        <v>8.32</v>
      </c>
      <c r="G17" s="112">
        <v>7.64</v>
      </c>
      <c r="H17" s="112">
        <v>8.1389999999999993</v>
      </c>
      <c r="I17" s="113">
        <v>7.0789999999999997</v>
      </c>
      <c r="J17" s="113">
        <v>8.218</v>
      </c>
      <c r="K17" s="113">
        <v>8.4280000000000008</v>
      </c>
      <c r="L17" s="113">
        <v>8.5719999999999992</v>
      </c>
      <c r="M17" s="113">
        <v>8.7129999999999992</v>
      </c>
      <c r="N17" s="113">
        <v>8.75</v>
      </c>
      <c r="O17" s="113">
        <v>8.782</v>
      </c>
      <c r="P17" s="114">
        <f t="shared" si="3"/>
        <v>8.5640000000000001</v>
      </c>
      <c r="Q17" s="114">
        <f t="shared" si="0"/>
        <v>8.9203214285714285</v>
      </c>
      <c r="R17" s="114">
        <f t="shared" si="0"/>
        <v>9.276642857142857</v>
      </c>
      <c r="S17" s="114">
        <f t="shared" si="0"/>
        <v>9.6329642857142854</v>
      </c>
      <c r="T17" s="114">
        <f t="shared" si="0"/>
        <v>9.9892857142857139</v>
      </c>
      <c r="U17" s="114">
        <f t="shared" si="0"/>
        <v>10.345607142857142</v>
      </c>
      <c r="V17" s="114">
        <f t="shared" si="0"/>
        <v>10.701928571428571</v>
      </c>
      <c r="W17" s="138">
        <f t="shared" si="1"/>
        <v>7.0789999999999997</v>
      </c>
      <c r="X17" s="138">
        <f t="shared" si="1"/>
        <v>8.218</v>
      </c>
      <c r="Y17" s="138">
        <f t="shared" si="1"/>
        <v>8.4280000000000008</v>
      </c>
      <c r="Z17" s="138">
        <f t="shared" si="1"/>
        <v>8.5719999999999992</v>
      </c>
      <c r="AA17" s="138">
        <f t="shared" si="1"/>
        <v>8.7129999999999992</v>
      </c>
      <c r="AB17" s="138">
        <f t="shared" si="1"/>
        <v>8.75</v>
      </c>
      <c r="AC17" s="138">
        <f t="shared" si="1"/>
        <v>8.782</v>
      </c>
      <c r="AD17" s="122"/>
      <c r="AE17" s="139" t="s">
        <v>60</v>
      </c>
      <c r="AF17" s="140" t="s">
        <v>60</v>
      </c>
      <c r="AG17" s="141" t="str">
        <f t="shared" si="2"/>
        <v>OK</v>
      </c>
    </row>
    <row r="18" spans="1:33" x14ac:dyDescent="0.45">
      <c r="A18" s="111" t="s">
        <v>17</v>
      </c>
      <c r="B18" s="112">
        <v>9.0519999999999996</v>
      </c>
      <c r="C18" s="112">
        <v>7.1859999999999999</v>
      </c>
      <c r="D18" s="112">
        <v>8.4760000000000009</v>
      </c>
      <c r="E18" s="112">
        <v>8.6630000000000003</v>
      </c>
      <c r="F18" s="112">
        <v>9.0790000000000006</v>
      </c>
      <c r="G18" s="112">
        <v>9.2609999999999992</v>
      </c>
      <c r="H18" s="112">
        <v>9.7409999999999997</v>
      </c>
      <c r="I18" s="113">
        <v>14.321</v>
      </c>
      <c r="J18" s="113">
        <v>13.526999999999999</v>
      </c>
      <c r="K18" s="113">
        <v>12.682</v>
      </c>
      <c r="L18" s="113">
        <v>12.526</v>
      </c>
      <c r="M18" s="113">
        <v>12.308999999999999</v>
      </c>
      <c r="N18" s="113">
        <v>12.022</v>
      </c>
      <c r="O18" s="113">
        <v>11.468999999999999</v>
      </c>
      <c r="P18" s="114">
        <f t="shared" si="3"/>
        <v>9.7539999999999996</v>
      </c>
      <c r="Q18" s="114">
        <f t="shared" si="0"/>
        <v>9.9975714285714297</v>
      </c>
      <c r="R18" s="114">
        <f t="shared" si="0"/>
        <v>10.241142857142858</v>
      </c>
      <c r="S18" s="114">
        <f t="shared" si="0"/>
        <v>10.484714285714286</v>
      </c>
      <c r="T18" s="114">
        <f t="shared" si="0"/>
        <v>10.728285714285715</v>
      </c>
      <c r="U18" s="114">
        <f t="shared" si="0"/>
        <v>10.971857142857143</v>
      </c>
      <c r="V18" s="114">
        <f t="shared" si="0"/>
        <v>11.215428571428571</v>
      </c>
      <c r="W18" s="138">
        <f t="shared" si="1"/>
        <v>14.321</v>
      </c>
      <c r="X18" s="138">
        <f t="shared" si="1"/>
        <v>13.526999999999999</v>
      </c>
      <c r="Y18" s="138">
        <f t="shared" si="1"/>
        <v>12.682</v>
      </c>
      <c r="Z18" s="138">
        <f t="shared" si="1"/>
        <v>12.526</v>
      </c>
      <c r="AA18" s="138">
        <f t="shared" si="1"/>
        <v>12.308999999999999</v>
      </c>
      <c r="AB18" s="138">
        <f t="shared" si="1"/>
        <v>12.022</v>
      </c>
      <c r="AC18" s="138">
        <f t="shared" si="1"/>
        <v>11.468999999999999</v>
      </c>
      <c r="AD18" s="122"/>
      <c r="AE18" s="139" t="s">
        <v>60</v>
      </c>
      <c r="AF18" s="140" t="s">
        <v>60</v>
      </c>
      <c r="AG18" s="141" t="str">
        <f t="shared" si="2"/>
        <v>OK</v>
      </c>
    </row>
    <row r="19" spans="1:33" x14ac:dyDescent="0.45">
      <c r="A19" s="111" t="s">
        <v>18</v>
      </c>
      <c r="B19" s="112">
        <v>10.75</v>
      </c>
      <c r="C19" s="112">
        <v>8.2810000000000006</v>
      </c>
      <c r="D19" s="112">
        <v>9.4320000000000004</v>
      </c>
      <c r="E19" s="112">
        <v>12.305</v>
      </c>
      <c r="F19" s="112">
        <v>12.507999999999999</v>
      </c>
      <c r="G19" s="112">
        <v>13.973000000000001</v>
      </c>
      <c r="H19" s="112">
        <v>13.347</v>
      </c>
      <c r="I19" s="113">
        <v>22.888000000000002</v>
      </c>
      <c r="J19" s="113">
        <v>22.260999999999999</v>
      </c>
      <c r="K19" s="113">
        <v>21.949000000000002</v>
      </c>
      <c r="L19" s="113">
        <v>19.852</v>
      </c>
      <c r="M19" s="113">
        <v>19.948</v>
      </c>
      <c r="N19" s="113">
        <v>19.914000000000001</v>
      </c>
      <c r="O19" s="113">
        <v>19.954999999999998</v>
      </c>
      <c r="P19" s="114">
        <f t="shared" si="3"/>
        <v>14.69242857142857</v>
      </c>
      <c r="Q19" s="114">
        <f t="shared" si="0"/>
        <v>15.487107142857141</v>
      </c>
      <c r="R19" s="114">
        <f t="shared" si="0"/>
        <v>16.281785714285711</v>
      </c>
      <c r="S19" s="114">
        <f t="shared" si="0"/>
        <v>17.076464285714284</v>
      </c>
      <c r="T19" s="114">
        <f t="shared" si="0"/>
        <v>17.871142857142857</v>
      </c>
      <c r="U19" s="114">
        <f t="shared" si="0"/>
        <v>18.665821428571427</v>
      </c>
      <c r="V19" s="114">
        <f t="shared" si="0"/>
        <v>19.460499999999996</v>
      </c>
      <c r="W19" s="138">
        <f t="shared" si="1"/>
        <v>22.888000000000002</v>
      </c>
      <c r="X19" s="138">
        <f t="shared" si="1"/>
        <v>22.260999999999999</v>
      </c>
      <c r="Y19" s="138">
        <f t="shared" si="1"/>
        <v>21.949000000000002</v>
      </c>
      <c r="Z19" s="138">
        <f t="shared" si="1"/>
        <v>19.852</v>
      </c>
      <c r="AA19" s="138">
        <f t="shared" si="1"/>
        <v>19.948</v>
      </c>
      <c r="AB19" s="138">
        <f t="shared" si="1"/>
        <v>19.914000000000001</v>
      </c>
      <c r="AC19" s="138">
        <f t="shared" si="1"/>
        <v>19.954999999999998</v>
      </c>
      <c r="AD19" s="122"/>
      <c r="AE19" s="139" t="s">
        <v>60</v>
      </c>
      <c r="AF19" s="140" t="s">
        <v>60</v>
      </c>
      <c r="AG19" s="141" t="str">
        <f t="shared" si="2"/>
        <v>OK</v>
      </c>
    </row>
    <row r="20" spans="1:33" x14ac:dyDescent="0.45">
      <c r="A20" s="111" t="s">
        <v>286</v>
      </c>
      <c r="B20" s="112">
        <f ca="1">SUMIF($A$8:$A$20,$A$14,B$8:B$19)</f>
        <v>19.024000000000001</v>
      </c>
      <c r="C20" s="112">
        <f t="shared" ref="C20:G20" ca="1" si="4">SUMIF($A$8:$A$20,$A$14,C$8:C$19)</f>
        <v>15.33</v>
      </c>
      <c r="D20" s="112">
        <f t="shared" ca="1" si="4"/>
        <v>18.776</v>
      </c>
      <c r="E20" s="112">
        <f t="shared" ca="1" si="4"/>
        <v>23.286999999999999</v>
      </c>
      <c r="F20" s="112">
        <f t="shared" ca="1" si="4"/>
        <v>27.157</v>
      </c>
      <c r="G20" s="112">
        <f t="shared" ca="1" si="4"/>
        <v>25.436</v>
      </c>
      <c r="H20" s="112">
        <f ca="1">SUMIF($A$8:$A$20,$A$14,H$8:H$19)</f>
        <v>31.513000000000002</v>
      </c>
      <c r="I20" s="113">
        <f ca="1">SUMIF($A$8:$A$20,$A$9,I$8:I$19)+SUMIF($A$8:$A$20,$A$13,H$8:H$19)</f>
        <v>31.513000000000002</v>
      </c>
      <c r="J20" s="113">
        <f t="shared" ref="J20:O20" ca="1" si="5">SUMIF($A$8:$A$20,$A$9,J$8:J$19)+SUMIF($A$8:$A$20,$A$13,I$8:I$19)</f>
        <v>31.513000000000002</v>
      </c>
      <c r="K20" s="113">
        <f t="shared" ca="1" si="5"/>
        <v>31.516999999999999</v>
      </c>
      <c r="L20" s="113">
        <f t="shared" ca="1" si="5"/>
        <v>32.076429290809898</v>
      </c>
      <c r="M20" s="113">
        <f t="shared" ca="1" si="5"/>
        <v>34.197752572706904</v>
      </c>
      <c r="N20" s="113">
        <f t="shared" ca="1" si="5"/>
        <v>36.180320357941795</v>
      </c>
      <c r="O20" s="113">
        <f t="shared" ca="1" si="5"/>
        <v>36.763735123042501</v>
      </c>
      <c r="P20" s="114">
        <f ca="1">IFERROR(INTERCEPT($B20:$H20, $B$7:$H$7) +SLOPE($B20:$H20, $B$7:$H$7)*P$7,"")</f>
        <v>32.369</v>
      </c>
      <c r="Q20" s="114">
        <f t="shared" ca="1" si="0"/>
        <v>34.728285714285718</v>
      </c>
      <c r="R20" s="114">
        <f t="shared" ca="1" si="0"/>
        <v>37.08757142857143</v>
      </c>
      <c r="S20" s="114">
        <f t="shared" ca="1" si="0"/>
        <v>39.446857142857148</v>
      </c>
      <c r="T20" s="114">
        <f t="shared" ca="1" si="0"/>
        <v>41.806142857142859</v>
      </c>
      <c r="U20" s="114">
        <f t="shared" ca="1" si="0"/>
        <v>44.165428571428571</v>
      </c>
      <c r="V20" s="114">
        <f t="shared" ca="1" si="0"/>
        <v>46.524714285714289</v>
      </c>
      <c r="W20" s="138">
        <f t="shared" ca="1" si="1"/>
        <v>31.513000000000002</v>
      </c>
      <c r="X20" s="138">
        <f t="shared" ca="1" si="1"/>
        <v>31.513000000000002</v>
      </c>
      <c r="Y20" s="138">
        <f t="shared" ca="1" si="1"/>
        <v>31.516999999999999</v>
      </c>
      <c r="Z20" s="138">
        <f t="shared" ca="1" si="1"/>
        <v>32.076429290809898</v>
      </c>
      <c r="AA20" s="138">
        <f t="shared" ca="1" si="1"/>
        <v>34.197752572706904</v>
      </c>
      <c r="AB20" s="138">
        <f t="shared" ca="1" si="1"/>
        <v>36.180320357941795</v>
      </c>
      <c r="AC20" s="138">
        <f t="shared" ca="1" si="1"/>
        <v>36.763735123042501</v>
      </c>
      <c r="AD20" s="122"/>
      <c r="AE20" s="139" t="s">
        <v>60</v>
      </c>
      <c r="AF20" s="140" t="s">
        <v>60</v>
      </c>
      <c r="AG20" s="141" t="str">
        <f t="shared" si="2"/>
        <v>OK</v>
      </c>
    </row>
    <row r="21" spans="1:33" x14ac:dyDescent="0.45">
      <c r="A21" s="142" t="s">
        <v>287</v>
      </c>
      <c r="B21" s="117">
        <f t="shared" ref="B21:V21" si="6">SUM(B8:B19)</f>
        <v>128.62900000000002</v>
      </c>
      <c r="C21" s="117">
        <f t="shared" si="6"/>
        <v>119.65299999999999</v>
      </c>
      <c r="D21" s="117">
        <f t="shared" si="6"/>
        <v>141.19342168674697</v>
      </c>
      <c r="E21" s="117">
        <f t="shared" si="6"/>
        <v>158.6728227315248</v>
      </c>
      <c r="F21" s="117">
        <f t="shared" si="6"/>
        <v>172.745</v>
      </c>
      <c r="G21" s="117">
        <f t="shared" si="6"/>
        <v>166.94900000000001</v>
      </c>
      <c r="H21" s="117">
        <f t="shared" si="6"/>
        <v>213.43000000000004</v>
      </c>
      <c r="I21" s="118">
        <f t="shared" si="6"/>
        <v>221.70099999999951</v>
      </c>
      <c r="J21" s="118">
        <f t="shared" si="6"/>
        <v>225.13487539435346</v>
      </c>
      <c r="K21" s="118">
        <f t="shared" si="6"/>
        <v>245.9258232292903</v>
      </c>
      <c r="L21" s="118">
        <f t="shared" si="6"/>
        <v>248.68541654612713</v>
      </c>
      <c r="M21" s="118">
        <f t="shared" si="6"/>
        <v>243.28082534245863</v>
      </c>
      <c r="N21" s="118">
        <f t="shared" si="6"/>
        <v>244.2407899003162</v>
      </c>
      <c r="O21" s="118">
        <f t="shared" si="6"/>
        <v>239.17077946112903</v>
      </c>
      <c r="P21" s="119">
        <f t="shared" si="6"/>
        <v>193.68097467593208</v>
      </c>
      <c r="Q21" s="119">
        <f t="shared" si="6"/>
        <v>203.89553104426261</v>
      </c>
      <c r="R21" s="119">
        <f t="shared" si="6"/>
        <v>214.11008741259303</v>
      </c>
      <c r="S21" s="119">
        <f t="shared" si="6"/>
        <v>224.32464378092351</v>
      </c>
      <c r="T21" s="119">
        <f t="shared" si="6"/>
        <v>234.53920014925393</v>
      </c>
      <c r="U21" s="119">
        <f t="shared" si="6"/>
        <v>244.75375651758441</v>
      </c>
      <c r="V21" s="119">
        <f t="shared" si="6"/>
        <v>254.96831288591486</v>
      </c>
      <c r="W21" s="120">
        <f t="shared" si="1"/>
        <v>221.70099999999951</v>
      </c>
      <c r="X21" s="120">
        <f t="shared" si="1"/>
        <v>225.13487539435346</v>
      </c>
      <c r="Y21" s="120">
        <f t="shared" si="1"/>
        <v>245.9258232292903</v>
      </c>
      <c r="Z21" s="120">
        <f t="shared" si="1"/>
        <v>248.68541654612713</v>
      </c>
      <c r="AA21" s="120">
        <f t="shared" si="1"/>
        <v>243.28082534245863</v>
      </c>
      <c r="AB21" s="120">
        <f t="shared" si="1"/>
        <v>244.2407899003162</v>
      </c>
      <c r="AC21" s="120">
        <f t="shared" si="1"/>
        <v>239.17077946112903</v>
      </c>
      <c r="AD21" s="121"/>
      <c r="AE21" s="139" t="s">
        <v>60</v>
      </c>
      <c r="AF21" s="140" t="s">
        <v>60</v>
      </c>
      <c r="AG21" s="141" t="str">
        <f t="shared" si="2"/>
        <v>OK</v>
      </c>
    </row>
    <row r="22" spans="1:33" x14ac:dyDescent="0.45">
      <c r="AF22" s="122"/>
      <c r="AG22" s="123"/>
    </row>
    <row r="23" spans="1:33" ht="17.649999999999999" x14ac:dyDescent="0.5">
      <c r="A23" s="124" t="s">
        <v>293</v>
      </c>
      <c r="B23" s="125"/>
      <c r="C23" s="126"/>
      <c r="D23" s="126"/>
      <c r="E23" s="126"/>
      <c r="F23" s="126"/>
      <c r="G23" s="126"/>
      <c r="H23" s="126"/>
      <c r="I23" s="126"/>
      <c r="J23" s="126"/>
      <c r="K23" s="126"/>
      <c r="L23" s="126"/>
      <c r="M23" s="126"/>
      <c r="N23" s="126"/>
      <c r="O23" s="126"/>
      <c r="P23" s="126"/>
      <c r="Q23" s="126"/>
      <c r="R23" s="126"/>
      <c r="S23" s="126"/>
      <c r="T23" s="126"/>
      <c r="U23" s="126"/>
      <c r="V23" s="126"/>
      <c r="W23" s="126"/>
      <c r="X23" s="126"/>
      <c r="Y23" s="126"/>
      <c r="Z23" s="126"/>
      <c r="AA23" s="126"/>
      <c r="AB23" s="126"/>
      <c r="AC23" s="126"/>
      <c r="AD23" s="126"/>
      <c r="AE23" s="126"/>
      <c r="AF23" s="126"/>
      <c r="AG23" s="126"/>
    </row>
    <row r="24" spans="1:33" ht="15.4" x14ac:dyDescent="0.45">
      <c r="A24" s="127" t="s">
        <v>68</v>
      </c>
      <c r="B24" s="128"/>
      <c r="C24" s="128"/>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row>
    <row r="25" spans="1:33" ht="14.85" customHeight="1" x14ac:dyDescent="0.45">
      <c r="A25" s="129"/>
      <c r="B25" s="143" t="s">
        <v>27</v>
      </c>
      <c r="C25" s="144"/>
      <c r="D25" s="144"/>
      <c r="E25" s="144"/>
      <c r="F25" s="144"/>
      <c r="G25" s="144"/>
      <c r="H25" s="145"/>
      <c r="I25" s="99" t="s">
        <v>270</v>
      </c>
      <c r="J25" s="100"/>
      <c r="K25" s="100"/>
      <c r="L25" s="100"/>
      <c r="M25" s="100"/>
      <c r="N25" s="100"/>
      <c r="O25" s="101"/>
      <c r="P25" s="102" t="s">
        <v>271</v>
      </c>
      <c r="Q25" s="103"/>
      <c r="R25" s="103"/>
      <c r="S25" s="103"/>
      <c r="T25" s="103"/>
      <c r="U25" s="103"/>
      <c r="V25" s="104"/>
      <c r="W25" s="105" t="s">
        <v>288</v>
      </c>
      <c r="X25" s="106"/>
      <c r="Y25" s="106"/>
      <c r="Z25" s="106"/>
      <c r="AA25" s="106"/>
      <c r="AB25" s="106"/>
      <c r="AC25" s="107"/>
      <c r="AD25" s="166"/>
      <c r="AE25" s="130"/>
    </row>
    <row r="26" spans="1:33" ht="15.75" customHeight="1" x14ac:dyDescent="0.45">
      <c r="A26" s="131"/>
      <c r="B26" s="146" t="s">
        <v>272</v>
      </c>
      <c r="C26" s="146" t="s">
        <v>273</v>
      </c>
      <c r="D26" s="146" t="s">
        <v>274</v>
      </c>
      <c r="E26" s="146" t="s">
        <v>275</v>
      </c>
      <c r="F26" s="146" t="s">
        <v>276</v>
      </c>
      <c r="G26" s="146" t="s">
        <v>277</v>
      </c>
      <c r="H26" s="146" t="s">
        <v>278</v>
      </c>
      <c r="I26" s="147" t="s">
        <v>279</v>
      </c>
      <c r="J26" s="147" t="s">
        <v>280</v>
      </c>
      <c r="K26" s="147" t="s">
        <v>281</v>
      </c>
      <c r="L26" s="147" t="s">
        <v>282</v>
      </c>
      <c r="M26" s="147" t="s">
        <v>283</v>
      </c>
      <c r="N26" s="147" t="s">
        <v>284</v>
      </c>
      <c r="O26" s="147" t="s">
        <v>285</v>
      </c>
      <c r="P26" s="110" t="s">
        <v>279</v>
      </c>
      <c r="Q26" s="110" t="s">
        <v>280</v>
      </c>
      <c r="R26" s="110" t="s">
        <v>281</v>
      </c>
      <c r="S26" s="110" t="s">
        <v>282</v>
      </c>
      <c r="T26" s="110" t="s">
        <v>283</v>
      </c>
      <c r="U26" s="110" t="s">
        <v>284</v>
      </c>
      <c r="V26" s="110" t="s">
        <v>285</v>
      </c>
      <c r="W26" s="132" t="s">
        <v>279</v>
      </c>
      <c r="X26" s="132" t="s">
        <v>280</v>
      </c>
      <c r="Y26" s="132" t="s">
        <v>281</v>
      </c>
      <c r="Z26" s="132" t="s">
        <v>282</v>
      </c>
      <c r="AA26" s="132" t="s">
        <v>283</v>
      </c>
      <c r="AB26" s="132" t="s">
        <v>284</v>
      </c>
      <c r="AC26" s="132" t="s">
        <v>285</v>
      </c>
      <c r="AD26" s="167"/>
      <c r="AE26" s="169" t="s">
        <v>288</v>
      </c>
      <c r="AF26" s="169" t="s">
        <v>289</v>
      </c>
      <c r="AG26" s="169" t="s">
        <v>290</v>
      </c>
    </row>
    <row r="27" spans="1:33" x14ac:dyDescent="0.45">
      <c r="A27" s="133" t="s">
        <v>291</v>
      </c>
      <c r="B27" s="108">
        <v>1</v>
      </c>
      <c r="C27" s="108">
        <v>2</v>
      </c>
      <c r="D27" s="108">
        <v>3</v>
      </c>
      <c r="E27" s="108">
        <v>4</v>
      </c>
      <c r="F27" s="108">
        <v>5</v>
      </c>
      <c r="G27" s="108">
        <v>6</v>
      </c>
      <c r="H27" s="108">
        <v>7</v>
      </c>
      <c r="I27" s="134">
        <v>8</v>
      </c>
      <c r="J27" s="134">
        <v>9</v>
      </c>
      <c r="K27" s="134">
        <v>10</v>
      </c>
      <c r="L27" s="134">
        <v>11</v>
      </c>
      <c r="M27" s="134">
        <v>12</v>
      </c>
      <c r="N27" s="134">
        <v>13</v>
      </c>
      <c r="O27" s="134">
        <v>14</v>
      </c>
      <c r="P27" s="135">
        <v>8</v>
      </c>
      <c r="Q27" s="135">
        <v>9</v>
      </c>
      <c r="R27" s="135">
        <v>10</v>
      </c>
      <c r="S27" s="135">
        <v>11</v>
      </c>
      <c r="T27" s="135">
        <v>12</v>
      </c>
      <c r="U27" s="135">
        <v>13</v>
      </c>
      <c r="V27" s="135">
        <v>14</v>
      </c>
      <c r="W27" s="136">
        <v>8</v>
      </c>
      <c r="X27" s="136">
        <v>9</v>
      </c>
      <c r="Y27" s="136">
        <v>10</v>
      </c>
      <c r="Z27" s="136">
        <v>11</v>
      </c>
      <c r="AA27" s="136">
        <v>12</v>
      </c>
      <c r="AB27" s="136">
        <v>13</v>
      </c>
      <c r="AC27" s="136">
        <v>14</v>
      </c>
      <c r="AD27" s="137"/>
      <c r="AE27" s="170"/>
      <c r="AF27" s="170"/>
      <c r="AG27" s="170"/>
    </row>
    <row r="28" spans="1:33" x14ac:dyDescent="0.45">
      <c r="A28" s="111" t="s">
        <v>8</v>
      </c>
      <c r="B28" s="148">
        <v>1.1890000000000001</v>
      </c>
      <c r="C28" s="148">
        <v>0.97599999999999998</v>
      </c>
      <c r="D28" s="148">
        <v>1.0149999999999999</v>
      </c>
      <c r="E28" s="148">
        <v>0.878</v>
      </c>
      <c r="F28" s="148">
        <v>1.0369999999999999</v>
      </c>
      <c r="G28" s="148">
        <v>0.97299999999999998</v>
      </c>
      <c r="H28" s="148">
        <v>0.83099999999999996</v>
      </c>
      <c r="I28" s="149">
        <v>0.95166666666666699</v>
      </c>
      <c r="J28" s="149">
        <v>0.94761111111111096</v>
      </c>
      <c r="K28" s="149">
        <v>0.93637962962962995</v>
      </c>
      <c r="L28" s="149">
        <v>0.94610956790123402</v>
      </c>
      <c r="M28" s="149">
        <v>0.93096116255144001</v>
      </c>
      <c r="N28" s="149">
        <v>0.92395468964334704</v>
      </c>
      <c r="O28" s="149">
        <v>0.939447137917238</v>
      </c>
      <c r="P28" s="150">
        <f>IFERROR(INTERCEPT($B28:$H28, $B$27:$H$27)+SLOPE($B28:$H28, $B$27:$H$27)*P$27,"")</f>
        <v>0.83442857142857119</v>
      </c>
      <c r="Q28" s="150">
        <f t="shared" ref="Q28:V40" si="7">IFERROR(INTERCEPT($B28:$H28, $B$27:$H$27)+SLOPE($B28:$H28, $B$27:$H$27)*Q$27,"")</f>
        <v>0.79664285714285688</v>
      </c>
      <c r="R28" s="150">
        <f t="shared" si="7"/>
        <v>0.75885714285714256</v>
      </c>
      <c r="S28" s="150">
        <f t="shared" si="7"/>
        <v>0.72107142857142836</v>
      </c>
      <c r="T28" s="150">
        <f t="shared" si="7"/>
        <v>0.68328571428571405</v>
      </c>
      <c r="U28" s="150">
        <f t="shared" si="7"/>
        <v>0.64549999999999974</v>
      </c>
      <c r="V28" s="150">
        <f t="shared" si="7"/>
        <v>0.60771428571428543</v>
      </c>
      <c r="W28" s="138">
        <f xml:space="preserve"> IF($AE28="Company forecast",I28, IF($AE28="Ofwat forecast",P28))</f>
        <v>0.95166666666666699</v>
      </c>
      <c r="X28" s="138">
        <f t="shared" ref="X28:AC40" si="8" xml:space="preserve"> IF($AE28="Company forecast",J28, IF($AE28="Ofwat forecast",Q28))</f>
        <v>0.94761111111111096</v>
      </c>
      <c r="Y28" s="138">
        <f t="shared" si="8"/>
        <v>0.93637962962962995</v>
      </c>
      <c r="Z28" s="138">
        <f t="shared" si="8"/>
        <v>0.94610956790123402</v>
      </c>
      <c r="AA28" s="138">
        <f t="shared" si="8"/>
        <v>0.93096116255144001</v>
      </c>
      <c r="AB28" s="138">
        <f t="shared" si="8"/>
        <v>0.92395468964334704</v>
      </c>
      <c r="AC28" s="138">
        <f t="shared" si="8"/>
        <v>0.939447137917238</v>
      </c>
      <c r="AD28" s="122"/>
      <c r="AE28" s="139" t="s">
        <v>60</v>
      </c>
      <c r="AF28" s="140" t="s">
        <v>60</v>
      </c>
      <c r="AG28" s="141" t="str">
        <f t="shared" ref="AG28:AG41" si="9" xml:space="preserve"> IF(AE28=AF28, "OK", "error")</f>
        <v>OK</v>
      </c>
    </row>
    <row r="29" spans="1:33" x14ac:dyDescent="0.45">
      <c r="A29" s="111" t="s">
        <v>20</v>
      </c>
      <c r="B29" s="151"/>
      <c r="C29" s="151"/>
      <c r="D29" s="151"/>
      <c r="E29" s="151"/>
      <c r="F29" s="151"/>
      <c r="G29" s="151"/>
      <c r="H29" s="148">
        <v>1.4E-2</v>
      </c>
      <c r="I29" s="149">
        <v>1.4E-2</v>
      </c>
      <c r="J29" s="149">
        <v>1.4E-2</v>
      </c>
      <c r="K29" s="149">
        <v>1.4E-2</v>
      </c>
      <c r="L29" s="149">
        <v>1.4999999999999999E-2</v>
      </c>
      <c r="M29" s="149">
        <v>1.6E-2</v>
      </c>
      <c r="N29" s="149">
        <v>1.6E-2</v>
      </c>
      <c r="O29" s="149">
        <v>1.7000000000000001E-2</v>
      </c>
      <c r="P29" s="152"/>
      <c r="Q29" s="152"/>
      <c r="R29" s="152"/>
      <c r="S29" s="152"/>
      <c r="T29" s="152"/>
      <c r="U29" s="152"/>
      <c r="V29" s="152"/>
      <c r="W29" s="138">
        <f t="shared" ref="W29:AC41" si="10" xml:space="preserve"> IF($AE29="Company forecast",I29, IF($AE29="Ofwat forecast",P29))</f>
        <v>1.4E-2</v>
      </c>
      <c r="X29" s="138">
        <f t="shared" si="8"/>
        <v>1.4E-2</v>
      </c>
      <c r="Y29" s="138">
        <f t="shared" si="8"/>
        <v>1.4E-2</v>
      </c>
      <c r="Z29" s="138">
        <f t="shared" si="8"/>
        <v>1.4999999999999999E-2</v>
      </c>
      <c r="AA29" s="138">
        <f t="shared" si="8"/>
        <v>1.6E-2</v>
      </c>
      <c r="AB29" s="138">
        <f t="shared" si="8"/>
        <v>1.6E-2</v>
      </c>
      <c r="AC29" s="138">
        <f t="shared" si="8"/>
        <v>1.7000000000000001E-2</v>
      </c>
      <c r="AD29" s="122"/>
      <c r="AE29" s="139" t="s">
        <v>60</v>
      </c>
      <c r="AF29" s="140" t="s">
        <v>60</v>
      </c>
      <c r="AG29" s="141" t="str">
        <f t="shared" si="9"/>
        <v>OK</v>
      </c>
    </row>
    <row r="30" spans="1:33" x14ac:dyDescent="0.45">
      <c r="A30" s="111" t="s">
        <v>9</v>
      </c>
      <c r="B30" s="148">
        <v>0.44700000000000001</v>
      </c>
      <c r="C30" s="148">
        <v>0.59099999999999997</v>
      </c>
      <c r="D30" s="148">
        <v>0.47799999999999998</v>
      </c>
      <c r="E30" s="148">
        <v>0.46100000000000002</v>
      </c>
      <c r="F30" s="148">
        <v>0.45700000000000002</v>
      </c>
      <c r="G30" s="148">
        <v>0.59899999999999998</v>
      </c>
      <c r="H30" s="148">
        <v>0.377</v>
      </c>
      <c r="I30" s="149">
        <v>0.26</v>
      </c>
      <c r="J30" s="149">
        <v>0.26</v>
      </c>
      <c r="K30" s="149">
        <v>0.26</v>
      </c>
      <c r="L30" s="149">
        <v>0.26</v>
      </c>
      <c r="M30" s="149">
        <v>0.26</v>
      </c>
      <c r="N30" s="149">
        <v>0.26</v>
      </c>
      <c r="O30" s="149">
        <v>0.26</v>
      </c>
      <c r="P30" s="150">
        <f t="shared" ref="P30:P40" si="11">IFERROR(INTERCEPT($B30:$H30, $B$27:$H$27)+SLOPE($B30:$H30, $B$27:$H$27)*P$27,"")</f>
        <v>0.45642857142857146</v>
      </c>
      <c r="Q30" s="150">
        <f t="shared" si="7"/>
        <v>0.44875000000000004</v>
      </c>
      <c r="R30" s="150">
        <f t="shared" si="7"/>
        <v>0.44107142857142861</v>
      </c>
      <c r="S30" s="150">
        <f t="shared" si="7"/>
        <v>0.43339285714285719</v>
      </c>
      <c r="T30" s="150">
        <f t="shared" si="7"/>
        <v>0.42571428571428577</v>
      </c>
      <c r="U30" s="150">
        <f t="shared" si="7"/>
        <v>0.41803571428571434</v>
      </c>
      <c r="V30" s="150">
        <f t="shared" si="7"/>
        <v>0.41035714285714292</v>
      </c>
      <c r="W30" s="138">
        <f t="shared" si="10"/>
        <v>0.26</v>
      </c>
      <c r="X30" s="138">
        <f t="shared" si="8"/>
        <v>0.26</v>
      </c>
      <c r="Y30" s="138">
        <f t="shared" si="8"/>
        <v>0.26</v>
      </c>
      <c r="Z30" s="138">
        <f t="shared" si="8"/>
        <v>0.26</v>
      </c>
      <c r="AA30" s="138">
        <f t="shared" si="8"/>
        <v>0.26</v>
      </c>
      <c r="AB30" s="138">
        <f t="shared" si="8"/>
        <v>0.26</v>
      </c>
      <c r="AC30" s="138">
        <f t="shared" si="8"/>
        <v>0.26</v>
      </c>
      <c r="AD30" s="122"/>
      <c r="AE30" s="139" t="s">
        <v>60</v>
      </c>
      <c r="AF30" s="140" t="s">
        <v>60</v>
      </c>
      <c r="AG30" s="141" t="str">
        <f t="shared" si="9"/>
        <v>OK</v>
      </c>
    </row>
    <row r="31" spans="1:33" x14ac:dyDescent="0.45">
      <c r="A31" s="111" t="s">
        <v>10</v>
      </c>
      <c r="B31" s="148">
        <v>0.73699999999999999</v>
      </c>
      <c r="C31" s="148">
        <v>0.71</v>
      </c>
      <c r="D31" s="148">
        <v>0.65100000000000002</v>
      </c>
      <c r="E31" s="148">
        <v>0.67200000000000004</v>
      </c>
      <c r="F31" s="148">
        <v>0.67700000000000005</v>
      </c>
      <c r="G31" s="148">
        <v>0.78600000000000003</v>
      </c>
      <c r="H31" s="148">
        <v>0.81100000000000005</v>
      </c>
      <c r="I31" s="149">
        <v>1.085</v>
      </c>
      <c r="J31" s="149">
        <v>1.139</v>
      </c>
      <c r="K31" s="149">
        <v>1.1919999999999999</v>
      </c>
      <c r="L31" s="149">
        <v>1.246</v>
      </c>
      <c r="M31" s="149">
        <v>1.2989999999999999</v>
      </c>
      <c r="N31" s="149">
        <v>1.353</v>
      </c>
      <c r="O31" s="149">
        <v>1.4059999999999999</v>
      </c>
      <c r="P31" s="150">
        <f t="shared" si="11"/>
        <v>0.77771428571428591</v>
      </c>
      <c r="Q31" s="150">
        <f t="shared" si="7"/>
        <v>0.79200000000000015</v>
      </c>
      <c r="R31" s="150">
        <f t="shared" si="7"/>
        <v>0.80628571428571449</v>
      </c>
      <c r="S31" s="150">
        <f t="shared" si="7"/>
        <v>0.82057142857142873</v>
      </c>
      <c r="T31" s="150">
        <f t="shared" si="7"/>
        <v>0.83485714285714308</v>
      </c>
      <c r="U31" s="150">
        <f t="shared" si="7"/>
        <v>0.84914285714285742</v>
      </c>
      <c r="V31" s="150">
        <f t="shared" si="7"/>
        <v>0.86342857142857166</v>
      </c>
      <c r="W31" s="138">
        <f t="shared" si="10"/>
        <v>1.085</v>
      </c>
      <c r="X31" s="138">
        <f t="shared" si="8"/>
        <v>1.139</v>
      </c>
      <c r="Y31" s="138">
        <f t="shared" si="8"/>
        <v>1.1919999999999999</v>
      </c>
      <c r="Z31" s="138">
        <f t="shared" si="8"/>
        <v>1.246</v>
      </c>
      <c r="AA31" s="138">
        <f t="shared" si="8"/>
        <v>1.2989999999999999</v>
      </c>
      <c r="AB31" s="138">
        <f t="shared" si="8"/>
        <v>1.353</v>
      </c>
      <c r="AC31" s="138">
        <f t="shared" si="8"/>
        <v>1.4059999999999999</v>
      </c>
      <c r="AD31" s="122"/>
      <c r="AE31" s="139" t="s">
        <v>60</v>
      </c>
      <c r="AF31" s="140" t="s">
        <v>60</v>
      </c>
      <c r="AG31" s="141" t="str">
        <f t="shared" si="9"/>
        <v>OK</v>
      </c>
    </row>
    <row r="32" spans="1:33" x14ac:dyDescent="0.45">
      <c r="A32" s="111" t="s">
        <v>11</v>
      </c>
      <c r="B32" s="148">
        <v>0</v>
      </c>
      <c r="C32" s="148">
        <v>0</v>
      </c>
      <c r="D32" s="148">
        <v>0.38</v>
      </c>
      <c r="E32" s="148">
        <v>0.42799999999999999</v>
      </c>
      <c r="F32" s="148">
        <v>0.54700000000000004</v>
      </c>
      <c r="G32" s="148">
        <v>0.70699999999999996</v>
      </c>
      <c r="H32" s="148">
        <v>0.86099999999999999</v>
      </c>
      <c r="I32" s="149">
        <v>0.67300000000000004</v>
      </c>
      <c r="J32" s="149">
        <v>0.63400000000000001</v>
      </c>
      <c r="K32" s="149">
        <v>1.0529999999999999</v>
      </c>
      <c r="L32" s="149">
        <v>1.01</v>
      </c>
      <c r="M32" s="149">
        <v>0.99099999999999999</v>
      </c>
      <c r="N32" s="149">
        <v>0.97199999999999998</v>
      </c>
      <c r="O32" s="149">
        <v>0.93200000000000005</v>
      </c>
      <c r="P32" s="150">
        <f t="shared" si="11"/>
        <v>1.0124285714285715</v>
      </c>
      <c r="Q32" s="150">
        <f t="shared" si="7"/>
        <v>1.1611428571428573</v>
      </c>
      <c r="R32" s="150">
        <f t="shared" si="7"/>
        <v>1.3098571428571428</v>
      </c>
      <c r="S32" s="150">
        <f t="shared" si="7"/>
        <v>1.4585714285714286</v>
      </c>
      <c r="T32" s="150">
        <f t="shared" si="7"/>
        <v>1.6072857142857144</v>
      </c>
      <c r="U32" s="150">
        <f t="shared" si="7"/>
        <v>1.756</v>
      </c>
      <c r="V32" s="150">
        <f t="shared" si="7"/>
        <v>1.9047142857142856</v>
      </c>
      <c r="W32" s="138">
        <f t="shared" si="10"/>
        <v>0.67300000000000004</v>
      </c>
      <c r="X32" s="138">
        <f t="shared" si="8"/>
        <v>0.63400000000000001</v>
      </c>
      <c r="Y32" s="138">
        <f t="shared" si="8"/>
        <v>1.0529999999999999</v>
      </c>
      <c r="Z32" s="138">
        <f t="shared" si="8"/>
        <v>1.01</v>
      </c>
      <c r="AA32" s="138">
        <f t="shared" si="8"/>
        <v>0.99099999999999999</v>
      </c>
      <c r="AB32" s="138">
        <f t="shared" si="8"/>
        <v>0.97199999999999998</v>
      </c>
      <c r="AC32" s="138">
        <f t="shared" si="8"/>
        <v>0.93200000000000005</v>
      </c>
      <c r="AD32" s="122"/>
      <c r="AE32" s="139" t="s">
        <v>60</v>
      </c>
      <c r="AF32" s="140" t="s">
        <v>60</v>
      </c>
      <c r="AG32" s="141" t="str">
        <f t="shared" si="9"/>
        <v>OK</v>
      </c>
    </row>
    <row r="33" spans="1:33" x14ac:dyDescent="0.45">
      <c r="A33" s="111" t="s">
        <v>19</v>
      </c>
      <c r="B33" s="151"/>
      <c r="C33" s="151"/>
      <c r="D33" s="151"/>
      <c r="E33" s="151"/>
      <c r="F33" s="151"/>
      <c r="G33" s="151"/>
      <c r="H33" s="148">
        <v>1.722</v>
      </c>
      <c r="I33" s="149">
        <v>1.722</v>
      </c>
      <c r="J33" s="149">
        <v>1.722</v>
      </c>
      <c r="K33" s="149">
        <v>1.75191640788922</v>
      </c>
      <c r="L33" s="149">
        <v>1.97679436241611</v>
      </c>
      <c r="M33" s="149">
        <v>1.97679436241611</v>
      </c>
      <c r="N33" s="149">
        <v>2.0086918120805399</v>
      </c>
      <c r="O33" s="149">
        <v>2.0405122147651</v>
      </c>
      <c r="P33" s="152"/>
      <c r="Q33" s="152"/>
      <c r="R33" s="152"/>
      <c r="S33" s="152"/>
      <c r="T33" s="152"/>
      <c r="U33" s="152"/>
      <c r="V33" s="152"/>
      <c r="W33" s="138">
        <f t="shared" si="10"/>
        <v>1.722</v>
      </c>
      <c r="X33" s="138">
        <f t="shared" si="8"/>
        <v>1.722</v>
      </c>
      <c r="Y33" s="138">
        <f t="shared" si="8"/>
        <v>1.75191640788922</v>
      </c>
      <c r="Z33" s="138">
        <f t="shared" si="8"/>
        <v>1.97679436241611</v>
      </c>
      <c r="AA33" s="138">
        <f t="shared" si="8"/>
        <v>1.97679436241611</v>
      </c>
      <c r="AB33" s="138">
        <f t="shared" si="8"/>
        <v>2.0086918120805399</v>
      </c>
      <c r="AC33" s="138">
        <f t="shared" si="8"/>
        <v>2.0405122147651</v>
      </c>
      <c r="AD33" s="122"/>
      <c r="AE33" s="139" t="s">
        <v>60</v>
      </c>
      <c r="AF33" s="140" t="s">
        <v>60</v>
      </c>
      <c r="AG33" s="141" t="str">
        <f t="shared" si="9"/>
        <v>OK</v>
      </c>
    </row>
    <row r="34" spans="1:33" x14ac:dyDescent="0.45">
      <c r="A34" s="111" t="s">
        <v>12</v>
      </c>
      <c r="B34" s="148">
        <v>1.214</v>
      </c>
      <c r="C34" s="148">
        <v>0.97899999999999998</v>
      </c>
      <c r="D34" s="148">
        <v>1.198</v>
      </c>
      <c r="E34" s="148">
        <v>1.454</v>
      </c>
      <c r="F34" s="148">
        <v>1.9410000000000001</v>
      </c>
      <c r="G34" s="148">
        <v>1.3169999999999999</v>
      </c>
      <c r="H34" s="148">
        <v>1.736</v>
      </c>
      <c r="I34" s="151"/>
      <c r="J34" s="151"/>
      <c r="K34" s="151"/>
      <c r="L34" s="151"/>
      <c r="M34" s="151"/>
      <c r="N34" s="151"/>
      <c r="O34" s="151"/>
      <c r="P34" s="150">
        <f t="shared" si="11"/>
        <v>1.8320000000000003</v>
      </c>
      <c r="Q34" s="150">
        <f t="shared" si="7"/>
        <v>1.9386071428571432</v>
      </c>
      <c r="R34" s="150">
        <f t="shared" si="7"/>
        <v>2.0452142857142861</v>
      </c>
      <c r="S34" s="150">
        <f t="shared" si="7"/>
        <v>2.151821428571429</v>
      </c>
      <c r="T34" s="150">
        <f t="shared" si="7"/>
        <v>2.2584285714285715</v>
      </c>
      <c r="U34" s="150">
        <f t="shared" si="7"/>
        <v>2.3650357142857144</v>
      </c>
      <c r="V34" s="150">
        <f t="shared" si="7"/>
        <v>2.4716428571428573</v>
      </c>
      <c r="W34" s="138">
        <f t="shared" si="10"/>
        <v>0</v>
      </c>
      <c r="X34" s="138">
        <f t="shared" si="8"/>
        <v>0</v>
      </c>
      <c r="Y34" s="138">
        <f t="shared" si="8"/>
        <v>0</v>
      </c>
      <c r="Z34" s="138">
        <f t="shared" si="8"/>
        <v>0</v>
      </c>
      <c r="AA34" s="138">
        <f t="shared" si="8"/>
        <v>0</v>
      </c>
      <c r="AB34" s="138">
        <f t="shared" si="8"/>
        <v>0</v>
      </c>
      <c r="AC34" s="138">
        <f t="shared" si="8"/>
        <v>0</v>
      </c>
      <c r="AD34" s="122"/>
      <c r="AE34" s="139" t="s">
        <v>60</v>
      </c>
      <c r="AF34" s="140" t="s">
        <v>60</v>
      </c>
      <c r="AG34" s="141" t="str">
        <f t="shared" si="9"/>
        <v>OK</v>
      </c>
    </row>
    <row r="35" spans="1:33" x14ac:dyDescent="0.45">
      <c r="A35" s="111" t="s">
        <v>14</v>
      </c>
      <c r="B35" s="148">
        <v>0.189</v>
      </c>
      <c r="C35" s="148">
        <v>0.14699999999999999</v>
      </c>
      <c r="D35" s="148">
        <v>0.16102409638554219</v>
      </c>
      <c r="E35" s="148">
        <v>0.25790318054256295</v>
      </c>
      <c r="F35" s="148">
        <v>0.219</v>
      </c>
      <c r="G35" s="148">
        <v>0.13400000000000001</v>
      </c>
      <c r="H35" s="148">
        <v>0.252</v>
      </c>
      <c r="I35" s="149">
        <v>0.252</v>
      </c>
      <c r="J35" s="149">
        <v>0.246</v>
      </c>
      <c r="K35" s="149">
        <v>0.24099999999999999</v>
      </c>
      <c r="L35" s="149">
        <v>0.24399999999999999</v>
      </c>
      <c r="M35" s="149">
        <v>0.23699999999999999</v>
      </c>
      <c r="N35" s="149">
        <v>0.24199999999999999</v>
      </c>
      <c r="O35" s="149">
        <v>0.23599999999999999</v>
      </c>
      <c r="P35" s="150">
        <f t="shared" si="11"/>
        <v>0.22584331150608042</v>
      </c>
      <c r="Q35" s="150">
        <f t="shared" si="7"/>
        <v>0.23373530806373963</v>
      </c>
      <c r="R35" s="150">
        <f t="shared" si="7"/>
        <v>0.24162730462139884</v>
      </c>
      <c r="S35" s="150">
        <f t="shared" si="7"/>
        <v>0.24951930117905805</v>
      </c>
      <c r="T35" s="150">
        <f t="shared" si="7"/>
        <v>0.25741129773671723</v>
      </c>
      <c r="U35" s="150">
        <f t="shared" si="7"/>
        <v>0.26530329429437649</v>
      </c>
      <c r="V35" s="150">
        <f t="shared" si="7"/>
        <v>0.27319529085203564</v>
      </c>
      <c r="W35" s="138">
        <f t="shared" si="10"/>
        <v>0.252</v>
      </c>
      <c r="X35" s="138">
        <f t="shared" si="8"/>
        <v>0.246</v>
      </c>
      <c r="Y35" s="138">
        <f t="shared" si="8"/>
        <v>0.24099999999999999</v>
      </c>
      <c r="Z35" s="138">
        <f t="shared" si="8"/>
        <v>0.24399999999999999</v>
      </c>
      <c r="AA35" s="138">
        <f t="shared" si="8"/>
        <v>0.23699999999999999</v>
      </c>
      <c r="AB35" s="138">
        <f t="shared" si="8"/>
        <v>0.24199999999999999</v>
      </c>
      <c r="AC35" s="138">
        <f t="shared" si="8"/>
        <v>0.23599999999999999</v>
      </c>
      <c r="AD35" s="122"/>
      <c r="AE35" s="139" t="s">
        <v>60</v>
      </c>
      <c r="AF35" s="140" t="s">
        <v>60</v>
      </c>
      <c r="AG35" s="141" t="str">
        <f t="shared" si="9"/>
        <v>OK</v>
      </c>
    </row>
    <row r="36" spans="1:33" x14ac:dyDescent="0.45">
      <c r="A36" s="111" t="s">
        <v>15</v>
      </c>
      <c r="B36" s="148">
        <v>1.1499999999999999</v>
      </c>
      <c r="C36" s="148">
        <v>0.82</v>
      </c>
      <c r="D36" s="148">
        <v>1.1399999999999999</v>
      </c>
      <c r="E36" s="148">
        <v>1.056</v>
      </c>
      <c r="F36" s="148">
        <v>1.218</v>
      </c>
      <c r="G36" s="148">
        <v>0.89500000000000002</v>
      </c>
      <c r="H36" s="148">
        <v>1.2709999999999999</v>
      </c>
      <c r="I36" s="149">
        <v>1.4079999999999999</v>
      </c>
      <c r="J36" s="149">
        <v>1.417</v>
      </c>
      <c r="K36" s="149">
        <v>1.3560000000000001</v>
      </c>
      <c r="L36" s="149">
        <v>1.256</v>
      </c>
      <c r="M36" s="149">
        <v>1.04</v>
      </c>
      <c r="N36" s="149">
        <v>1.002</v>
      </c>
      <c r="O36" s="149">
        <v>0.91400000000000003</v>
      </c>
      <c r="P36" s="150">
        <f t="shared" si="11"/>
        <v>1.163</v>
      </c>
      <c r="Q36" s="150">
        <f t="shared" si="7"/>
        <v>1.1841071428571428</v>
      </c>
      <c r="R36" s="150">
        <f t="shared" si="7"/>
        <v>1.2052142857142858</v>
      </c>
      <c r="S36" s="150">
        <f t="shared" si="7"/>
        <v>1.2263214285714286</v>
      </c>
      <c r="T36" s="150">
        <f t="shared" si="7"/>
        <v>1.2474285714285713</v>
      </c>
      <c r="U36" s="150">
        <f t="shared" si="7"/>
        <v>1.2685357142857143</v>
      </c>
      <c r="V36" s="150">
        <f t="shared" si="7"/>
        <v>1.2896428571428573</v>
      </c>
      <c r="W36" s="138">
        <f t="shared" si="10"/>
        <v>1.4079999999999999</v>
      </c>
      <c r="X36" s="138">
        <f t="shared" si="8"/>
        <v>1.417</v>
      </c>
      <c r="Y36" s="138">
        <f t="shared" si="8"/>
        <v>1.3560000000000001</v>
      </c>
      <c r="Z36" s="138">
        <f t="shared" si="8"/>
        <v>1.256</v>
      </c>
      <c r="AA36" s="138">
        <f t="shared" si="8"/>
        <v>1.04</v>
      </c>
      <c r="AB36" s="138">
        <f t="shared" si="8"/>
        <v>1.002</v>
      </c>
      <c r="AC36" s="138">
        <f t="shared" si="8"/>
        <v>0.91400000000000003</v>
      </c>
      <c r="AD36" s="122"/>
      <c r="AE36" s="139" t="s">
        <v>60</v>
      </c>
      <c r="AF36" s="140" t="s">
        <v>60</v>
      </c>
      <c r="AG36" s="141" t="str">
        <f t="shared" si="9"/>
        <v>OK</v>
      </c>
    </row>
    <row r="37" spans="1:33" x14ac:dyDescent="0.45">
      <c r="A37" s="111" t="s">
        <v>16</v>
      </c>
      <c r="B37" s="148">
        <v>0.42299999999999999</v>
      </c>
      <c r="C37" s="148">
        <v>0.36399999999999999</v>
      </c>
      <c r="D37" s="148">
        <v>0.39400000000000002</v>
      </c>
      <c r="E37" s="148">
        <v>0.48899999999999999</v>
      </c>
      <c r="F37" s="148">
        <v>0.44900000000000001</v>
      </c>
      <c r="G37" s="148">
        <v>0.28599999999999998</v>
      </c>
      <c r="H37" s="148">
        <v>0.36</v>
      </c>
      <c r="I37" s="149">
        <v>0.20899999999999999</v>
      </c>
      <c r="J37" s="149">
        <v>0.23499999999999999</v>
      </c>
      <c r="K37" s="149">
        <v>0.23200000000000001</v>
      </c>
      <c r="L37" s="149">
        <v>0.22900000000000001</v>
      </c>
      <c r="M37" s="149">
        <v>0.22600000000000001</v>
      </c>
      <c r="N37" s="149">
        <v>0.224</v>
      </c>
      <c r="O37" s="149">
        <v>0.223</v>
      </c>
      <c r="P37" s="150">
        <f t="shared" si="11"/>
        <v>0.35357142857142854</v>
      </c>
      <c r="Q37" s="150">
        <f t="shared" si="7"/>
        <v>0.34321428571428569</v>
      </c>
      <c r="R37" s="150">
        <f t="shared" si="7"/>
        <v>0.3328571428571428</v>
      </c>
      <c r="S37" s="150">
        <f t="shared" si="7"/>
        <v>0.32249999999999995</v>
      </c>
      <c r="T37" s="150">
        <f t="shared" si="7"/>
        <v>0.31214285714285706</v>
      </c>
      <c r="U37" s="150">
        <f t="shared" si="7"/>
        <v>0.30178571428571421</v>
      </c>
      <c r="V37" s="150">
        <f t="shared" si="7"/>
        <v>0.29142857142857137</v>
      </c>
      <c r="W37" s="138">
        <f t="shared" si="10"/>
        <v>0.20899999999999999</v>
      </c>
      <c r="X37" s="138">
        <f t="shared" si="8"/>
        <v>0.23499999999999999</v>
      </c>
      <c r="Y37" s="138">
        <f t="shared" si="8"/>
        <v>0.23200000000000001</v>
      </c>
      <c r="Z37" s="138">
        <f t="shared" si="8"/>
        <v>0.22900000000000001</v>
      </c>
      <c r="AA37" s="138">
        <f t="shared" si="8"/>
        <v>0.22600000000000001</v>
      </c>
      <c r="AB37" s="138">
        <f t="shared" si="8"/>
        <v>0.224</v>
      </c>
      <c r="AC37" s="138">
        <f t="shared" si="8"/>
        <v>0.223</v>
      </c>
      <c r="AD37" s="122"/>
      <c r="AE37" s="139" t="s">
        <v>60</v>
      </c>
      <c r="AF37" s="140" t="s">
        <v>60</v>
      </c>
      <c r="AG37" s="141" t="str">
        <f t="shared" si="9"/>
        <v>OK</v>
      </c>
    </row>
    <row r="38" spans="1:33" x14ac:dyDescent="0.45">
      <c r="A38" s="111" t="s">
        <v>17</v>
      </c>
      <c r="B38" s="148">
        <v>0.60599999999999998</v>
      </c>
      <c r="C38" s="148">
        <v>0.45400000000000001</v>
      </c>
      <c r="D38" s="148">
        <v>0.51500000000000001</v>
      </c>
      <c r="E38" s="148">
        <v>0.64600000000000002</v>
      </c>
      <c r="F38" s="148">
        <v>0.63300000000000001</v>
      </c>
      <c r="G38" s="148">
        <v>0.54200000000000004</v>
      </c>
      <c r="H38" s="148">
        <v>0.38400000000000001</v>
      </c>
      <c r="I38" s="149">
        <v>0.45400000000000001</v>
      </c>
      <c r="J38" s="149">
        <v>0.44</v>
      </c>
      <c r="K38" s="149">
        <v>0.42599999999999999</v>
      </c>
      <c r="L38" s="149">
        <v>0.41399999999999998</v>
      </c>
      <c r="M38" s="149">
        <v>0.40200000000000002</v>
      </c>
      <c r="N38" s="149">
        <v>0.39200000000000002</v>
      </c>
      <c r="O38" s="149">
        <v>0.38200000000000001</v>
      </c>
      <c r="P38" s="150">
        <f t="shared" si="11"/>
        <v>0.48685714285714282</v>
      </c>
      <c r="Q38" s="150">
        <f t="shared" si="7"/>
        <v>0.47357142857142853</v>
      </c>
      <c r="R38" s="150">
        <f t="shared" si="7"/>
        <v>0.4602857142857143</v>
      </c>
      <c r="S38" s="150">
        <f t="shared" si="7"/>
        <v>0.44699999999999995</v>
      </c>
      <c r="T38" s="150">
        <f t="shared" si="7"/>
        <v>0.43371428571428572</v>
      </c>
      <c r="U38" s="150">
        <f t="shared" si="7"/>
        <v>0.42042857142857143</v>
      </c>
      <c r="V38" s="150">
        <f t="shared" si="7"/>
        <v>0.40714285714285714</v>
      </c>
      <c r="W38" s="138">
        <f t="shared" si="10"/>
        <v>0.45400000000000001</v>
      </c>
      <c r="X38" s="138">
        <f t="shared" si="8"/>
        <v>0.44</v>
      </c>
      <c r="Y38" s="138">
        <f t="shared" si="8"/>
        <v>0.42599999999999999</v>
      </c>
      <c r="Z38" s="138">
        <f t="shared" si="8"/>
        <v>0.41399999999999998</v>
      </c>
      <c r="AA38" s="138">
        <f t="shared" si="8"/>
        <v>0.40200000000000002</v>
      </c>
      <c r="AB38" s="138">
        <f t="shared" si="8"/>
        <v>0.39200000000000002</v>
      </c>
      <c r="AC38" s="138">
        <f t="shared" si="8"/>
        <v>0.38200000000000001</v>
      </c>
      <c r="AD38" s="122"/>
      <c r="AE38" s="139" t="s">
        <v>60</v>
      </c>
      <c r="AF38" s="140" t="s">
        <v>60</v>
      </c>
      <c r="AG38" s="141" t="str">
        <f t="shared" si="9"/>
        <v>OK</v>
      </c>
    </row>
    <row r="39" spans="1:33" x14ac:dyDescent="0.45">
      <c r="A39" s="111" t="s">
        <v>18</v>
      </c>
      <c r="B39" s="148">
        <v>0.70499999999999996</v>
      </c>
      <c r="C39" s="148">
        <v>0.61099999999999999</v>
      </c>
      <c r="D39" s="148">
        <v>0.58499999999999996</v>
      </c>
      <c r="E39" s="148">
        <v>0.68899999999999995</v>
      </c>
      <c r="F39" s="148">
        <v>0.77900000000000003</v>
      </c>
      <c r="G39" s="148">
        <v>0.78900000000000003</v>
      </c>
      <c r="H39" s="148">
        <v>0.72499999999999998</v>
      </c>
      <c r="I39" s="149">
        <v>0.71199999999999997</v>
      </c>
      <c r="J39" s="149">
        <v>0.71199999999999997</v>
      </c>
      <c r="K39" s="149">
        <v>0.71199999999999997</v>
      </c>
      <c r="L39" s="149">
        <v>0.71199999999999997</v>
      </c>
      <c r="M39" s="149">
        <v>0.71199999999999997</v>
      </c>
      <c r="N39" s="149">
        <v>0.71199999999999997</v>
      </c>
      <c r="O39" s="149">
        <v>0.71199999999999997</v>
      </c>
      <c r="P39" s="150">
        <f t="shared" si="11"/>
        <v>0.78471428571428559</v>
      </c>
      <c r="Q39" s="150">
        <f t="shared" si="7"/>
        <v>0.80649999999999988</v>
      </c>
      <c r="R39" s="150">
        <f t="shared" si="7"/>
        <v>0.82828571428571418</v>
      </c>
      <c r="S39" s="150">
        <f t="shared" si="7"/>
        <v>0.85007142857142848</v>
      </c>
      <c r="T39" s="150">
        <f t="shared" si="7"/>
        <v>0.87185714285714266</v>
      </c>
      <c r="U39" s="150">
        <f t="shared" si="7"/>
        <v>0.89364285714285696</v>
      </c>
      <c r="V39" s="150">
        <f t="shared" si="7"/>
        <v>0.91542857142857126</v>
      </c>
      <c r="W39" s="138">
        <f t="shared" si="10"/>
        <v>0.71199999999999997</v>
      </c>
      <c r="X39" s="138">
        <f t="shared" si="8"/>
        <v>0.71199999999999997</v>
      </c>
      <c r="Y39" s="138">
        <f t="shared" si="8"/>
        <v>0.71199999999999997</v>
      </c>
      <c r="Z39" s="138">
        <f t="shared" si="8"/>
        <v>0.71199999999999997</v>
      </c>
      <c r="AA39" s="138">
        <f t="shared" si="8"/>
        <v>0.71199999999999997</v>
      </c>
      <c r="AB39" s="138">
        <f t="shared" si="8"/>
        <v>0.71199999999999997</v>
      </c>
      <c r="AC39" s="138">
        <f t="shared" si="8"/>
        <v>0.71199999999999997</v>
      </c>
      <c r="AD39" s="122"/>
      <c r="AE39" s="139" t="s">
        <v>60</v>
      </c>
      <c r="AF39" s="140" t="s">
        <v>60</v>
      </c>
      <c r="AG39" s="141" t="str">
        <f t="shared" si="9"/>
        <v>OK</v>
      </c>
    </row>
    <row r="40" spans="1:33" x14ac:dyDescent="0.45">
      <c r="A40" s="111" t="s">
        <v>286</v>
      </c>
      <c r="B40" s="148">
        <f>SUMIF($A$28:$A$39,$A$34,B$28:B$39)</f>
        <v>1.214</v>
      </c>
      <c r="C40" s="148">
        <f>SUMIF($A$28:$A$39,$A$34,C$28:C$39)</f>
        <v>0.97899999999999998</v>
      </c>
      <c r="D40" s="148">
        <f t="shared" ref="D40:H40" si="12">SUMIF($A$28:$A$39,$A$34,D$28:D$39)</f>
        <v>1.198</v>
      </c>
      <c r="E40" s="148">
        <f t="shared" si="12"/>
        <v>1.454</v>
      </c>
      <c r="F40" s="148">
        <f t="shared" si="12"/>
        <v>1.9410000000000001</v>
      </c>
      <c r="G40" s="148">
        <f t="shared" si="12"/>
        <v>1.3169999999999999</v>
      </c>
      <c r="H40" s="148">
        <f t="shared" si="12"/>
        <v>1.736</v>
      </c>
      <c r="I40" s="149">
        <f>SUMIF($A$28:$A$39,$A$33,I$28:I$39)+SUMIF($A$28:$A$39,$A$29,$I$28:$I$39)</f>
        <v>1.736</v>
      </c>
      <c r="J40" s="149">
        <f t="shared" ref="J40:O40" si="13">SUMIF($A$28:$A$39,$A$33,J$28:J$39)+SUMIF($A$28:$A$39,$A$29,$I$28:$I$39)</f>
        <v>1.736</v>
      </c>
      <c r="K40" s="149">
        <f t="shared" si="13"/>
        <v>1.76591640788922</v>
      </c>
      <c r="L40" s="149">
        <f>SUMIF($A$28:$A$39,$A$33,L$28:L$39)+SUMIF($A$28:$A$39,$A$29,$I$28:$I$39)</f>
        <v>1.99079436241611</v>
      </c>
      <c r="M40" s="149">
        <f t="shared" si="13"/>
        <v>1.99079436241611</v>
      </c>
      <c r="N40" s="149">
        <f t="shared" si="13"/>
        <v>2.0226918120805397</v>
      </c>
      <c r="O40" s="149">
        <f t="shared" si="13"/>
        <v>2.0545122147650998</v>
      </c>
      <c r="P40" s="150">
        <f t="shared" si="11"/>
        <v>1.8320000000000003</v>
      </c>
      <c r="Q40" s="150">
        <f t="shared" si="7"/>
        <v>1.9386071428571432</v>
      </c>
      <c r="R40" s="150">
        <f t="shared" si="7"/>
        <v>2.0452142857142861</v>
      </c>
      <c r="S40" s="150">
        <f t="shared" si="7"/>
        <v>2.151821428571429</v>
      </c>
      <c r="T40" s="150">
        <f t="shared" si="7"/>
        <v>2.2584285714285715</v>
      </c>
      <c r="U40" s="150">
        <f t="shared" si="7"/>
        <v>2.3650357142857144</v>
      </c>
      <c r="V40" s="150">
        <f t="shared" si="7"/>
        <v>2.4716428571428573</v>
      </c>
      <c r="W40" s="138">
        <f t="shared" si="10"/>
        <v>1.736</v>
      </c>
      <c r="X40" s="138">
        <f t="shared" si="8"/>
        <v>1.736</v>
      </c>
      <c r="Y40" s="138">
        <f t="shared" si="8"/>
        <v>1.76591640788922</v>
      </c>
      <c r="Z40" s="138">
        <f t="shared" si="8"/>
        <v>1.99079436241611</v>
      </c>
      <c r="AA40" s="138">
        <f t="shared" si="8"/>
        <v>1.99079436241611</v>
      </c>
      <c r="AB40" s="138">
        <f t="shared" si="8"/>
        <v>2.0226918120805397</v>
      </c>
      <c r="AC40" s="138">
        <f t="shared" si="8"/>
        <v>2.0545122147650998</v>
      </c>
      <c r="AD40" s="122"/>
      <c r="AE40" s="139" t="s">
        <v>60</v>
      </c>
      <c r="AF40" s="140" t="s">
        <v>60</v>
      </c>
      <c r="AG40" s="141" t="str">
        <f t="shared" si="9"/>
        <v>OK</v>
      </c>
    </row>
    <row r="41" spans="1:33" x14ac:dyDescent="0.45">
      <c r="A41" s="142" t="s">
        <v>287</v>
      </c>
      <c r="B41" s="117">
        <f t="shared" ref="B41:V41" si="14">SUM(B28:B39)</f>
        <v>6.66</v>
      </c>
      <c r="C41" s="117">
        <f t="shared" si="14"/>
        <v>5.6519999999999992</v>
      </c>
      <c r="D41" s="117">
        <f t="shared" si="14"/>
        <v>6.5170240963855415</v>
      </c>
      <c r="E41" s="117">
        <f t="shared" si="14"/>
        <v>7.0309031805425626</v>
      </c>
      <c r="F41" s="117">
        <f t="shared" si="14"/>
        <v>7.9570000000000007</v>
      </c>
      <c r="G41" s="117">
        <f t="shared" si="14"/>
        <v>7.0279999999999987</v>
      </c>
      <c r="H41" s="117">
        <f t="shared" si="14"/>
        <v>9.3439999999999994</v>
      </c>
      <c r="I41" s="153">
        <f t="shared" si="14"/>
        <v>7.7406666666666668</v>
      </c>
      <c r="J41" s="153">
        <f t="shared" si="14"/>
        <v>7.7666111111111107</v>
      </c>
      <c r="K41" s="153">
        <f t="shared" si="14"/>
        <v>8.1742960375188503</v>
      </c>
      <c r="L41" s="153">
        <f t="shared" si="14"/>
        <v>8.308903930317344</v>
      </c>
      <c r="M41" s="153">
        <f t="shared" si="14"/>
        <v>8.09075552496755</v>
      </c>
      <c r="N41" s="153">
        <f t="shared" si="14"/>
        <v>8.1056465017238875</v>
      </c>
      <c r="O41" s="153">
        <f t="shared" si="14"/>
        <v>8.0619593526823365</v>
      </c>
      <c r="P41" s="119">
        <f t="shared" si="14"/>
        <v>7.9269861686489378</v>
      </c>
      <c r="Q41" s="119">
        <f t="shared" si="14"/>
        <v>8.1782710223494544</v>
      </c>
      <c r="R41" s="119">
        <f t="shared" si="14"/>
        <v>8.4295558760499709</v>
      </c>
      <c r="S41" s="119">
        <f t="shared" si="14"/>
        <v>8.6808407297504875</v>
      </c>
      <c r="T41" s="119">
        <f t="shared" si="14"/>
        <v>8.932125583451004</v>
      </c>
      <c r="U41" s="119">
        <f t="shared" si="14"/>
        <v>9.1834104371515188</v>
      </c>
      <c r="V41" s="119">
        <f t="shared" si="14"/>
        <v>9.4346952908520336</v>
      </c>
      <c r="W41" s="120">
        <f t="shared" si="10"/>
        <v>7.7406666666666668</v>
      </c>
      <c r="X41" s="120">
        <f t="shared" si="10"/>
        <v>7.7666111111111107</v>
      </c>
      <c r="Y41" s="120">
        <f t="shared" si="10"/>
        <v>8.1742960375188503</v>
      </c>
      <c r="Z41" s="120">
        <f t="shared" si="10"/>
        <v>8.308903930317344</v>
      </c>
      <c r="AA41" s="120">
        <f t="shared" si="10"/>
        <v>8.09075552496755</v>
      </c>
      <c r="AB41" s="120">
        <f t="shared" si="10"/>
        <v>8.1056465017238875</v>
      </c>
      <c r="AC41" s="120">
        <f t="shared" si="10"/>
        <v>8.0619593526823365</v>
      </c>
      <c r="AD41" s="121"/>
      <c r="AE41" s="139" t="s">
        <v>60</v>
      </c>
      <c r="AF41" s="140" t="s">
        <v>60</v>
      </c>
      <c r="AG41" s="141" t="str">
        <f t="shared" si="9"/>
        <v>OK</v>
      </c>
    </row>
    <row r="42" spans="1:33" x14ac:dyDescent="0.45">
      <c r="A42" s="94">
        <v>1</v>
      </c>
      <c r="B42" s="94">
        <v>2</v>
      </c>
      <c r="C42" s="94">
        <v>3</v>
      </c>
      <c r="D42" s="94">
        <v>4</v>
      </c>
      <c r="E42" s="94">
        <v>5</v>
      </c>
      <c r="F42" s="94">
        <v>6</v>
      </c>
      <c r="G42" s="94">
        <v>7</v>
      </c>
      <c r="H42" s="94">
        <v>8</v>
      </c>
      <c r="I42" s="94">
        <v>9</v>
      </c>
      <c r="J42" s="94">
        <v>10</v>
      </c>
      <c r="K42" s="94">
        <v>11</v>
      </c>
      <c r="L42" s="94">
        <v>12</v>
      </c>
      <c r="M42" s="94">
        <v>13</v>
      </c>
      <c r="N42" s="94">
        <v>14</v>
      </c>
      <c r="O42" s="94">
        <v>15</v>
      </c>
      <c r="P42" s="94">
        <v>16</v>
      </c>
      <c r="Q42" s="94">
        <v>17</v>
      </c>
      <c r="R42" s="94">
        <v>18</v>
      </c>
      <c r="S42" s="94">
        <v>19</v>
      </c>
      <c r="T42" s="94">
        <v>20</v>
      </c>
      <c r="U42" s="94">
        <v>21</v>
      </c>
      <c r="V42" s="94">
        <v>22</v>
      </c>
      <c r="W42" s="94">
        <v>23</v>
      </c>
      <c r="X42" s="94">
        <v>24</v>
      </c>
      <c r="Y42" s="94">
        <v>25</v>
      </c>
      <c r="Z42" s="94">
        <v>26</v>
      </c>
      <c r="AA42" s="94">
        <v>27</v>
      </c>
      <c r="AB42" s="94">
        <v>28</v>
      </c>
      <c r="AC42" s="94">
        <v>29</v>
      </c>
      <c r="AD42" s="94">
        <v>30</v>
      </c>
      <c r="AE42" s="94">
        <v>31</v>
      </c>
      <c r="AF42" s="122"/>
      <c r="AG42" s="123"/>
    </row>
  </sheetData>
  <mergeCells count="8">
    <mergeCell ref="AD5:AD6"/>
    <mergeCell ref="AE6:AE7"/>
    <mergeCell ref="AF6:AF7"/>
    <mergeCell ref="AG6:AG7"/>
    <mergeCell ref="AD25:AD26"/>
    <mergeCell ref="AE26:AE27"/>
    <mergeCell ref="AF26:AF27"/>
    <mergeCell ref="AG26:AG27"/>
  </mergeCells>
  <conditionalFormatting sqref="AD8:AD20 AD28:AD40 I6:O6 A8:V21 A28:V41 AG10:AG21 AG30:AG41">
    <cfRule type="cellIs" dxfId="25" priority="36" operator="equal">
      <formula>0</formula>
    </cfRule>
  </conditionalFormatting>
  <conditionalFormatting sqref="AG8:AG21 AG28:AG41">
    <cfRule type="expression" dxfId="24" priority="33">
      <formula>AG8="error"</formula>
    </cfRule>
    <cfRule type="expression" dxfId="23" priority="34">
      <formula>AG8="OK"</formula>
    </cfRule>
  </conditionalFormatting>
  <conditionalFormatting sqref="I6:O6">
    <cfRule type="cellIs" dxfId="22" priority="29" operator="equal">
      <formula>0</formula>
    </cfRule>
  </conditionalFormatting>
  <conditionalFormatting sqref="B5:H5">
    <cfRule type="cellIs" dxfId="21" priority="27" operator="equal">
      <formula>0</formula>
    </cfRule>
  </conditionalFormatting>
  <conditionalFormatting sqref="B25:H25">
    <cfRule type="cellIs" dxfId="20" priority="26" operator="equal">
      <formula>0</formula>
    </cfRule>
  </conditionalFormatting>
  <conditionalFormatting sqref="I7:O7">
    <cfRule type="cellIs" dxfId="19" priority="25" operator="equal">
      <formula>0</formula>
    </cfRule>
  </conditionalFormatting>
  <conditionalFormatting sqref="I7:O7">
    <cfRule type="cellIs" dxfId="18" priority="24" operator="equal">
      <formula>0</formula>
    </cfRule>
  </conditionalFormatting>
  <conditionalFormatting sqref="I27:O27">
    <cfRule type="cellIs" dxfId="17" priority="23" operator="equal">
      <formula>0</formula>
    </cfRule>
  </conditionalFormatting>
  <conditionalFormatting sqref="I27:O27">
    <cfRule type="cellIs" dxfId="16" priority="22" operator="equal">
      <formula>0</formula>
    </cfRule>
  </conditionalFormatting>
  <conditionalFormatting sqref="AE8:AF20">
    <cfRule type="cellIs" dxfId="15" priority="16" operator="equal">
      <formula>0</formula>
    </cfRule>
  </conditionalFormatting>
  <conditionalFormatting sqref="AF8:AF20">
    <cfRule type="expression" dxfId="14" priority="14">
      <formula>AF8="error"</formula>
    </cfRule>
    <cfRule type="expression" dxfId="13" priority="15">
      <formula>AF8="OK"</formula>
    </cfRule>
  </conditionalFormatting>
  <conditionalFormatting sqref="AE21:AF21">
    <cfRule type="cellIs" dxfId="12" priority="13" operator="equal">
      <formula>0</formula>
    </cfRule>
  </conditionalFormatting>
  <conditionalFormatting sqref="AF21">
    <cfRule type="expression" dxfId="11" priority="11">
      <formula>AF21="error"</formula>
    </cfRule>
    <cfRule type="expression" dxfId="10" priority="12">
      <formula>AF21="OK"</formula>
    </cfRule>
  </conditionalFormatting>
  <conditionalFormatting sqref="AE28:AF40">
    <cfRule type="cellIs" dxfId="9" priority="10" operator="equal">
      <formula>0</formula>
    </cfRule>
  </conditionalFormatting>
  <conditionalFormatting sqref="AF28:AF40">
    <cfRule type="expression" dxfId="8" priority="8">
      <formula>AF28="error"</formula>
    </cfRule>
    <cfRule type="expression" dxfId="7" priority="9">
      <formula>AF28="OK"</formula>
    </cfRule>
  </conditionalFormatting>
  <conditionalFormatting sqref="AE41:AF41">
    <cfRule type="cellIs" dxfId="6" priority="7" operator="equal">
      <formula>0</formula>
    </cfRule>
  </conditionalFormatting>
  <conditionalFormatting sqref="AF41">
    <cfRule type="expression" dxfId="5" priority="5">
      <formula>AF41="error"</formula>
    </cfRule>
    <cfRule type="expression" dxfId="4" priority="6">
      <formula>AF41="OK"</formula>
    </cfRule>
  </conditionalFormatting>
  <conditionalFormatting sqref="AG22">
    <cfRule type="cellIs" dxfId="3" priority="4" operator="equal">
      <formula>0</formula>
    </cfRule>
  </conditionalFormatting>
  <conditionalFormatting sqref="AF22">
    <cfRule type="cellIs" dxfId="2" priority="3" operator="equal">
      <formula>0</formula>
    </cfRule>
  </conditionalFormatting>
  <conditionalFormatting sqref="AG42">
    <cfRule type="cellIs" dxfId="1" priority="2" operator="equal">
      <formula>0</formula>
    </cfRule>
  </conditionalFormatting>
  <conditionalFormatting sqref="AF42">
    <cfRule type="cellIs" dxfId="0" priority="1" operator="equal">
      <formula>0</formula>
    </cfRule>
  </conditionalFormatting>
  <dataValidations count="1">
    <dataValidation type="list" allowBlank="1" showInputMessage="1" showErrorMessage="1" promptTitle="Ofwat forecast" prompt="Please choose a forecasting approach. The decision will be used to populate the block &quot;Final decision&quot;." sqref="AE21 AD8:AE20 AD28:AE40 AE41 AF22 AF42">
      <formula1>"Company forecast, Ofwat forecast"</formula1>
    </dataValidation>
  </dataValidation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G61"/>
  <sheetViews>
    <sheetView showGridLines="0" workbookViewId="0"/>
  </sheetViews>
  <sheetFormatPr defaultColWidth="9" defaultRowHeight="13.15" x14ac:dyDescent="0.4"/>
  <cols>
    <col min="1" max="3" width="9" style="5"/>
    <col min="4" max="4" width="15.5" style="5" customWidth="1"/>
    <col min="5" max="5" width="15.125" style="5" customWidth="1"/>
    <col min="6" max="6" width="14.625" style="5" customWidth="1"/>
    <col min="7" max="7" width="15.625" style="5" customWidth="1"/>
    <col min="8" max="16384" width="9" style="5"/>
  </cols>
  <sheetData>
    <row r="1" spans="1:7" ht="15.75" x14ac:dyDescent="0.5">
      <c r="A1" s="15" t="s">
        <v>32</v>
      </c>
    </row>
    <row r="2" spans="1:7" x14ac:dyDescent="0.4">
      <c r="A2" s="25" t="s">
        <v>33</v>
      </c>
    </row>
    <row r="4" spans="1:7" x14ac:dyDescent="0.4">
      <c r="D4" s="9" t="s">
        <v>34</v>
      </c>
    </row>
    <row r="5" spans="1:7" x14ac:dyDescent="0.4">
      <c r="D5" s="24" t="s">
        <v>36</v>
      </c>
      <c r="E5" s="27"/>
      <c r="F5" s="24" t="s">
        <v>37</v>
      </c>
      <c r="G5" s="27"/>
    </row>
    <row r="6" spans="1:7" x14ac:dyDescent="0.4">
      <c r="A6" s="12" t="s">
        <v>21</v>
      </c>
      <c r="B6" s="12" t="s">
        <v>6</v>
      </c>
      <c r="C6" s="12" t="s">
        <v>7</v>
      </c>
      <c r="D6" s="28" t="s">
        <v>60</v>
      </c>
      <c r="E6" s="28" t="s">
        <v>35</v>
      </c>
      <c r="F6" s="28" t="s">
        <v>60</v>
      </c>
      <c r="G6" s="28" t="s">
        <v>35</v>
      </c>
    </row>
    <row r="7" spans="1:7" x14ac:dyDescent="0.4">
      <c r="A7" s="13" t="str">
        <f>B7&amp;RIGHT(C7,2)</f>
        <v>ANH21</v>
      </c>
      <c r="B7" s="13" t="s">
        <v>8</v>
      </c>
      <c r="C7" s="13">
        <v>2021</v>
      </c>
      <c r="D7" s="7">
        <f>INDEX(Data!$M$8:$M$175,MATCH($A7,Data!$A$8:$A$175,0))</f>
        <v>39.19477356811003</v>
      </c>
      <c r="E7" s="7"/>
      <c r="F7" s="29">
        <f>LN(D7)</f>
        <v>3.6685434105634047</v>
      </c>
      <c r="G7" s="7"/>
    </row>
    <row r="8" spans="1:7" x14ac:dyDescent="0.4">
      <c r="A8" s="13" t="str">
        <f t="shared" ref="A8:A61" si="0">B8&amp;RIGHT(C8,2)</f>
        <v>ANH22</v>
      </c>
      <c r="B8" s="13" t="s">
        <v>8</v>
      </c>
      <c r="C8" s="13">
        <v>2022</v>
      </c>
      <c r="D8" s="7">
        <f>INDEX(Data!$M$8:$M$175,MATCH($A8,Data!$A$8:$A$175,0))</f>
        <v>43.125773541321429</v>
      </c>
      <c r="E8" s="7"/>
      <c r="F8" s="29">
        <f t="shared" ref="F8:F61" si="1">LN(D8)</f>
        <v>3.7641208123807166</v>
      </c>
      <c r="G8" s="7"/>
    </row>
    <row r="9" spans="1:7" x14ac:dyDescent="0.4">
      <c r="A9" s="13" t="str">
        <f t="shared" si="0"/>
        <v>ANH23</v>
      </c>
      <c r="B9" s="14" t="s">
        <v>8</v>
      </c>
      <c r="C9" s="14">
        <v>2023</v>
      </c>
      <c r="D9" s="7">
        <f>INDEX(Data!$M$8:$M$175,MATCH($A9,Data!$A$8:$A$175,0))</f>
        <v>44.215466147068241</v>
      </c>
      <c r="E9" s="7"/>
      <c r="F9" s="29">
        <f t="shared" si="1"/>
        <v>3.7890746407080336</v>
      </c>
      <c r="G9" s="7"/>
    </row>
    <row r="10" spans="1:7" x14ac:dyDescent="0.4">
      <c r="A10" s="14" t="str">
        <f t="shared" si="0"/>
        <v>ANH24</v>
      </c>
      <c r="B10" s="14" t="s">
        <v>8</v>
      </c>
      <c r="C10" s="14">
        <v>2024</v>
      </c>
      <c r="D10" s="7">
        <f>INDEX(Data!$M$8:$M$175,MATCH($A10,Data!$A$8:$A$175,0))</f>
        <v>43.879009466917047</v>
      </c>
      <c r="E10" s="7"/>
      <c r="F10" s="29">
        <f t="shared" si="1"/>
        <v>3.7814360614721365</v>
      </c>
      <c r="G10" s="7"/>
    </row>
    <row r="11" spans="1:7" x14ac:dyDescent="0.4">
      <c r="A11" s="14" t="str">
        <f t="shared" si="0"/>
        <v>ANH25</v>
      </c>
      <c r="B11" s="14" t="s">
        <v>8</v>
      </c>
      <c r="C11" s="14">
        <v>2025</v>
      </c>
      <c r="D11" s="7">
        <f>INDEX(Data!$M$8:$M$175,MATCH($A11,Data!$A$8:$A$175,0))</f>
        <v>41.393476263475733</v>
      </c>
      <c r="E11" s="7"/>
      <c r="F11" s="29">
        <f t="shared" si="1"/>
        <v>3.7231232902376088</v>
      </c>
      <c r="G11" s="7"/>
    </row>
    <row r="12" spans="1:7" x14ac:dyDescent="0.4">
      <c r="A12" s="14" t="str">
        <f t="shared" si="0"/>
        <v>HDD21</v>
      </c>
      <c r="B12" s="14" t="s">
        <v>20</v>
      </c>
      <c r="C12" s="14">
        <v>2021</v>
      </c>
      <c r="D12" s="7">
        <f>INDEX(Data!$M$8:$M$175,MATCH($A12,Data!$A$8:$A$175,0))</f>
        <v>0.251</v>
      </c>
      <c r="E12" s="7"/>
      <c r="F12" s="29">
        <f t="shared" si="1"/>
        <v>-1.3823023398503531</v>
      </c>
      <c r="G12" s="7"/>
    </row>
    <row r="13" spans="1:7" x14ac:dyDescent="0.4">
      <c r="A13" s="14" t="str">
        <f t="shared" si="0"/>
        <v>HDD22</v>
      </c>
      <c r="B13" s="14" t="s">
        <v>20</v>
      </c>
      <c r="C13" s="14">
        <v>2022</v>
      </c>
      <c r="D13" s="7">
        <f>INDEX(Data!$M$8:$M$175,MATCH($A13,Data!$A$8:$A$175,0))</f>
        <v>0.26800000000000002</v>
      </c>
      <c r="E13" s="7"/>
      <c r="F13" s="29">
        <f t="shared" si="1"/>
        <v>-1.3167682984712803</v>
      </c>
      <c r="G13" s="7"/>
    </row>
    <row r="14" spans="1:7" x14ac:dyDescent="0.4">
      <c r="A14" s="14" t="str">
        <f t="shared" si="0"/>
        <v>HDD23</v>
      </c>
      <c r="B14" s="14" t="s">
        <v>20</v>
      </c>
      <c r="C14" s="14">
        <v>2023</v>
      </c>
      <c r="D14" s="7">
        <f>INDEX(Data!$M$8:$M$175,MATCH($A14,Data!$A$8:$A$175,0))</f>
        <v>0.28300000000000003</v>
      </c>
      <c r="E14" s="7"/>
      <c r="F14" s="29">
        <f t="shared" si="1"/>
        <v>-1.2623083813388993</v>
      </c>
      <c r="G14" s="7"/>
    </row>
    <row r="15" spans="1:7" x14ac:dyDescent="0.4">
      <c r="A15" s="14" t="str">
        <f t="shared" si="0"/>
        <v>HDD24</v>
      </c>
      <c r="B15" s="14" t="s">
        <v>20</v>
      </c>
      <c r="C15" s="14">
        <v>2024</v>
      </c>
      <c r="D15" s="7">
        <f>INDEX(Data!$M$8:$M$175,MATCH($A15,Data!$A$8:$A$175,0))</f>
        <v>0.28800000000000003</v>
      </c>
      <c r="E15" s="7"/>
      <c r="F15" s="29">
        <f t="shared" si="1"/>
        <v>-1.2447947988461909</v>
      </c>
      <c r="G15" s="7"/>
    </row>
    <row r="16" spans="1:7" x14ac:dyDescent="0.4">
      <c r="A16" s="14" t="str">
        <f t="shared" si="0"/>
        <v>HDD25</v>
      </c>
      <c r="B16" s="14" t="s">
        <v>20</v>
      </c>
      <c r="C16" s="14">
        <v>2025</v>
      </c>
      <c r="D16" s="7">
        <f>INDEX(Data!$M$8:$M$175,MATCH($A16,Data!$A$8:$A$175,0))</f>
        <v>0.29300000000000004</v>
      </c>
      <c r="E16" s="7"/>
      <c r="F16" s="29">
        <f t="shared" si="1"/>
        <v>-1.2275826699650696</v>
      </c>
      <c r="G16" s="7"/>
    </row>
    <row r="17" spans="1:7" x14ac:dyDescent="0.4">
      <c r="A17" s="14" t="str">
        <f t="shared" si="0"/>
        <v>NES21</v>
      </c>
      <c r="B17" s="14" t="s">
        <v>9</v>
      </c>
      <c r="C17" s="14">
        <v>2021</v>
      </c>
      <c r="D17" s="7">
        <f>INDEX(Data!$M$8:$M$175,MATCH($A17,Data!$A$8:$A$175,0))</f>
        <v>9.6989999999999998</v>
      </c>
      <c r="E17" s="7"/>
      <c r="F17" s="29">
        <f t="shared" si="1"/>
        <v>2.2720227874114056</v>
      </c>
      <c r="G17" s="7"/>
    </row>
    <row r="18" spans="1:7" x14ac:dyDescent="0.4">
      <c r="A18" s="14" t="str">
        <f t="shared" si="0"/>
        <v>NES22</v>
      </c>
      <c r="B18" s="14" t="s">
        <v>9</v>
      </c>
      <c r="C18" s="14">
        <v>2022</v>
      </c>
      <c r="D18" s="7">
        <f>INDEX(Data!$M$8:$M$175,MATCH($A18,Data!$A$8:$A$175,0))</f>
        <v>10.267999999999999</v>
      </c>
      <c r="E18" s="7"/>
      <c r="F18" s="29">
        <f t="shared" si="1"/>
        <v>2.329032263008894</v>
      </c>
      <c r="G18" s="7"/>
    </row>
    <row r="19" spans="1:7" x14ac:dyDescent="0.4">
      <c r="A19" s="14" t="str">
        <f t="shared" si="0"/>
        <v>NES23</v>
      </c>
      <c r="B19" s="14" t="s">
        <v>9</v>
      </c>
      <c r="C19" s="14">
        <v>2023</v>
      </c>
      <c r="D19" s="7">
        <f>INDEX(Data!$M$8:$M$175,MATCH($A19,Data!$A$8:$A$175,0))</f>
        <v>10.185</v>
      </c>
      <c r="E19" s="7"/>
      <c r="F19" s="29">
        <f t="shared" si="1"/>
        <v>2.3209160496787691</v>
      </c>
      <c r="G19" s="7"/>
    </row>
    <row r="20" spans="1:7" x14ac:dyDescent="0.4">
      <c r="A20" s="14" t="str">
        <f t="shared" si="0"/>
        <v>NES24</v>
      </c>
      <c r="B20" s="14" t="s">
        <v>9</v>
      </c>
      <c r="C20" s="14">
        <v>2024</v>
      </c>
      <c r="D20" s="7">
        <f>INDEX(Data!$M$8:$M$175,MATCH($A20,Data!$A$8:$A$175,0))</f>
        <v>9.7899999999999991</v>
      </c>
      <c r="E20" s="7"/>
      <c r="F20" s="29">
        <f t="shared" si="1"/>
        <v>2.281361456542419</v>
      </c>
      <c r="G20" s="7"/>
    </row>
    <row r="21" spans="1:7" x14ac:dyDescent="0.4">
      <c r="A21" s="14" t="str">
        <f t="shared" si="0"/>
        <v>NES25</v>
      </c>
      <c r="B21" s="14" t="s">
        <v>9</v>
      </c>
      <c r="C21" s="14">
        <v>2025</v>
      </c>
      <c r="D21" s="7">
        <f>INDEX(Data!$M$8:$M$175,MATCH($A21,Data!$A$8:$A$175,0))</f>
        <v>9.6009999999999991</v>
      </c>
      <c r="E21" s="7"/>
      <c r="F21" s="29">
        <f t="shared" si="1"/>
        <v>2.2618672597154865</v>
      </c>
      <c r="G21" s="7"/>
    </row>
    <row r="22" spans="1:7" x14ac:dyDescent="0.4">
      <c r="A22" s="14" t="str">
        <f t="shared" si="0"/>
        <v>NWT21</v>
      </c>
      <c r="B22" s="14" t="s">
        <v>10</v>
      </c>
      <c r="C22" s="14">
        <v>2021</v>
      </c>
      <c r="D22" s="7">
        <f>INDEX(Data!$M$8:$M$175,MATCH($A22,Data!$A$8:$A$175,0))</f>
        <v>25.033000000000001</v>
      </c>
      <c r="E22" s="7"/>
      <c r="F22" s="29">
        <f t="shared" si="1"/>
        <v>3.2201949544340986</v>
      </c>
      <c r="G22" s="7"/>
    </row>
    <row r="23" spans="1:7" x14ac:dyDescent="0.4">
      <c r="A23" s="14" t="str">
        <f t="shared" si="0"/>
        <v>NWT22</v>
      </c>
      <c r="B23" s="14" t="s">
        <v>10</v>
      </c>
      <c r="C23" s="14">
        <v>2022</v>
      </c>
      <c r="D23" s="7">
        <f>INDEX(Data!$M$8:$M$175,MATCH($A23,Data!$A$8:$A$175,0))</f>
        <v>26.161999999999999</v>
      </c>
      <c r="E23" s="7"/>
      <c r="F23" s="29">
        <f t="shared" si="1"/>
        <v>3.2643079762660352</v>
      </c>
      <c r="G23" s="7"/>
    </row>
    <row r="24" spans="1:7" x14ac:dyDescent="0.4">
      <c r="A24" s="14" t="str">
        <f t="shared" si="0"/>
        <v>NWT23</v>
      </c>
      <c r="B24" s="14" t="s">
        <v>10</v>
      </c>
      <c r="C24" s="14">
        <v>2023</v>
      </c>
      <c r="D24" s="7">
        <f>INDEX(Data!$M$8:$M$175,MATCH($A24,Data!$A$8:$A$175,0))</f>
        <v>27.288</v>
      </c>
      <c r="E24" s="7"/>
      <c r="F24" s="29">
        <f t="shared" si="1"/>
        <v>3.3064470451163448</v>
      </c>
      <c r="G24" s="7"/>
    </row>
    <row r="25" spans="1:7" x14ac:dyDescent="0.4">
      <c r="A25" s="14" t="str">
        <f t="shared" si="0"/>
        <v>NWT24</v>
      </c>
      <c r="B25" s="14" t="s">
        <v>10</v>
      </c>
      <c r="C25" s="14">
        <v>2024</v>
      </c>
      <c r="D25" s="7">
        <f>INDEX(Data!$M$8:$M$175,MATCH($A25,Data!$A$8:$A$175,0))</f>
        <v>28.415000000000003</v>
      </c>
      <c r="E25" s="7"/>
      <c r="F25" s="29">
        <f t="shared" si="1"/>
        <v>3.3469171747490849</v>
      </c>
      <c r="G25" s="7"/>
    </row>
    <row r="26" spans="1:7" x14ac:dyDescent="0.4">
      <c r="A26" s="14" t="str">
        <f t="shared" si="0"/>
        <v>NWT25</v>
      </c>
      <c r="B26" s="14" t="s">
        <v>10</v>
      </c>
      <c r="C26" s="14">
        <v>2025</v>
      </c>
      <c r="D26" s="7">
        <f>INDEX(Data!$M$8:$M$175,MATCH($A26,Data!$A$8:$A$175,0))</f>
        <v>29.541</v>
      </c>
      <c r="E26" s="7"/>
      <c r="F26" s="29">
        <f t="shared" si="1"/>
        <v>3.3857791289337746</v>
      </c>
      <c r="G26" s="7"/>
    </row>
    <row r="27" spans="1:7" x14ac:dyDescent="0.4">
      <c r="A27" s="14" t="str">
        <f t="shared" si="0"/>
        <v>SRN21</v>
      </c>
      <c r="B27" s="14" t="s">
        <v>11</v>
      </c>
      <c r="C27" s="14">
        <v>2021</v>
      </c>
      <c r="D27" s="7">
        <f>INDEX(Data!$M$8:$M$175,MATCH($A27,Data!$A$8:$A$175,0))</f>
        <v>24.027000000000001</v>
      </c>
      <c r="E27" s="7"/>
      <c r="F27" s="29">
        <f t="shared" si="1"/>
        <v>3.1791781980096547</v>
      </c>
      <c r="G27" s="7"/>
    </row>
    <row r="28" spans="1:7" x14ac:dyDescent="0.4">
      <c r="A28" s="14" t="str">
        <f t="shared" si="0"/>
        <v>SRN22</v>
      </c>
      <c r="B28" s="14" t="s">
        <v>11</v>
      </c>
      <c r="C28" s="14">
        <v>2022</v>
      </c>
      <c r="D28" s="7">
        <f>INDEX(Data!$M$8:$M$175,MATCH($A28,Data!$A$8:$A$175,0))</f>
        <v>23.046000000000003</v>
      </c>
      <c r="E28" s="7"/>
      <c r="F28" s="29">
        <f t="shared" si="1"/>
        <v>3.1374922185918228</v>
      </c>
      <c r="G28" s="7"/>
    </row>
    <row r="29" spans="1:7" x14ac:dyDescent="0.4">
      <c r="A29" s="14" t="str">
        <f t="shared" si="0"/>
        <v>SRN23</v>
      </c>
      <c r="B29" s="14" t="s">
        <v>11</v>
      </c>
      <c r="C29" s="14">
        <v>2023</v>
      </c>
      <c r="D29" s="7">
        <f>INDEX(Data!$M$8:$M$175,MATCH($A29,Data!$A$8:$A$175,0))</f>
        <v>22.614999999999998</v>
      </c>
      <c r="E29" s="7"/>
      <c r="F29" s="29">
        <f t="shared" si="1"/>
        <v>3.1186134029298063</v>
      </c>
      <c r="G29" s="7"/>
    </row>
    <row r="30" spans="1:7" x14ac:dyDescent="0.4">
      <c r="A30" s="14" t="str">
        <f t="shared" si="0"/>
        <v>SRN24</v>
      </c>
      <c r="B30" s="14" t="s">
        <v>11</v>
      </c>
      <c r="C30" s="14">
        <v>2024</v>
      </c>
      <c r="D30" s="7">
        <f>INDEX(Data!$M$8:$M$175,MATCH($A30,Data!$A$8:$A$175,0))</f>
        <v>22.176000000000002</v>
      </c>
      <c r="E30" s="7"/>
      <c r="F30" s="29">
        <f t="shared" si="1"/>
        <v>3.099010623007493</v>
      </c>
      <c r="G30" s="7"/>
    </row>
    <row r="31" spans="1:7" x14ac:dyDescent="0.4">
      <c r="A31" s="14" t="str">
        <f t="shared" si="0"/>
        <v>SRN25</v>
      </c>
      <c r="B31" s="14" t="s">
        <v>11</v>
      </c>
      <c r="C31" s="14">
        <v>2025</v>
      </c>
      <c r="D31" s="7">
        <f>INDEX(Data!$M$8:$M$175,MATCH($A31,Data!$A$8:$A$175,0))</f>
        <v>21.270999999999997</v>
      </c>
      <c r="E31" s="7"/>
      <c r="F31" s="29">
        <f t="shared" si="1"/>
        <v>3.0573446426815134</v>
      </c>
      <c r="G31" s="7"/>
    </row>
    <row r="32" spans="1:7" x14ac:dyDescent="0.4">
      <c r="A32" s="14" t="str">
        <f t="shared" si="0"/>
        <v>SVE21</v>
      </c>
      <c r="B32" s="14" t="s">
        <v>19</v>
      </c>
      <c r="C32" s="14">
        <v>2021</v>
      </c>
      <c r="D32" s="7">
        <f>INDEX(Data!$M$8:$M$175,MATCH($A32,Data!$A$8:$A$175,0))</f>
        <v>33.575345698699124</v>
      </c>
      <c r="E32" s="7"/>
      <c r="F32" s="29">
        <f t="shared" si="1"/>
        <v>3.5137920386690014</v>
      </c>
      <c r="G32" s="7"/>
    </row>
    <row r="33" spans="1:7" x14ac:dyDescent="0.4">
      <c r="A33" s="14" t="str">
        <f t="shared" si="0"/>
        <v>SVE22</v>
      </c>
      <c r="B33" s="14" t="s">
        <v>19</v>
      </c>
      <c r="C33" s="14">
        <v>2022</v>
      </c>
      <c r="D33" s="7">
        <f>INDEX(Data!$M$8:$M$175,MATCH($A33,Data!$A$8:$A$175,0))</f>
        <v>35.907546935123008</v>
      </c>
      <c r="E33" s="7"/>
      <c r="F33" s="29">
        <f t="shared" si="1"/>
        <v>3.5809474944349549</v>
      </c>
      <c r="G33" s="7"/>
    </row>
    <row r="34" spans="1:7" x14ac:dyDescent="0.4">
      <c r="A34" s="14" t="str">
        <f t="shared" si="0"/>
        <v>SVE23</v>
      </c>
      <c r="B34" s="14" t="s">
        <v>19</v>
      </c>
      <c r="C34" s="14">
        <v>2023</v>
      </c>
      <c r="D34" s="7">
        <f>INDEX(Data!$M$8:$M$175,MATCH($A34,Data!$A$8:$A$175,0))</f>
        <v>37.885114720357905</v>
      </c>
      <c r="E34" s="7"/>
      <c r="F34" s="29">
        <f t="shared" si="1"/>
        <v>3.6345582834995889</v>
      </c>
      <c r="G34" s="7"/>
    </row>
    <row r="35" spans="1:7" x14ac:dyDescent="0.4">
      <c r="A35" s="14" t="str">
        <f t="shared" si="0"/>
        <v>SVE24</v>
      </c>
      <c r="B35" s="14" t="s">
        <v>19</v>
      </c>
      <c r="C35" s="14">
        <v>2024</v>
      </c>
      <c r="D35" s="7">
        <f>INDEX(Data!$M$8:$M$175,MATCH($A35,Data!$A$8:$A$175,0))</f>
        <v>38.49642693512304</v>
      </c>
      <c r="E35" s="7"/>
      <c r="F35" s="29">
        <f t="shared" si="1"/>
        <v>3.6505654301069925</v>
      </c>
      <c r="G35" s="7"/>
    </row>
    <row r="36" spans="1:7" x14ac:dyDescent="0.4">
      <c r="A36" s="14" t="str">
        <f t="shared" si="0"/>
        <v>SVE25</v>
      </c>
      <c r="B36" s="14" t="s">
        <v>19</v>
      </c>
      <c r="C36" s="14">
        <v>2025</v>
      </c>
      <c r="D36" s="7">
        <f>INDEX(Data!$M$8:$M$175,MATCH($A36,Data!$A$8:$A$175,0))</f>
        <v>39.1062625503356</v>
      </c>
      <c r="E36" s="7"/>
      <c r="F36" s="29">
        <f t="shared" si="1"/>
        <v>3.6662826216936359</v>
      </c>
      <c r="G36" s="7"/>
    </row>
    <row r="37" spans="1:7" x14ac:dyDescent="0.4">
      <c r="A37" s="14" t="str">
        <f t="shared" si="0"/>
        <v>SWB21</v>
      </c>
      <c r="B37" s="14" t="s">
        <v>14</v>
      </c>
      <c r="C37" s="14">
        <v>2021</v>
      </c>
      <c r="D37" s="7">
        <f>INDEX(Data!$M$8:$M$175,MATCH($A37,Data!$A$8:$A$175,0))</f>
        <v>7.0649999999999995</v>
      </c>
      <c r="E37" s="7"/>
      <c r="F37" s="29">
        <f t="shared" si="1"/>
        <v>1.9551530161364907</v>
      </c>
      <c r="G37" s="7"/>
    </row>
    <row r="38" spans="1:7" x14ac:dyDescent="0.4">
      <c r="A38" s="14" t="str">
        <f t="shared" si="0"/>
        <v>SWB22</v>
      </c>
      <c r="B38" s="14" t="s">
        <v>14</v>
      </c>
      <c r="C38" s="14">
        <v>2022</v>
      </c>
      <c r="D38" s="7">
        <f>INDEX(Data!$M$8:$M$175,MATCH($A38,Data!$A$8:$A$175,0))</f>
        <v>7.1539999999999999</v>
      </c>
      <c r="E38" s="7"/>
      <c r="F38" s="29">
        <f t="shared" si="1"/>
        <v>1.967671640836826</v>
      </c>
      <c r="G38" s="7"/>
    </row>
    <row r="39" spans="1:7" x14ac:dyDescent="0.4">
      <c r="A39" s="14" t="str">
        <f t="shared" si="0"/>
        <v>SWB23</v>
      </c>
      <c r="B39" s="14" t="s">
        <v>14</v>
      </c>
      <c r="C39" s="14">
        <v>2023</v>
      </c>
      <c r="D39" s="7">
        <f>INDEX(Data!$M$8:$M$175,MATCH($A39,Data!$A$8:$A$175,0))</f>
        <v>6.93</v>
      </c>
      <c r="E39" s="7"/>
      <c r="F39" s="29">
        <f t="shared" si="1"/>
        <v>1.9358598132018119</v>
      </c>
      <c r="G39" s="7"/>
    </row>
    <row r="40" spans="1:7" x14ac:dyDescent="0.4">
      <c r="A40" s="14" t="str">
        <f t="shared" si="0"/>
        <v>SWB24</v>
      </c>
      <c r="B40" s="14" t="s">
        <v>14</v>
      </c>
      <c r="C40" s="14">
        <v>2024</v>
      </c>
      <c r="D40" s="7">
        <f>INDEX(Data!$M$8:$M$175,MATCH($A40,Data!$A$8:$A$175,0))</f>
        <v>7.0709999999999997</v>
      </c>
      <c r="E40" s="7"/>
      <c r="F40" s="29">
        <f t="shared" si="1"/>
        <v>1.9560019126221038</v>
      </c>
      <c r="G40" s="7"/>
    </row>
    <row r="41" spans="1:7" x14ac:dyDescent="0.4">
      <c r="A41" s="14" t="str">
        <f t="shared" si="0"/>
        <v>SWB25</v>
      </c>
      <c r="B41" s="14" t="s">
        <v>14</v>
      </c>
      <c r="C41" s="14">
        <v>2025</v>
      </c>
      <c r="D41" s="7">
        <f>INDEX(Data!$M$8:$M$175,MATCH($A41,Data!$A$8:$A$175,0))</f>
        <v>6.9039999999999999</v>
      </c>
      <c r="E41" s="7"/>
      <c r="F41" s="29">
        <f t="shared" si="1"/>
        <v>1.9321009537811269</v>
      </c>
      <c r="G41" s="7"/>
    </row>
    <row r="42" spans="1:7" x14ac:dyDescent="0.4">
      <c r="A42" s="14" t="str">
        <f t="shared" si="0"/>
        <v>TMS21</v>
      </c>
      <c r="B42" s="14" t="s">
        <v>15</v>
      </c>
      <c r="C42" s="14">
        <v>2021</v>
      </c>
      <c r="D42" s="7">
        <f>INDEX(Data!$M$8:$M$175,MATCH($A42,Data!$A$8:$A$175,0))</f>
        <v>70.825999999999993</v>
      </c>
      <c r="E42" s="7"/>
      <c r="F42" s="29">
        <f t="shared" si="1"/>
        <v>4.2602261649250579</v>
      </c>
      <c r="G42" s="7"/>
    </row>
    <row r="43" spans="1:7" x14ac:dyDescent="0.4">
      <c r="A43" s="14" t="str">
        <f t="shared" si="0"/>
        <v>TMS22</v>
      </c>
      <c r="B43" s="14" t="s">
        <v>15</v>
      </c>
      <c r="C43" s="14">
        <v>2022</v>
      </c>
      <c r="D43" s="7">
        <f>INDEX(Data!$M$8:$M$175,MATCH($A43,Data!$A$8:$A$175,0))</f>
        <v>68.757999999999996</v>
      </c>
      <c r="E43" s="7"/>
      <c r="F43" s="29">
        <f t="shared" si="1"/>
        <v>4.2305930934133213</v>
      </c>
      <c r="G43" s="7"/>
    </row>
    <row r="44" spans="1:7" x14ac:dyDescent="0.4">
      <c r="A44" s="14" t="str">
        <f t="shared" si="0"/>
        <v>TMS23</v>
      </c>
      <c r="B44" s="14" t="s">
        <v>15</v>
      </c>
      <c r="C44" s="14">
        <v>2023</v>
      </c>
      <c r="D44" s="7">
        <f>INDEX(Data!$M$8:$M$175,MATCH($A44,Data!$A$8:$A$175,0))</f>
        <v>59.66</v>
      </c>
      <c r="E44" s="7"/>
      <c r="F44" s="29">
        <f t="shared" si="1"/>
        <v>4.0886617790866024</v>
      </c>
      <c r="G44" s="7"/>
    </row>
    <row r="45" spans="1:7" x14ac:dyDescent="0.4">
      <c r="A45" s="14" t="str">
        <f t="shared" si="0"/>
        <v>TMS24</v>
      </c>
      <c r="B45" s="14" t="s">
        <v>15</v>
      </c>
      <c r="C45" s="14">
        <v>2024</v>
      </c>
      <c r="D45" s="7">
        <f>INDEX(Data!$M$8:$M$175,MATCH($A45,Data!$A$8:$A$175,0))</f>
        <v>60.217000000000006</v>
      </c>
      <c r="E45" s="7"/>
      <c r="F45" s="29">
        <f t="shared" si="1"/>
        <v>4.0979547044762299</v>
      </c>
      <c r="G45" s="7"/>
    </row>
    <row r="46" spans="1:7" x14ac:dyDescent="0.4">
      <c r="A46" s="14" t="str">
        <f t="shared" si="0"/>
        <v>TMS25</v>
      </c>
      <c r="B46" s="14" t="s">
        <v>15</v>
      </c>
      <c r="C46" s="14">
        <v>2025</v>
      </c>
      <c r="D46" s="7">
        <f>INDEX(Data!$M$8:$M$175,MATCH($A46,Data!$A$8:$A$175,0))</f>
        <v>57.6</v>
      </c>
      <c r="E46" s="7"/>
      <c r="F46" s="29">
        <f t="shared" si="1"/>
        <v>4.0535225677018456</v>
      </c>
      <c r="G46" s="7"/>
    </row>
    <row r="47" spans="1:7" x14ac:dyDescent="0.4">
      <c r="A47" s="14" t="str">
        <f t="shared" si="0"/>
        <v>WSH21</v>
      </c>
      <c r="B47" s="14" t="s">
        <v>16</v>
      </c>
      <c r="C47" s="14">
        <v>2021</v>
      </c>
      <c r="D47" s="7">
        <f>INDEX(Data!$M$8:$M$175,MATCH($A47,Data!$A$8:$A$175,0))</f>
        <v>8.66</v>
      </c>
      <c r="E47" s="7"/>
      <c r="F47" s="29">
        <f t="shared" si="1"/>
        <v>2.1587147225743437</v>
      </c>
      <c r="G47" s="7"/>
    </row>
    <row r="48" spans="1:7" x14ac:dyDescent="0.4">
      <c r="A48" s="14" t="str">
        <f t="shared" si="0"/>
        <v>WSH22</v>
      </c>
      <c r="B48" s="14" t="s">
        <v>16</v>
      </c>
      <c r="C48" s="14">
        <v>2022</v>
      </c>
      <c r="D48" s="7">
        <f>INDEX(Data!$M$8:$M$175,MATCH($A48,Data!$A$8:$A$175,0))</f>
        <v>8.8009999999999984</v>
      </c>
      <c r="E48" s="7"/>
      <c r="F48" s="29">
        <f t="shared" si="1"/>
        <v>2.1748653513916745</v>
      </c>
      <c r="G48" s="7"/>
    </row>
    <row r="49" spans="1:7" x14ac:dyDescent="0.4">
      <c r="A49" s="14" t="str">
        <f t="shared" si="0"/>
        <v>WSH23</v>
      </c>
      <c r="B49" s="14" t="s">
        <v>16</v>
      </c>
      <c r="C49" s="14">
        <v>2023</v>
      </c>
      <c r="D49" s="7">
        <f>INDEX(Data!$M$8:$M$175,MATCH($A49,Data!$A$8:$A$175,0))</f>
        <v>8.9390000000000001</v>
      </c>
      <c r="E49" s="7"/>
      <c r="F49" s="29">
        <f t="shared" si="1"/>
        <v>2.1904237261057156</v>
      </c>
      <c r="G49" s="7"/>
    </row>
    <row r="50" spans="1:7" x14ac:dyDescent="0.4">
      <c r="A50" s="14" t="str">
        <f t="shared" si="0"/>
        <v>WSH24</v>
      </c>
      <c r="B50" s="14" t="s">
        <v>16</v>
      </c>
      <c r="C50" s="14">
        <v>2024</v>
      </c>
      <c r="D50" s="7">
        <f>INDEX(Data!$M$8:$M$175,MATCH($A50,Data!$A$8:$A$175,0))</f>
        <v>8.9740000000000002</v>
      </c>
      <c r="E50" s="7"/>
      <c r="F50" s="29">
        <f t="shared" si="1"/>
        <v>2.1943315075537915</v>
      </c>
      <c r="G50" s="7"/>
    </row>
    <row r="51" spans="1:7" x14ac:dyDescent="0.4">
      <c r="A51" s="14" t="str">
        <f t="shared" si="0"/>
        <v>WSH25</v>
      </c>
      <c r="B51" s="14" t="s">
        <v>16</v>
      </c>
      <c r="C51" s="14">
        <v>2025</v>
      </c>
      <c r="D51" s="7">
        <f>INDEX(Data!$M$8:$M$175,MATCH($A51,Data!$A$8:$A$175,0))</f>
        <v>9.0050000000000008</v>
      </c>
      <c r="E51" s="7"/>
      <c r="F51" s="29">
        <f t="shared" si="1"/>
        <v>2.1977799786279193</v>
      </c>
      <c r="G51" s="7"/>
    </row>
    <row r="52" spans="1:7" x14ac:dyDescent="0.4">
      <c r="A52" s="14" t="str">
        <f t="shared" si="0"/>
        <v>WSX21</v>
      </c>
      <c r="B52" s="14" t="s">
        <v>17</v>
      </c>
      <c r="C52" s="14">
        <v>2021</v>
      </c>
      <c r="D52" s="7">
        <f>INDEX(Data!$M$8:$M$175,MATCH($A52,Data!$A$8:$A$175,0))</f>
        <v>13.108000000000001</v>
      </c>
      <c r="E52" s="7"/>
      <c r="F52" s="29">
        <f t="shared" si="1"/>
        <v>2.5732227308365681</v>
      </c>
      <c r="G52" s="7"/>
    </row>
    <row r="53" spans="1:7" x14ac:dyDescent="0.4">
      <c r="A53" s="14" t="str">
        <f t="shared" si="0"/>
        <v>WSX22</v>
      </c>
      <c r="B53" s="14" t="s">
        <v>17</v>
      </c>
      <c r="C53" s="14">
        <v>2022</v>
      </c>
      <c r="D53" s="7">
        <f>INDEX(Data!$M$8:$M$175,MATCH($A53,Data!$A$8:$A$175,0))</f>
        <v>12.94</v>
      </c>
      <c r="E53" s="7"/>
      <c r="F53" s="29">
        <f t="shared" si="1"/>
        <v>2.5603232890727545</v>
      </c>
      <c r="G53" s="7"/>
    </row>
    <row r="54" spans="1:7" x14ac:dyDescent="0.4">
      <c r="A54" s="14" t="str">
        <f t="shared" si="0"/>
        <v>WSX23</v>
      </c>
      <c r="B54" s="14" t="s">
        <v>17</v>
      </c>
      <c r="C54" s="14">
        <v>2023</v>
      </c>
      <c r="D54" s="7">
        <f>INDEX(Data!$M$8:$M$175,MATCH($A54,Data!$A$8:$A$175,0))</f>
        <v>12.710999999999999</v>
      </c>
      <c r="E54" s="7"/>
      <c r="F54" s="29">
        <f t="shared" si="1"/>
        <v>2.5424677603125319</v>
      </c>
      <c r="G54" s="7"/>
    </row>
    <row r="55" spans="1:7" x14ac:dyDescent="0.4">
      <c r="A55" s="14" t="str">
        <f t="shared" si="0"/>
        <v>WSX24</v>
      </c>
      <c r="B55" s="14" t="s">
        <v>17</v>
      </c>
      <c r="C55" s="14">
        <v>2024</v>
      </c>
      <c r="D55" s="7">
        <f>INDEX(Data!$M$8:$M$175,MATCH($A55,Data!$A$8:$A$175,0))</f>
        <v>12.414</v>
      </c>
      <c r="E55" s="7"/>
      <c r="F55" s="29">
        <f t="shared" si="1"/>
        <v>2.5188248679914609</v>
      </c>
      <c r="G55" s="7"/>
    </row>
    <row r="56" spans="1:7" x14ac:dyDescent="0.4">
      <c r="A56" s="14" t="str">
        <f t="shared" si="0"/>
        <v>WSX25</v>
      </c>
      <c r="B56" s="14" t="s">
        <v>17</v>
      </c>
      <c r="C56" s="14">
        <v>2025</v>
      </c>
      <c r="D56" s="7">
        <f>INDEX(Data!$M$8:$M$175,MATCH($A56,Data!$A$8:$A$175,0))</f>
        <v>11.850999999999999</v>
      </c>
      <c r="E56" s="7"/>
      <c r="F56" s="29">
        <f t="shared" si="1"/>
        <v>2.4724122522063117</v>
      </c>
      <c r="G56" s="7"/>
    </row>
    <row r="57" spans="1:7" x14ac:dyDescent="0.4">
      <c r="A57" s="14" t="str">
        <f t="shared" si="0"/>
        <v>YKY21</v>
      </c>
      <c r="B57" s="14" t="s">
        <v>18</v>
      </c>
      <c r="C57" s="14">
        <v>2021</v>
      </c>
      <c r="D57" s="7">
        <f>INDEX(Data!$M$8:$M$175,MATCH($A57,Data!$A$8:$A$175,0))</f>
        <v>22.661000000000001</v>
      </c>
      <c r="E57" s="7"/>
      <c r="F57" s="29">
        <f t="shared" si="1"/>
        <v>3.1206453852527876</v>
      </c>
      <c r="G57" s="7"/>
    </row>
    <row r="58" spans="1:7" x14ac:dyDescent="0.4">
      <c r="A58" s="14" t="str">
        <f t="shared" si="0"/>
        <v>YKY22</v>
      </c>
      <c r="B58" s="14" t="s">
        <v>18</v>
      </c>
      <c r="C58" s="14">
        <v>2022</v>
      </c>
      <c r="D58" s="7">
        <f>INDEX(Data!$M$8:$M$175,MATCH($A58,Data!$A$8:$A$175,0))</f>
        <v>20.564</v>
      </c>
      <c r="E58" s="7"/>
      <c r="F58" s="29">
        <f t="shared" si="1"/>
        <v>3.0235419741932583</v>
      </c>
      <c r="G58" s="7"/>
    </row>
    <row r="59" spans="1:7" x14ac:dyDescent="0.4">
      <c r="A59" s="14" t="str">
        <f t="shared" si="0"/>
        <v>YKY23</v>
      </c>
      <c r="B59" s="14" t="s">
        <v>18</v>
      </c>
      <c r="C59" s="14">
        <v>2023</v>
      </c>
      <c r="D59" s="7">
        <f>INDEX(Data!$M$8:$M$175,MATCH($A59,Data!$A$8:$A$175,0))</f>
        <v>20.66</v>
      </c>
      <c r="E59" s="7"/>
      <c r="F59" s="29">
        <f t="shared" si="1"/>
        <v>3.0281994636914926</v>
      </c>
      <c r="G59" s="7"/>
    </row>
    <row r="60" spans="1:7" x14ac:dyDescent="0.4">
      <c r="A60" s="14" t="str">
        <f t="shared" si="0"/>
        <v>YKY24</v>
      </c>
      <c r="B60" s="14" t="s">
        <v>18</v>
      </c>
      <c r="C60" s="14">
        <v>2024</v>
      </c>
      <c r="D60" s="7">
        <f>INDEX(Data!$M$8:$M$175,MATCH($A60,Data!$A$8:$A$175,0))</f>
        <v>20.626000000000001</v>
      </c>
      <c r="E60" s="7"/>
      <c r="F60" s="29">
        <f t="shared" si="1"/>
        <v>3.0265524158938772</v>
      </c>
      <c r="G60" s="7"/>
    </row>
    <row r="61" spans="1:7" x14ac:dyDescent="0.4">
      <c r="A61" s="14" t="str">
        <f t="shared" si="0"/>
        <v>YKY25</v>
      </c>
      <c r="B61" s="14" t="s">
        <v>18</v>
      </c>
      <c r="C61" s="14">
        <v>2025</v>
      </c>
      <c r="D61" s="7">
        <f>INDEX(Data!$M$8:$M$175,MATCH($A61,Data!$A$8:$A$175,0))</f>
        <v>20.666999999999998</v>
      </c>
      <c r="E61" s="7"/>
      <c r="F61" s="29">
        <f t="shared" si="1"/>
        <v>3.0285382252791684</v>
      </c>
      <c r="G61" s="7"/>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4:M61"/>
  <sheetViews>
    <sheetView showGridLines="0" workbookViewId="0"/>
  </sheetViews>
  <sheetFormatPr defaultColWidth="9" defaultRowHeight="13.15" x14ac:dyDescent="0.4"/>
  <cols>
    <col min="1" max="3" width="9" style="5"/>
    <col min="4" max="4" width="14" style="5" customWidth="1"/>
    <col min="5" max="5" width="14.625" style="5" customWidth="1"/>
    <col min="6" max="6" width="14" style="5" customWidth="1"/>
    <col min="7" max="7" width="15" style="5" customWidth="1"/>
    <col min="8" max="12" width="9" style="5"/>
    <col min="13" max="13" width="12.625" style="5" customWidth="1"/>
    <col min="14" max="16384" width="9" style="5"/>
  </cols>
  <sheetData>
    <row r="4" spans="1:13" ht="14.25" customHeight="1" x14ac:dyDescent="0.4">
      <c r="D4" s="76" t="s">
        <v>27</v>
      </c>
      <c r="E4" s="70" t="s">
        <v>28</v>
      </c>
      <c r="F4" s="171" t="s">
        <v>41</v>
      </c>
      <c r="G4" s="171" t="s">
        <v>46</v>
      </c>
      <c r="J4" s="9" t="s">
        <v>61</v>
      </c>
    </row>
    <row r="5" spans="1:13" ht="13.5" customHeight="1" x14ac:dyDescent="0.4">
      <c r="D5" s="30">
        <f>Controls!B9</f>
        <v>0.5</v>
      </c>
      <c r="E5" s="30">
        <f>Controls!C9</f>
        <v>0.5</v>
      </c>
      <c r="F5" s="172"/>
      <c r="G5" s="172"/>
    </row>
    <row r="6" spans="1:13" ht="26.25" x14ac:dyDescent="0.4">
      <c r="A6" s="61" t="s">
        <v>21</v>
      </c>
      <c r="B6" s="61" t="s">
        <v>6</v>
      </c>
      <c r="C6" s="61" t="s">
        <v>7</v>
      </c>
      <c r="D6" s="67" t="s">
        <v>247</v>
      </c>
      <c r="E6" s="67" t="s">
        <v>248</v>
      </c>
      <c r="F6" s="173"/>
      <c r="G6" s="173"/>
      <c r="J6" s="33" t="s">
        <v>6</v>
      </c>
      <c r="K6" s="75" t="s">
        <v>40</v>
      </c>
      <c r="L6" s="75" t="s">
        <v>42</v>
      </c>
      <c r="M6" s="75" t="s">
        <v>43</v>
      </c>
    </row>
    <row r="7" spans="1:13" x14ac:dyDescent="0.4">
      <c r="A7" s="6" t="str">
        <f>'Selected forecast drivers'!A7</f>
        <v>ANH21</v>
      </c>
      <c r="B7" s="6" t="str">
        <f>'Selected forecast drivers'!B7</f>
        <v>ANH</v>
      </c>
      <c r="C7" s="6">
        <f>'Selected forecast drivers'!C7</f>
        <v>2021</v>
      </c>
      <c r="D7" s="160">
        <f>EXP(Coeffs!$D$10+(Coeffs!$D$9*'Selected forecast drivers'!F7))</f>
        <v>43.229214171872584</v>
      </c>
      <c r="E7" s="160">
        <f>EXP(Coeffs!$E$10+(Coeffs!$E$9*'Selected forecast drivers'!F7))</f>
        <v>97.916351781920142</v>
      </c>
      <c r="F7" s="160">
        <f>SUMPRODUCT($D$5:$E$5,$D7:$E7)</f>
        <v>70.572782976896363</v>
      </c>
      <c r="G7" s="160">
        <f>Controls!$B$14*F7</f>
        <v>70.572782976896363</v>
      </c>
      <c r="J7" s="34" t="s">
        <v>8</v>
      </c>
      <c r="K7" s="160">
        <f>SUMIFS(Data!$J$8:$J$175,Data!$B$8:$B$175,$J7,Data!$C$8:$C$175,"&gt;=2021")</f>
        <v>428.16851601159101</v>
      </c>
      <c r="L7" s="160">
        <f>SUMIFS('Modelled costs'!F$7:F$61,'Modelled costs'!$B$7:$B$61,$J7)</f>
        <v>382.1570266382933</v>
      </c>
      <c r="M7" s="35">
        <f>K7/L7</f>
        <v>1.1203994331284324</v>
      </c>
    </row>
    <row r="8" spans="1:13" x14ac:dyDescent="0.4">
      <c r="A8" s="6" t="str">
        <f>'Selected forecast drivers'!A8</f>
        <v>ANH22</v>
      </c>
      <c r="B8" s="6" t="str">
        <f>'Selected forecast drivers'!B8</f>
        <v>ANH</v>
      </c>
      <c r="C8" s="6">
        <f>'Selected forecast drivers'!C8</f>
        <v>2022</v>
      </c>
      <c r="D8" s="160">
        <f>EXP(Coeffs!$D$10+(Coeffs!$D$9*'Selected forecast drivers'!F8))</f>
        <v>45.260910887264778</v>
      </c>
      <c r="E8" s="160">
        <f>EXP(Coeffs!$E$10+(Coeffs!$E$9*'Selected forecast drivers'!F8))</f>
        <v>110.42038728892443</v>
      </c>
      <c r="F8" s="160">
        <f t="shared" ref="F8:F38" si="0">SUMPRODUCT($D$5:$E$5,$D8:$E8)</f>
        <v>77.840649088094608</v>
      </c>
      <c r="G8" s="160">
        <f>Controls!$B$14*F8</f>
        <v>77.840649088094608</v>
      </c>
      <c r="J8" s="34" t="s">
        <v>20</v>
      </c>
      <c r="K8" s="160">
        <f>SUMIFS(Data!$J$8:$J$175,Data!$B$8:$B$175,$J8,Data!$C$8:$C$175,"&gt;=2021")</f>
        <v>0.5449647032758832</v>
      </c>
      <c r="L8" s="160">
        <f>SUMIFS('Modelled costs'!F$7:F$61,'Modelled costs'!$B$7:$B$61,$J8)</f>
        <v>10.477345514389441</v>
      </c>
      <c r="M8" s="35">
        <f t="shared" ref="M8:M17" si="1">K8/L8</f>
        <v>5.2013623348341066E-2</v>
      </c>
    </row>
    <row r="9" spans="1:13" x14ac:dyDescent="0.4">
      <c r="A9" s="6" t="str">
        <f>'Selected forecast drivers'!A9</f>
        <v>ANH23</v>
      </c>
      <c r="B9" s="6" t="str">
        <f>'Selected forecast drivers'!B9</f>
        <v>ANH</v>
      </c>
      <c r="C9" s="6">
        <f>'Selected forecast drivers'!C9</f>
        <v>2023</v>
      </c>
      <c r="D9" s="160">
        <f>EXP(Coeffs!$D$10+(Coeffs!$D$9*'Selected forecast drivers'!F9))</f>
        <v>45.806897561442526</v>
      </c>
      <c r="E9" s="160">
        <f>EXP(Coeffs!$E$10+(Coeffs!$E$9*'Selected forecast drivers'!F9))</f>
        <v>113.94003508107949</v>
      </c>
      <c r="F9" s="160">
        <f t="shared" si="0"/>
        <v>79.873466321261006</v>
      </c>
      <c r="G9" s="160">
        <f>Controls!$B$14*F9</f>
        <v>79.873466321261006</v>
      </c>
      <c r="J9" s="34" t="s">
        <v>9</v>
      </c>
      <c r="K9" s="160">
        <f>SUMIFS(Data!$J$8:$J$175,Data!$B$8:$B$175,$J9,Data!$C$8:$C$175,"&gt;=2021")</f>
        <v>196.69481566251636</v>
      </c>
      <c r="L9" s="160">
        <f>SUMIFS('Modelled costs'!F$7:F$61,'Modelled costs'!$B$7:$B$61,$J9)</f>
        <v>99.248989861645484</v>
      </c>
      <c r="M9" s="35">
        <f t="shared" si="1"/>
        <v>1.9818319152337143</v>
      </c>
    </row>
    <row r="10" spans="1:13" x14ac:dyDescent="0.4">
      <c r="A10" s="6" t="str">
        <f>'Selected forecast drivers'!A10</f>
        <v>ANH24</v>
      </c>
      <c r="B10" s="6" t="str">
        <f>'Selected forecast drivers'!B10</f>
        <v>ANH</v>
      </c>
      <c r="C10" s="6">
        <f>'Selected forecast drivers'!C10</f>
        <v>2024</v>
      </c>
      <c r="D10" s="160">
        <f>EXP(Coeffs!$D$10+(Coeffs!$D$9*'Selected forecast drivers'!F10))</f>
        <v>45.639070557827225</v>
      </c>
      <c r="E10" s="160">
        <f>EXP(Coeffs!$E$10+(Coeffs!$E$9*'Selected forecast drivers'!F10))</f>
        <v>112.85088852356418</v>
      </c>
      <c r="F10" s="160">
        <f t="shared" si="0"/>
        <v>79.244979540695709</v>
      </c>
      <c r="G10" s="160">
        <f>Controls!$B$14*F10</f>
        <v>79.244979540695709</v>
      </c>
      <c r="J10" s="34" t="s">
        <v>10</v>
      </c>
      <c r="K10" s="160">
        <f>SUMIFS(Data!$J$8:$J$175,Data!$B$8:$B$175,$J10,Data!$C$8:$C$175,"&gt;=2021")</f>
        <v>160.95358878504106</v>
      </c>
      <c r="L10" s="160">
        <f>SUMIFS('Modelled costs'!F$7:F$61,'Modelled costs'!$B$7:$B$61,$J10)</f>
        <v>246.11827745717343</v>
      </c>
      <c r="M10" s="35">
        <f t="shared" si="1"/>
        <v>0.65396845146150628</v>
      </c>
    </row>
    <row r="11" spans="1:13" x14ac:dyDescent="0.4">
      <c r="A11" s="6" t="str">
        <f>'Selected forecast drivers'!A11</f>
        <v>ANH25</v>
      </c>
      <c r="B11" s="6" t="str">
        <f>'Selected forecast drivers'!B11</f>
        <v>ANH</v>
      </c>
      <c r="C11" s="6">
        <f>'Selected forecast drivers'!C11</f>
        <v>2025</v>
      </c>
      <c r="D11" s="160">
        <f>EXP(Coeffs!$D$10+(Coeffs!$D$9*'Selected forecast drivers'!F11))</f>
        <v>44.37798300705645</v>
      </c>
      <c r="E11" s="160">
        <f>EXP(Coeffs!$E$10+(Coeffs!$E$9*'Selected forecast drivers'!F11))</f>
        <v>104.87231441563482</v>
      </c>
      <c r="F11" s="160">
        <f t="shared" si="0"/>
        <v>74.625148711345631</v>
      </c>
      <c r="G11" s="160">
        <f>Controls!$B$14*F11</f>
        <v>74.625148711345631</v>
      </c>
      <c r="J11" s="34" t="s">
        <v>11</v>
      </c>
      <c r="K11" s="160">
        <f>SUMIFS(Data!$J$8:$J$175,Data!$B$8:$B$175,$J11,Data!$C$8:$C$175,"&gt;=2021")</f>
        <v>266.96120353378359</v>
      </c>
      <c r="L11" s="160">
        <f>SUMIFS('Modelled costs'!F$7:F$61,'Modelled costs'!$B$7:$B$61,$J11)</f>
        <v>205.69242336788605</v>
      </c>
      <c r="M11" s="35">
        <f t="shared" si="1"/>
        <v>1.2978660038260952</v>
      </c>
    </row>
    <row r="12" spans="1:13" x14ac:dyDescent="0.4">
      <c r="A12" s="6" t="str">
        <f>'Selected forecast drivers'!A12</f>
        <v>HDD21</v>
      </c>
      <c r="B12" s="6" t="str">
        <f>'Selected forecast drivers'!B12</f>
        <v>HDD</v>
      </c>
      <c r="C12" s="6">
        <f>'Selected forecast drivers'!C12</f>
        <v>2021</v>
      </c>
      <c r="D12" s="160">
        <f>EXP(Coeffs!$D$10+(Coeffs!$D$9*'Selected forecast drivers'!F12))</f>
        <v>3.8169948029764345</v>
      </c>
      <c r="E12" s="160">
        <f>EXP(Coeffs!$E$10+(Coeffs!$E$9*'Selected forecast drivers'!F12))</f>
        <v>0.17085568006061713</v>
      </c>
      <c r="F12" s="160">
        <f t="shared" si="0"/>
        <v>1.9939252415185258</v>
      </c>
      <c r="G12" s="160">
        <f>Controls!$B$14*F12</f>
        <v>1.9939252415185258</v>
      </c>
      <c r="J12" s="34" t="s">
        <v>19</v>
      </c>
      <c r="K12" s="160">
        <f>SUMIFS(Data!$J$8:$J$175,Data!$B$8:$B$175,$J12,Data!$C$8:$C$175,"&gt;=2021")</f>
        <v>293.73068606447328</v>
      </c>
      <c r="L12" s="160">
        <f>SUMIFS('Modelled costs'!F$7:F$61,'Modelled costs'!$B$7:$B$61,$J12)</f>
        <v>332.81987579629077</v>
      </c>
      <c r="M12" s="35">
        <f t="shared" si="1"/>
        <v>0.88255151637715645</v>
      </c>
    </row>
    <row r="13" spans="1:13" x14ac:dyDescent="0.4">
      <c r="A13" s="6" t="str">
        <f>'Selected forecast drivers'!A13</f>
        <v>HDD22</v>
      </c>
      <c r="B13" s="6" t="str">
        <f>'Selected forecast drivers'!B13</f>
        <v>HDD</v>
      </c>
      <c r="C13" s="6">
        <f>'Selected forecast drivers'!C13</f>
        <v>2022</v>
      </c>
      <c r="D13" s="160">
        <f>EXP(Coeffs!$D$10+(Coeffs!$D$9*'Selected forecast drivers'!F13))</f>
        <v>3.9391071992945652</v>
      </c>
      <c r="E13" s="160">
        <f>EXP(Coeffs!$E$10+(Coeffs!$E$9*'Selected forecast drivers'!F13))</f>
        <v>0.18553123206702066</v>
      </c>
      <c r="F13" s="160">
        <f t="shared" si="0"/>
        <v>2.0623192156807928</v>
      </c>
      <c r="G13" s="160">
        <f>Controls!$B$14*F13</f>
        <v>2.0623192156807928</v>
      </c>
      <c r="J13" s="34" t="s">
        <v>14</v>
      </c>
      <c r="K13" s="160">
        <f>SUMIFS(Data!$J$8:$J$175,Data!$B$8:$B$175,$J13,Data!$C$8:$C$175,"&gt;=2021")</f>
        <v>93.723566321848068</v>
      </c>
      <c r="L13" s="160">
        <f>SUMIFS('Modelled costs'!F$7:F$61,'Modelled costs'!$B$7:$B$61,$J13)</f>
        <v>75.495132248280186</v>
      </c>
      <c r="M13" s="35">
        <f t="shared" si="1"/>
        <v>1.2414517801441844</v>
      </c>
    </row>
    <row r="14" spans="1:13" x14ac:dyDescent="0.4">
      <c r="A14" s="6" t="str">
        <f>'Selected forecast drivers'!A14</f>
        <v>HDD23</v>
      </c>
      <c r="B14" s="6" t="str">
        <f>'Selected forecast drivers'!B14</f>
        <v>HDD</v>
      </c>
      <c r="C14" s="6">
        <f>'Selected forecast drivers'!C14</f>
        <v>2023</v>
      </c>
      <c r="D14" s="160">
        <f>EXP(Coeffs!$D$10+(Coeffs!$D$9*'Selected forecast drivers'!F14))</f>
        <v>4.0435515451720239</v>
      </c>
      <c r="E14" s="160">
        <f>EXP(Coeffs!$E$10+(Coeffs!$E$9*'Selected forecast drivers'!F14))</f>
        <v>0.19868137029168217</v>
      </c>
      <c r="F14" s="160">
        <f t="shared" si="0"/>
        <v>2.1211164577318531</v>
      </c>
      <c r="G14" s="160">
        <f>Controls!$B$14*F14</f>
        <v>2.1211164577318531</v>
      </c>
      <c r="J14" s="34" t="s">
        <v>15</v>
      </c>
      <c r="K14" s="160">
        <f>SUMIFS(Data!$J$8:$J$175,Data!$B$8:$B$175,$J14,Data!$C$8:$C$175,"&gt;=2021")</f>
        <v>606.97135775912841</v>
      </c>
      <c r="L14" s="160">
        <f>SUMIFS('Modelled costs'!F$7:F$61,'Modelled costs'!$B$7:$B$61,$J14)</f>
        <v>584.8285413580943</v>
      </c>
      <c r="M14" s="35">
        <f t="shared" si="1"/>
        <v>1.0378620652638018</v>
      </c>
    </row>
    <row r="15" spans="1:13" x14ac:dyDescent="0.4">
      <c r="A15" s="6" t="str">
        <f>'Selected forecast drivers'!A15</f>
        <v>HDD24</v>
      </c>
      <c r="B15" s="6" t="str">
        <f>'Selected forecast drivers'!B15</f>
        <v>HDD</v>
      </c>
      <c r="C15" s="6">
        <f>'Selected forecast drivers'!C15</f>
        <v>2024</v>
      </c>
      <c r="D15" s="160">
        <f>EXP(Coeffs!$D$10+(Coeffs!$D$9*'Selected forecast drivers'!F15))</f>
        <v>4.0777244484408293</v>
      </c>
      <c r="E15" s="160">
        <f>EXP(Coeffs!$E$10+(Coeffs!$E$9*'Selected forecast drivers'!F15))</f>
        <v>0.20310526036750973</v>
      </c>
      <c r="F15" s="160">
        <f t="shared" si="0"/>
        <v>2.1404148544041695</v>
      </c>
      <c r="G15" s="160">
        <f>Controls!$B$14*F15</f>
        <v>2.1404148544041695</v>
      </c>
      <c r="J15" s="34" t="s">
        <v>16</v>
      </c>
      <c r="K15" s="160">
        <f>SUMIFS(Data!$J$8:$J$175,Data!$B$8:$B$175,$J15,Data!$C$8:$C$175,"&gt;=2021")</f>
        <v>161.33938459762086</v>
      </c>
      <c r="L15" s="160">
        <f>SUMIFS('Modelled costs'!F$7:F$61,'Modelled costs'!$B$7:$B$61,$J15)</f>
        <v>90.758982578011796</v>
      </c>
      <c r="M15" s="35">
        <f t="shared" si="1"/>
        <v>1.7776685019462592</v>
      </c>
    </row>
    <row r="16" spans="1:13" x14ac:dyDescent="0.4">
      <c r="A16" s="6" t="str">
        <f>'Selected forecast drivers'!A16</f>
        <v>HDD25</v>
      </c>
      <c r="B16" s="6" t="str">
        <f>'Selected forecast drivers'!B16</f>
        <v>HDD</v>
      </c>
      <c r="C16" s="6">
        <f>'Selected forecast drivers'!C16</f>
        <v>2025</v>
      </c>
      <c r="D16" s="160">
        <f>EXP(Coeffs!$D$10+(Coeffs!$D$9*'Selected forecast drivers'!F16))</f>
        <v>4.1115905235245549</v>
      </c>
      <c r="E16" s="160">
        <f>EXP(Coeffs!$E$10+(Coeffs!$E$9*'Selected forecast drivers'!F16))</f>
        <v>0.20754896658364352</v>
      </c>
      <c r="F16" s="160">
        <f t="shared" si="0"/>
        <v>2.1595697450540992</v>
      </c>
      <c r="G16" s="160">
        <f>Controls!$B$14*F16</f>
        <v>2.1595697450540992</v>
      </c>
      <c r="J16" s="34" t="s">
        <v>17</v>
      </c>
      <c r="K16" s="160">
        <f>SUMIFS(Data!$J$8:$J$175,Data!$B$8:$B$175,$J16,Data!$C$8:$C$175,"&gt;=2021")</f>
        <v>172.04105980626017</v>
      </c>
      <c r="L16" s="160">
        <f>SUMIFS('Modelled costs'!F$7:F$61,'Modelled costs'!$B$7:$B$61,$J16)</f>
        <v>121.44449182784166</v>
      </c>
      <c r="M16" s="35">
        <f t="shared" si="1"/>
        <v>1.4166229955504579</v>
      </c>
    </row>
    <row r="17" spans="1:13" x14ac:dyDescent="0.4">
      <c r="A17" s="6" t="str">
        <f>'Selected forecast drivers'!A17</f>
        <v>NES21</v>
      </c>
      <c r="B17" s="6" t="str">
        <f>'Selected forecast drivers'!B17</f>
        <v>NES</v>
      </c>
      <c r="C17" s="6">
        <f>'Selected forecast drivers'!C17</f>
        <v>2021</v>
      </c>
      <c r="D17" s="160">
        <f>EXP(Coeffs!$D$10+(Coeffs!$D$9*'Selected forecast drivers'!F17))</f>
        <v>22.097284001250152</v>
      </c>
      <c r="E17" s="160">
        <f>EXP(Coeffs!$E$10+(Coeffs!$E$9*'Selected forecast drivers'!F17))</f>
        <v>16.913234287658113</v>
      </c>
      <c r="F17" s="160">
        <f t="shared" si="0"/>
        <v>19.505259144454133</v>
      </c>
      <c r="G17" s="160">
        <f>Controls!$B$14*F17</f>
        <v>19.505259144454133</v>
      </c>
      <c r="J17" s="34" t="s">
        <v>18</v>
      </c>
      <c r="K17" s="160">
        <f>SUMIFS(Data!$J$8:$J$175,Data!$B$8:$B$175,$J17,Data!$C$8:$C$175,"&gt;=2021")</f>
        <v>176.94163712295756</v>
      </c>
      <c r="L17" s="160">
        <f>SUMIFS('Modelled costs'!F$7:F$61,'Modelled costs'!$B$7:$B$61,$J17)</f>
        <v>192.08152733844457</v>
      </c>
      <c r="M17" s="35">
        <f t="shared" si="1"/>
        <v>0.92117987385215461</v>
      </c>
    </row>
    <row r="18" spans="1:13" x14ac:dyDescent="0.4">
      <c r="A18" s="6" t="str">
        <f>'Selected forecast drivers'!A18</f>
        <v>NES22</v>
      </c>
      <c r="B18" s="6" t="str">
        <f>'Selected forecast drivers'!B18</f>
        <v>NES</v>
      </c>
      <c r="C18" s="6">
        <f>'Selected forecast drivers'!C18</f>
        <v>2022</v>
      </c>
      <c r="D18" s="160">
        <f>EXP(Coeffs!$D$10+(Coeffs!$D$9*'Selected forecast drivers'!F18))</f>
        <v>22.710994173263316</v>
      </c>
      <c r="E18" s="160">
        <f>EXP(Coeffs!$E$10+(Coeffs!$E$9*'Selected forecast drivers'!F18))</f>
        <v>18.170173575956447</v>
      </c>
      <c r="F18" s="160">
        <f t="shared" si="0"/>
        <v>20.440583874609882</v>
      </c>
      <c r="G18" s="160">
        <f>Controls!$B$14*F18</f>
        <v>20.440583874609882</v>
      </c>
      <c r="J18" s="71"/>
      <c r="K18" s="72"/>
      <c r="L18" s="72"/>
      <c r="M18" s="73"/>
    </row>
    <row r="19" spans="1:13" x14ac:dyDescent="0.4">
      <c r="A19" s="6" t="str">
        <f>'Selected forecast drivers'!A19</f>
        <v>NES23</v>
      </c>
      <c r="B19" s="6" t="str">
        <f>'Selected forecast drivers'!B19</f>
        <v>NES</v>
      </c>
      <c r="C19" s="6">
        <f>'Selected forecast drivers'!C19</f>
        <v>2023</v>
      </c>
      <c r="D19" s="160">
        <f>EXP(Coeffs!$D$10+(Coeffs!$D$9*'Selected forecast drivers'!F19))</f>
        <v>22.622592971976456</v>
      </c>
      <c r="E19" s="160">
        <f>EXP(Coeffs!$E$10+(Coeffs!$E$9*'Selected forecast drivers'!F19))</f>
        <v>17.985680651385174</v>
      </c>
      <c r="F19" s="160">
        <f t="shared" si="0"/>
        <v>20.304136811680813</v>
      </c>
      <c r="G19" s="160">
        <f>Controls!$B$14*F19</f>
        <v>20.304136811680813</v>
      </c>
      <c r="J19" s="36" t="s">
        <v>44</v>
      </c>
      <c r="K19" s="37"/>
      <c r="L19" s="37"/>
      <c r="M19" s="38">
        <f>PERCENTILE($M$7:$M$17,0.5)</f>
        <v>1.1203994331284324</v>
      </c>
    </row>
    <row r="20" spans="1:13" x14ac:dyDescent="0.4">
      <c r="A20" s="6" t="str">
        <f>'Selected forecast drivers'!A20</f>
        <v>NES24</v>
      </c>
      <c r="B20" s="6" t="str">
        <f>'Selected forecast drivers'!B20</f>
        <v>NES</v>
      </c>
      <c r="C20" s="6">
        <f>'Selected forecast drivers'!C20</f>
        <v>2024</v>
      </c>
      <c r="D20" s="160">
        <f>EXP(Coeffs!$D$10+(Coeffs!$D$9*'Selected forecast drivers'!F20))</f>
        <v>22.196667404157896</v>
      </c>
      <c r="E20" s="160">
        <f>EXP(Coeffs!$E$10+(Coeffs!$E$9*'Selected forecast drivers'!F20))</f>
        <v>17.113011263346035</v>
      </c>
      <c r="F20" s="160">
        <f t="shared" si="0"/>
        <v>19.654839333751966</v>
      </c>
      <c r="G20" s="160">
        <f>Controls!$B$14*F20</f>
        <v>19.654839333751966</v>
      </c>
      <c r="J20" s="36" t="s">
        <v>45</v>
      </c>
      <c r="K20" s="37"/>
      <c r="L20" s="37"/>
      <c r="M20" s="38">
        <f>PERCENTILE($M$7:$M$17,0.25)</f>
        <v>0.90186569511465553</v>
      </c>
    </row>
    <row r="21" spans="1:13" x14ac:dyDescent="0.4">
      <c r="A21" s="6" t="str">
        <f>'Selected forecast drivers'!A21</f>
        <v>NES25</v>
      </c>
      <c r="B21" s="6" t="str">
        <f>'Selected forecast drivers'!B21</f>
        <v>NES</v>
      </c>
      <c r="C21" s="6">
        <f>'Selected forecast drivers'!C21</f>
        <v>2025</v>
      </c>
      <c r="D21" s="160">
        <f>EXP(Coeffs!$D$10+(Coeffs!$D$9*'Selected forecast drivers'!F21))</f>
        <v>21.989712476639237</v>
      </c>
      <c r="E21" s="160">
        <f>EXP(Coeffs!$E$10+(Coeffs!$E$9*'Selected forecast drivers'!F21))</f>
        <v>16.698628917658151</v>
      </c>
      <c r="F21" s="160">
        <f t="shared" si="0"/>
        <v>19.344170697148694</v>
      </c>
      <c r="G21" s="160">
        <f>Controls!$B$14*F21</f>
        <v>19.344170697148694</v>
      </c>
      <c r="J21" s="71"/>
      <c r="K21" s="72"/>
      <c r="L21" s="72"/>
      <c r="M21" s="73"/>
    </row>
    <row r="22" spans="1:13" x14ac:dyDescent="0.4">
      <c r="A22" s="6" t="str">
        <f>'Selected forecast drivers'!A22</f>
        <v>NWT21</v>
      </c>
      <c r="B22" s="6" t="str">
        <f>'Selected forecast drivers'!B22</f>
        <v>NWT</v>
      </c>
      <c r="C22" s="6">
        <f>'Selected forecast drivers'!C22</f>
        <v>2021</v>
      </c>
      <c r="D22" s="160">
        <f>EXP(Coeffs!$D$10+(Coeffs!$D$9*'Selected forecast drivers'!F22))</f>
        <v>34.850736914437284</v>
      </c>
      <c r="E22" s="160">
        <f>EXP(Coeffs!$E$10+(Coeffs!$E$9*'Selected forecast drivers'!F22))</f>
        <v>55.720599064418387</v>
      </c>
      <c r="F22" s="160">
        <f t="shared" si="0"/>
        <v>45.285667989427836</v>
      </c>
      <c r="G22" s="160">
        <f>Controls!$B$14*F22</f>
        <v>45.285667989427836</v>
      </c>
      <c r="J22" s="71"/>
      <c r="K22" s="72"/>
      <c r="L22" s="72"/>
      <c r="M22" s="73"/>
    </row>
    <row r="23" spans="1:13" x14ac:dyDescent="0.4">
      <c r="A23" s="6" t="str">
        <f>'Selected forecast drivers'!A23</f>
        <v>NWT22</v>
      </c>
      <c r="B23" s="6" t="str">
        <f>'Selected forecast drivers'!B23</f>
        <v>NWT</v>
      </c>
      <c r="C23" s="6">
        <f>'Selected forecast drivers'!C23</f>
        <v>2022</v>
      </c>
      <c r="D23" s="160">
        <f>EXP(Coeffs!$D$10+(Coeffs!$D$9*'Selected forecast drivers'!F23))</f>
        <v>35.597366215770649</v>
      </c>
      <c r="E23" s="160">
        <f>EXP(Coeffs!$E$10+(Coeffs!$E$9*'Selected forecast drivers'!F23))</f>
        <v>58.898676990267333</v>
      </c>
      <c r="F23" s="160">
        <f t="shared" si="0"/>
        <v>47.248021603018991</v>
      </c>
      <c r="G23" s="160">
        <f>Controls!$B$14*F23</f>
        <v>47.248021603018991</v>
      </c>
      <c r="J23" s="71"/>
      <c r="K23" s="72"/>
      <c r="L23" s="72"/>
      <c r="M23" s="73"/>
    </row>
    <row r="24" spans="1:13" x14ac:dyDescent="0.4">
      <c r="A24" s="6" t="str">
        <f>'Selected forecast drivers'!A24</f>
        <v>NWT23</v>
      </c>
      <c r="B24" s="6" t="str">
        <f>'Selected forecast drivers'!B24</f>
        <v>NWT</v>
      </c>
      <c r="C24" s="6">
        <f>'Selected forecast drivers'!C24</f>
        <v>2023</v>
      </c>
      <c r="D24" s="160">
        <f>EXP(Coeffs!$D$10+(Coeffs!$D$9*'Selected forecast drivers'!F24))</f>
        <v>36.325518764510811</v>
      </c>
      <c r="E24" s="160">
        <f>EXP(Coeffs!$E$10+(Coeffs!$E$9*'Selected forecast drivers'!F24))</f>
        <v>62.103681016537763</v>
      </c>
      <c r="F24" s="160">
        <f t="shared" si="0"/>
        <v>49.214599890524283</v>
      </c>
      <c r="G24" s="160">
        <f>Controls!$B$14*F24</f>
        <v>49.214599890524283</v>
      </c>
    </row>
    <row r="25" spans="1:13" x14ac:dyDescent="0.4">
      <c r="A25" s="6" t="str">
        <f>'Selected forecast drivers'!A25</f>
        <v>NWT24</v>
      </c>
      <c r="B25" s="6" t="str">
        <f>'Selected forecast drivers'!B25</f>
        <v>NWT</v>
      </c>
      <c r="C25" s="6">
        <f>'Selected forecast drivers'!C25</f>
        <v>2024</v>
      </c>
      <c r="D25" s="160">
        <f>EXP(Coeffs!$D$10+(Coeffs!$D$9*'Selected forecast drivers'!F25))</f>
        <v>37.038850051522942</v>
      </c>
      <c r="E25" s="160">
        <f>EXP(Coeffs!$E$10+(Coeffs!$E$9*'Selected forecast drivers'!F25))</f>
        <v>65.345810843398013</v>
      </c>
      <c r="F25" s="160">
        <f t="shared" si="0"/>
        <v>51.192330447460478</v>
      </c>
      <c r="G25" s="160">
        <f>Controls!$B$14*F25</f>
        <v>51.192330447460478</v>
      </c>
    </row>
    <row r="26" spans="1:13" x14ac:dyDescent="0.4">
      <c r="A26" s="6" t="str">
        <f>'Selected forecast drivers'!A26</f>
        <v>NWT25</v>
      </c>
      <c r="B26" s="6" t="str">
        <f>'Selected forecast drivers'!B26</f>
        <v>NWT</v>
      </c>
      <c r="C26" s="6">
        <f>'Selected forecast drivers'!C26</f>
        <v>2025</v>
      </c>
      <c r="D26" s="160">
        <f>EXP(Coeffs!$D$10+(Coeffs!$D$9*'Selected forecast drivers'!F26))</f>
        <v>37.737015970484464</v>
      </c>
      <c r="E26" s="160">
        <f>EXP(Coeffs!$E$10+(Coeffs!$E$9*'Selected forecast drivers'!F26))</f>
        <v>68.618299082999229</v>
      </c>
      <c r="F26" s="160">
        <f t="shared" si="0"/>
        <v>53.177657526741847</v>
      </c>
      <c r="G26" s="160">
        <f>Controls!$B$14*F26</f>
        <v>53.177657526741847</v>
      </c>
    </row>
    <row r="27" spans="1:13" x14ac:dyDescent="0.4">
      <c r="A27" s="6" t="str">
        <f>'Selected forecast drivers'!A27</f>
        <v>SRN21</v>
      </c>
      <c r="B27" s="6" t="str">
        <f>'Selected forecast drivers'!B27</f>
        <v>SRN</v>
      </c>
      <c r="C27" s="6">
        <f>'Selected forecast drivers'!C27</f>
        <v>2021</v>
      </c>
      <c r="D27" s="160">
        <f>EXP(Coeffs!$D$10+(Coeffs!$D$9*'Selected forecast drivers'!F27))</f>
        <v>34.17056983088154</v>
      </c>
      <c r="E27" s="160">
        <f>EXP(Coeffs!$E$10+(Coeffs!$E$9*'Selected forecast drivers'!F27))</f>
        <v>52.919637394944324</v>
      </c>
      <c r="F27" s="160">
        <f t="shared" si="0"/>
        <v>43.545103612912932</v>
      </c>
      <c r="G27" s="160">
        <f>Controls!$B$14*F27</f>
        <v>43.545103612912932</v>
      </c>
    </row>
    <row r="28" spans="1:13" x14ac:dyDescent="0.4">
      <c r="A28" s="6" t="str">
        <f>'Selected forecast drivers'!A28</f>
        <v>SRN22</v>
      </c>
      <c r="B28" s="6" t="str">
        <f>'Selected forecast drivers'!B28</f>
        <v>SRN</v>
      </c>
      <c r="C28" s="6">
        <f>'Selected forecast drivers'!C28</f>
        <v>2022</v>
      </c>
      <c r="D28" s="160">
        <f>EXP(Coeffs!$D$10+(Coeffs!$D$9*'Selected forecast drivers'!F28))</f>
        <v>33.492904974561633</v>
      </c>
      <c r="E28" s="160">
        <f>EXP(Coeffs!$E$10+(Coeffs!$E$9*'Selected forecast drivers'!F28))</f>
        <v>50.217199019896213</v>
      </c>
      <c r="F28" s="160">
        <f t="shared" si="0"/>
        <v>41.855051997228927</v>
      </c>
      <c r="G28" s="160">
        <f>Controls!$B$14*F28</f>
        <v>41.855051997228927</v>
      </c>
    </row>
    <row r="29" spans="1:13" x14ac:dyDescent="0.4">
      <c r="A29" s="6" t="str">
        <f>'Selected forecast drivers'!A29</f>
        <v>SRN23</v>
      </c>
      <c r="B29" s="6" t="str">
        <f>'Selected forecast drivers'!B29</f>
        <v>SRN</v>
      </c>
      <c r="C29" s="6">
        <f>'Selected forecast drivers'!C29</f>
        <v>2023</v>
      </c>
      <c r="D29" s="160">
        <f>EXP(Coeffs!$D$10+(Coeffs!$D$9*'Selected forecast drivers'!F29))</f>
        <v>33.190440532429463</v>
      </c>
      <c r="E29" s="160">
        <f>EXP(Coeffs!$E$10+(Coeffs!$E$9*'Selected forecast drivers'!F29))</f>
        <v>49.039148149459841</v>
      </c>
      <c r="F29" s="160">
        <f t="shared" si="0"/>
        <v>41.114794340944655</v>
      </c>
      <c r="G29" s="160">
        <f>Controls!$B$14*F29</f>
        <v>41.114794340944655</v>
      </c>
    </row>
    <row r="30" spans="1:13" x14ac:dyDescent="0.4">
      <c r="A30" s="6" t="str">
        <f>'Selected forecast drivers'!A30</f>
        <v>SRN24</v>
      </c>
      <c r="B30" s="6" t="str">
        <f>'Selected forecast drivers'!B30</f>
        <v>SRN</v>
      </c>
      <c r="C30" s="6">
        <f>'Selected forecast drivers'!C30</f>
        <v>2024</v>
      </c>
      <c r="D30" s="160">
        <f>EXP(Coeffs!$D$10+(Coeffs!$D$9*'Selected forecast drivers'!F30))</f>
        <v>32.879267452385207</v>
      </c>
      <c r="E30" s="160">
        <f>EXP(Coeffs!$E$10+(Coeffs!$E$9*'Selected forecast drivers'!F30))</f>
        <v>47.845158624749402</v>
      </c>
      <c r="F30" s="160">
        <f t="shared" si="0"/>
        <v>40.362213038567305</v>
      </c>
      <c r="G30" s="160">
        <f>Controls!$B$14*F30</f>
        <v>40.362213038567305</v>
      </c>
    </row>
    <row r="31" spans="1:13" x14ac:dyDescent="0.4">
      <c r="A31" s="6" t="str">
        <f>'Selected forecast drivers'!A31</f>
        <v>SRN25</v>
      </c>
      <c r="B31" s="6" t="str">
        <f>'Selected forecast drivers'!B31</f>
        <v>SRN</v>
      </c>
      <c r="C31" s="6">
        <f>'Selected forecast drivers'!C31</f>
        <v>2025</v>
      </c>
      <c r="D31" s="160">
        <f>EXP(Coeffs!$D$10+(Coeffs!$D$9*'Selected forecast drivers'!F31))</f>
        <v>32.227521188918956</v>
      </c>
      <c r="E31" s="160">
        <f>EXP(Coeffs!$E$10+(Coeffs!$E$9*'Selected forecast drivers'!F31))</f>
        <v>45.402999567545521</v>
      </c>
      <c r="F31" s="160">
        <f t="shared" si="0"/>
        <v>38.815260378232239</v>
      </c>
      <c r="G31" s="160">
        <f>Controls!$B$14*F31</f>
        <v>38.815260378232239</v>
      </c>
    </row>
    <row r="32" spans="1:13" x14ac:dyDescent="0.4">
      <c r="A32" s="6" t="str">
        <f>'Selected forecast drivers'!A32</f>
        <v>SVE21</v>
      </c>
      <c r="B32" s="6" t="str">
        <f>'Selected forecast drivers'!B32</f>
        <v>SVE</v>
      </c>
      <c r="C32" s="6">
        <f>'Selected forecast drivers'!C32</f>
        <v>2021</v>
      </c>
      <c r="D32" s="160">
        <f>EXP(Coeffs!$D$10+(Coeffs!$D$9*'Selected forecast drivers'!F32))</f>
        <v>40.131226900794879</v>
      </c>
      <c r="E32" s="160">
        <f>EXP(Coeffs!$E$10+(Coeffs!$E$9*'Selected forecast drivers'!F32))</f>
        <v>80.602174385741947</v>
      </c>
      <c r="F32" s="160">
        <f t="shared" si="0"/>
        <v>60.366700643268416</v>
      </c>
      <c r="G32" s="160">
        <f>Controls!$B$14*F32</f>
        <v>60.366700643268416</v>
      </c>
    </row>
    <row r="33" spans="1:7" x14ac:dyDescent="0.4">
      <c r="A33" s="6" t="str">
        <f>'Selected forecast drivers'!A33</f>
        <v>SVE22</v>
      </c>
      <c r="B33" s="6" t="str">
        <f>'Selected forecast drivers'!B33</f>
        <v>SVE</v>
      </c>
      <c r="C33" s="6">
        <f>'Selected forecast drivers'!C33</f>
        <v>2022</v>
      </c>
      <c r="D33" s="160">
        <f>EXP(Coeffs!$D$10+(Coeffs!$D$9*'Selected forecast drivers'!F33))</f>
        <v>41.44737589721624</v>
      </c>
      <c r="E33" s="160">
        <f>EXP(Coeffs!$E$10+(Coeffs!$E$9*'Selected forecast drivers'!F33))</f>
        <v>87.704081821085865</v>
      </c>
      <c r="F33" s="160">
        <f t="shared" si="0"/>
        <v>64.575728859151056</v>
      </c>
      <c r="G33" s="160">
        <f>Controls!$B$14*F33</f>
        <v>64.575728859151056</v>
      </c>
    </row>
    <row r="34" spans="1:7" x14ac:dyDescent="0.4">
      <c r="A34" s="6" t="str">
        <f>'Selected forecast drivers'!A34</f>
        <v>SVE23</v>
      </c>
      <c r="B34" s="6" t="str">
        <f>'Selected forecast drivers'!B34</f>
        <v>SVE</v>
      </c>
      <c r="C34" s="6">
        <f>'Selected forecast drivers'!C34</f>
        <v>2023</v>
      </c>
      <c r="D34" s="160">
        <f>EXP(Coeffs!$D$10+(Coeffs!$D$9*'Selected forecast drivers'!F34))</f>
        <v>42.528985195723905</v>
      </c>
      <c r="E34" s="160">
        <f>EXP(Coeffs!$E$10+(Coeffs!$E$9*'Selected forecast drivers'!F34))</f>
        <v>93.820171466770034</v>
      </c>
      <c r="F34" s="160">
        <f t="shared" si="0"/>
        <v>68.174578331246977</v>
      </c>
      <c r="G34" s="160">
        <f>Controls!$B$14*F34</f>
        <v>68.174578331246977</v>
      </c>
    </row>
    <row r="35" spans="1:7" x14ac:dyDescent="0.4">
      <c r="A35" s="6" t="str">
        <f>'Selected forecast drivers'!A35</f>
        <v>SVE24</v>
      </c>
      <c r="B35" s="6" t="str">
        <f>'Selected forecast drivers'!B35</f>
        <v>SVE</v>
      </c>
      <c r="C35" s="6">
        <f>'Selected forecast drivers'!C35</f>
        <v>2024</v>
      </c>
      <c r="D35" s="160">
        <f>EXP(Coeffs!$D$10+(Coeffs!$D$9*'Selected forecast drivers'!F35))</f>
        <v>42.85737180885674</v>
      </c>
      <c r="E35" s="160">
        <f>EXP(Coeffs!$E$10+(Coeffs!$E$9*'Selected forecast drivers'!F35))</f>
        <v>95.727693496067289</v>
      </c>
      <c r="F35" s="160">
        <f t="shared" si="0"/>
        <v>69.292532652462015</v>
      </c>
      <c r="G35" s="160">
        <f>Controls!$B$14*F35</f>
        <v>69.292532652462015</v>
      </c>
    </row>
    <row r="36" spans="1:7" x14ac:dyDescent="0.4">
      <c r="A36" s="6" t="str">
        <f>'Selected forecast drivers'!A36</f>
        <v>SVE25</v>
      </c>
      <c r="B36" s="6" t="str">
        <f>'Selected forecast drivers'!B36</f>
        <v>SVE</v>
      </c>
      <c r="C36" s="6">
        <f>'Selected forecast drivers'!C36</f>
        <v>2025</v>
      </c>
      <c r="D36" s="160">
        <f>EXP(Coeffs!$D$10+(Coeffs!$D$9*'Selected forecast drivers'!F36))</f>
        <v>43.182277029881888</v>
      </c>
      <c r="E36" s="160">
        <f>EXP(Coeffs!$E$10+(Coeffs!$E$9*'Selected forecast drivers'!F36))</f>
        <v>97.638393590442789</v>
      </c>
      <c r="F36" s="160">
        <f t="shared" si="0"/>
        <v>70.410335310162338</v>
      </c>
      <c r="G36" s="160">
        <f>Controls!$B$14*F36</f>
        <v>70.410335310162338</v>
      </c>
    </row>
    <row r="37" spans="1:7" x14ac:dyDescent="0.4">
      <c r="A37" s="6" t="str">
        <f>'Selected forecast drivers'!A37</f>
        <v>SWB21</v>
      </c>
      <c r="B37" s="6" t="str">
        <f>'Selected forecast drivers'!B37</f>
        <v>SWB</v>
      </c>
      <c r="C37" s="6">
        <f>'Selected forecast drivers'!C37</f>
        <v>2021</v>
      </c>
      <c r="D37" s="160">
        <f>EXP(Coeffs!$D$10+(Coeffs!$D$9*'Selected forecast drivers'!F37))</f>
        <v>18.976305907463878</v>
      </c>
      <c r="E37" s="160">
        <f>EXP(Coeffs!$E$10+(Coeffs!$E$9*'Selected forecast drivers'!F37))</f>
        <v>11.354987457862942</v>
      </c>
      <c r="F37" s="160">
        <f t="shared" si="0"/>
        <v>15.165646682663411</v>
      </c>
      <c r="G37" s="160">
        <f>Controls!$B$14*F37</f>
        <v>15.165646682663411</v>
      </c>
    </row>
    <row r="38" spans="1:7" x14ac:dyDescent="0.4">
      <c r="A38" s="6" t="str">
        <f>'Selected forecast drivers'!A38</f>
        <v>SWB22</v>
      </c>
      <c r="B38" s="6" t="str">
        <f>'Selected forecast drivers'!B38</f>
        <v>SWB</v>
      </c>
      <c r="C38" s="6">
        <f>'Selected forecast drivers'!C38</f>
        <v>2022</v>
      </c>
      <c r="D38" s="160">
        <f>EXP(Coeffs!$D$10+(Coeffs!$D$9*'Selected forecast drivers'!F38))</f>
        <v>19.090801922282946</v>
      </c>
      <c r="E38" s="160">
        <f>EXP(Coeffs!$E$10+(Coeffs!$E$9*'Selected forecast drivers'!F38))</f>
        <v>11.535142873513019</v>
      </c>
      <c r="F38" s="160">
        <f t="shared" si="0"/>
        <v>15.312972397897983</v>
      </c>
      <c r="G38" s="160">
        <f>Controls!$B$14*F38</f>
        <v>15.312972397897983</v>
      </c>
    </row>
    <row r="39" spans="1:7" x14ac:dyDescent="0.4">
      <c r="A39" s="6" t="str">
        <f>'Selected forecast drivers'!A39</f>
        <v>SWB23</v>
      </c>
      <c r="B39" s="6" t="str">
        <f>'Selected forecast drivers'!B39</f>
        <v>SWB</v>
      </c>
      <c r="C39" s="6">
        <f>'Selected forecast drivers'!C39</f>
        <v>2023</v>
      </c>
      <c r="D39" s="160">
        <f>EXP(Coeffs!$D$10+(Coeffs!$D$9*'Selected forecast drivers'!F39))</f>
        <v>18.801192420840454</v>
      </c>
      <c r="E39" s="160">
        <f>EXP(Coeffs!$E$10+(Coeffs!$E$9*'Selected forecast drivers'!F39))</f>
        <v>11.082833214320056</v>
      </c>
      <c r="F39" s="160">
        <f t="shared" ref="F39:F61" si="2">SUMPRODUCT($D$5:$E$5,$D39:$E39)</f>
        <v>14.942012817580256</v>
      </c>
      <c r="G39" s="160">
        <f>Controls!$B$14*F39</f>
        <v>14.942012817580256</v>
      </c>
    </row>
    <row r="40" spans="1:7" x14ac:dyDescent="0.4">
      <c r="A40" s="6" t="str">
        <f>'Selected forecast drivers'!A40</f>
        <v>SWB24</v>
      </c>
      <c r="B40" s="6" t="str">
        <f>'Selected forecast drivers'!B40</f>
        <v>SWB</v>
      </c>
      <c r="C40" s="6">
        <f>'Selected forecast drivers'!C40</f>
        <v>2024</v>
      </c>
      <c r="D40" s="160">
        <f>EXP(Coeffs!$D$10+(Coeffs!$D$9*'Selected forecast drivers'!F40))</f>
        <v>18.984048210452283</v>
      </c>
      <c r="E40" s="160">
        <f>EXP(Coeffs!$E$10+(Coeffs!$E$9*'Selected forecast drivers'!F40))</f>
        <v>11.367114492074803</v>
      </c>
      <c r="F40" s="160">
        <f t="shared" si="2"/>
        <v>15.175581351263542</v>
      </c>
      <c r="G40" s="160">
        <f>Controls!$B$14*F40</f>
        <v>15.175581351263542</v>
      </c>
    </row>
    <row r="41" spans="1:7" x14ac:dyDescent="0.4">
      <c r="A41" s="6" t="str">
        <f>'Selected forecast drivers'!A41</f>
        <v>SWB25</v>
      </c>
      <c r="B41" s="6" t="str">
        <f>'Selected forecast drivers'!B41</f>
        <v>SWB</v>
      </c>
      <c r="C41" s="6">
        <f>'Selected forecast drivers'!C41</f>
        <v>2025</v>
      </c>
      <c r="D41" s="160">
        <f>EXP(Coeffs!$D$10+(Coeffs!$D$9*'Selected forecast drivers'!F41))</f>
        <v>18.767263933731432</v>
      </c>
      <c r="E41" s="160">
        <f>EXP(Coeffs!$E$10+(Coeffs!$E$9*'Selected forecast drivers'!F41))</f>
        <v>11.030574064018555</v>
      </c>
      <c r="F41" s="160">
        <f t="shared" si="2"/>
        <v>14.898918998874993</v>
      </c>
      <c r="G41" s="160">
        <f>Controls!$B$14*F41</f>
        <v>14.898918998874993</v>
      </c>
    </row>
    <row r="42" spans="1:7" x14ac:dyDescent="0.4">
      <c r="A42" s="6" t="str">
        <f>'Selected forecast drivers'!A42</f>
        <v>TMS21</v>
      </c>
      <c r="B42" s="6" t="str">
        <f>'Selected forecast drivers'!B42</f>
        <v>TMS</v>
      </c>
      <c r="C42" s="6">
        <f>'Selected forecast drivers'!C42</f>
        <v>2021</v>
      </c>
      <c r="D42" s="160">
        <f>EXP(Coeffs!$D$10+(Coeffs!$D$9*'Selected forecast drivers'!F42))</f>
        <v>57.445366235545798</v>
      </c>
      <c r="E42" s="160">
        <f>EXP(Coeffs!$E$10+(Coeffs!$E$9*'Selected forecast drivers'!F42))</f>
        <v>206.04798220214894</v>
      </c>
      <c r="F42" s="160">
        <f t="shared" si="2"/>
        <v>131.74667421884737</v>
      </c>
      <c r="G42" s="160">
        <f>Controls!$B$14*F42</f>
        <v>131.74667421884737</v>
      </c>
    </row>
    <row r="43" spans="1:7" x14ac:dyDescent="0.4">
      <c r="A43" s="6" t="str">
        <f>'Selected forecast drivers'!A43</f>
        <v>TMS22</v>
      </c>
      <c r="B43" s="6" t="str">
        <f>'Selected forecast drivers'!B43</f>
        <v>TMS</v>
      </c>
      <c r="C43" s="6">
        <f>'Selected forecast drivers'!C43</f>
        <v>2022</v>
      </c>
      <c r="D43" s="160">
        <f>EXP(Coeffs!$D$10+(Coeffs!$D$9*'Selected forecast drivers'!F43))</f>
        <v>56.633174684836199</v>
      </c>
      <c r="E43" s="160">
        <f>EXP(Coeffs!$E$10+(Coeffs!$E$9*'Selected forecast drivers'!F43))</f>
        <v>198.51164418712082</v>
      </c>
      <c r="F43" s="160">
        <f t="shared" si="2"/>
        <v>127.57240943597851</v>
      </c>
      <c r="G43" s="160">
        <f>Controls!$B$14*F43</f>
        <v>127.57240943597851</v>
      </c>
    </row>
    <row r="44" spans="1:7" x14ac:dyDescent="0.4">
      <c r="A44" s="6" t="str">
        <f>'Selected forecast drivers'!A44</f>
        <v>TMS23</v>
      </c>
      <c r="B44" s="6" t="str">
        <f>'Selected forecast drivers'!B44</f>
        <v>TMS</v>
      </c>
      <c r="C44" s="6">
        <f>'Selected forecast drivers'!C44</f>
        <v>2023</v>
      </c>
      <c r="D44" s="160">
        <f>EXP(Coeffs!$D$10+(Coeffs!$D$9*'Selected forecast drivers'!F44))</f>
        <v>52.899480669269593</v>
      </c>
      <c r="E44" s="160">
        <f>EXP(Coeffs!$E$10+(Coeffs!$E$9*'Selected forecast drivers'!F44))</f>
        <v>166.06512990686696</v>
      </c>
      <c r="F44" s="160">
        <f t="shared" si="2"/>
        <v>109.48230528806828</v>
      </c>
      <c r="G44" s="160">
        <f>Controls!$B$14*F44</f>
        <v>109.48230528806828</v>
      </c>
    </row>
    <row r="45" spans="1:7" x14ac:dyDescent="0.4">
      <c r="A45" s="6" t="str">
        <f>'Selected forecast drivers'!A45</f>
        <v>TMS24</v>
      </c>
      <c r="B45" s="6" t="str">
        <f>'Selected forecast drivers'!B45</f>
        <v>TMS</v>
      </c>
      <c r="C45" s="6">
        <f>'Selected forecast drivers'!C45</f>
        <v>2024</v>
      </c>
      <c r="D45" s="160">
        <f>EXP(Coeffs!$D$10+(Coeffs!$D$9*'Selected forecast drivers'!F45))</f>
        <v>53.136230163057881</v>
      </c>
      <c r="E45" s="160">
        <f>EXP(Coeffs!$E$10+(Coeffs!$E$9*'Selected forecast drivers'!F45))</f>
        <v>168.01700564647618</v>
      </c>
      <c r="F45" s="160">
        <f t="shared" si="2"/>
        <v>110.57661790476703</v>
      </c>
      <c r="G45" s="160">
        <f>Controls!$B$14*F45</f>
        <v>110.57661790476703</v>
      </c>
    </row>
    <row r="46" spans="1:7" x14ac:dyDescent="0.4">
      <c r="A46" s="6" t="str">
        <f>'Selected forecast drivers'!A46</f>
        <v>TMS25</v>
      </c>
      <c r="B46" s="6" t="str">
        <f>'Selected forecast drivers'!B46</f>
        <v>TMS</v>
      </c>
      <c r="C46" s="6">
        <f>'Selected forecast drivers'!C46</f>
        <v>2025</v>
      </c>
      <c r="D46" s="160">
        <f>EXP(Coeffs!$D$10+(Coeffs!$D$9*'Selected forecast drivers'!F46))</f>
        <v>52.013759204868343</v>
      </c>
      <c r="E46" s="160">
        <f>EXP(Coeffs!$E$10+(Coeffs!$E$9*'Selected forecast drivers'!F46))</f>
        <v>158.88730981599795</v>
      </c>
      <c r="F46" s="160">
        <f t="shared" si="2"/>
        <v>105.45053451043314</v>
      </c>
      <c r="G46" s="160">
        <f>Controls!$B$14*F46</f>
        <v>105.45053451043314</v>
      </c>
    </row>
    <row r="47" spans="1:7" x14ac:dyDescent="0.4">
      <c r="A47" s="6" t="str">
        <f>'Selected forecast drivers'!A47</f>
        <v>WSH21</v>
      </c>
      <c r="B47" s="6" t="str">
        <f>'Selected forecast drivers'!B47</f>
        <v>WSH</v>
      </c>
      <c r="C47" s="6">
        <f>'Selected forecast drivers'!C47</f>
        <v>2021</v>
      </c>
      <c r="D47" s="160">
        <f>EXP(Coeffs!$D$10+(Coeffs!$D$9*'Selected forecast drivers'!F47))</f>
        <v>20.926314818614191</v>
      </c>
      <c r="E47" s="160">
        <f>EXP(Coeffs!$E$10+(Coeffs!$E$9*'Selected forecast drivers'!F47))</f>
        <v>14.667295841345434</v>
      </c>
      <c r="F47" s="160">
        <f t="shared" si="2"/>
        <v>17.796805329979811</v>
      </c>
      <c r="G47" s="160">
        <f>Controls!$B$14*F47</f>
        <v>17.796805329979811</v>
      </c>
    </row>
    <row r="48" spans="1:7" x14ac:dyDescent="0.4">
      <c r="A48" s="6" t="str">
        <f>'Selected forecast drivers'!A48</f>
        <v>WSH22</v>
      </c>
      <c r="B48" s="6" t="str">
        <f>'Selected forecast drivers'!B48</f>
        <v>WSH</v>
      </c>
      <c r="C48" s="6">
        <f>'Selected forecast drivers'!C48</f>
        <v>2022</v>
      </c>
      <c r="D48" s="160">
        <f>EXP(Coeffs!$D$10+(Coeffs!$D$9*'Selected forecast drivers'!F48))</f>
        <v>21.08935088315701</v>
      </c>
      <c r="E48" s="160">
        <f>EXP(Coeffs!$E$10+(Coeffs!$E$9*'Selected forecast drivers'!F48))</f>
        <v>14.968206945573684</v>
      </c>
      <c r="F48" s="160">
        <f t="shared" si="2"/>
        <v>18.028778914365347</v>
      </c>
      <c r="G48" s="160">
        <f>Controls!$B$14*F48</f>
        <v>18.028778914365347</v>
      </c>
    </row>
    <row r="49" spans="1:7" x14ac:dyDescent="0.4">
      <c r="A49" s="6" t="str">
        <f>'Selected forecast drivers'!A49</f>
        <v>WSH23</v>
      </c>
      <c r="B49" s="6" t="str">
        <f>'Selected forecast drivers'!B49</f>
        <v>WSH</v>
      </c>
      <c r="C49" s="6">
        <f>'Selected forecast drivers'!C49</f>
        <v>2023</v>
      </c>
      <c r="D49" s="160">
        <f>EXP(Coeffs!$D$10+(Coeffs!$D$9*'Selected forecast drivers'!F49))</f>
        <v>21.247609386978755</v>
      </c>
      <c r="E49" s="160">
        <f>EXP(Coeffs!$E$10+(Coeffs!$E$9*'Selected forecast drivers'!F49))</f>
        <v>15.263919990062851</v>
      </c>
      <c r="F49" s="160">
        <f t="shared" si="2"/>
        <v>18.255764688520802</v>
      </c>
      <c r="G49" s="160">
        <f>Controls!$B$14*F49</f>
        <v>18.255764688520802</v>
      </c>
    </row>
    <row r="50" spans="1:7" x14ac:dyDescent="0.4">
      <c r="A50" s="6" t="str">
        <f>'Selected forecast drivers'!A50</f>
        <v>WSH24</v>
      </c>
      <c r="B50" s="6" t="str">
        <f>'Selected forecast drivers'!B50</f>
        <v>WSH</v>
      </c>
      <c r="C50" s="6">
        <f>'Selected forecast drivers'!C50</f>
        <v>2024</v>
      </c>
      <c r="D50" s="160">
        <f>EXP(Coeffs!$D$10+(Coeffs!$D$9*'Selected forecast drivers'!F50))</f>
        <v>21.287545273879996</v>
      </c>
      <c r="E50" s="160">
        <f>EXP(Coeffs!$E$10+(Coeffs!$E$9*'Selected forecast drivers'!F50))</f>
        <v>15.33910741106153</v>
      </c>
      <c r="F50" s="160">
        <f t="shared" si="2"/>
        <v>18.313326342470763</v>
      </c>
      <c r="G50" s="160">
        <f>Controls!$B$14*F50</f>
        <v>18.313326342470763</v>
      </c>
    </row>
    <row r="51" spans="1:7" x14ac:dyDescent="0.4">
      <c r="A51" s="6" t="str">
        <f>'Selected forecast drivers'!A51</f>
        <v>WSH25</v>
      </c>
      <c r="B51" s="6" t="str">
        <f>'Selected forecast drivers'!B51</f>
        <v>WSH</v>
      </c>
      <c r="C51" s="6">
        <f>'Selected forecast drivers'!C51</f>
        <v>2025</v>
      </c>
      <c r="D51" s="160">
        <f>EXP(Coeffs!$D$10+(Coeffs!$D$9*'Selected forecast drivers'!F51))</f>
        <v>21.322849542971561</v>
      </c>
      <c r="E51" s="160">
        <f>EXP(Coeffs!$E$10+(Coeffs!$E$9*'Selected forecast drivers'!F51))</f>
        <v>15.405765062378595</v>
      </c>
      <c r="F51" s="160">
        <f t="shared" si="2"/>
        <v>18.36430730267508</v>
      </c>
      <c r="G51" s="160">
        <f>Controls!$B$14*F51</f>
        <v>18.36430730267508</v>
      </c>
    </row>
    <row r="52" spans="1:7" x14ac:dyDescent="0.4">
      <c r="A52" s="6" t="str">
        <f>'Selected forecast drivers'!A52</f>
        <v>WSX21</v>
      </c>
      <c r="B52" s="6" t="str">
        <f>'Selected forecast drivers'!B52</f>
        <v>WSX</v>
      </c>
      <c r="C52" s="6">
        <f>'Selected forecast drivers'!C52</f>
        <v>2021</v>
      </c>
      <c r="D52" s="160">
        <f>EXP(Coeffs!$D$10+(Coeffs!$D$9*'Selected forecast drivers'!F52))</f>
        <v>25.538536248271157</v>
      </c>
      <c r="E52" s="160">
        <f>EXP(Coeffs!$E$10+(Coeffs!$E$9*'Selected forecast drivers'!F52))</f>
        <v>24.700713895713164</v>
      </c>
      <c r="F52" s="160">
        <f t="shared" si="2"/>
        <v>25.119625071992161</v>
      </c>
      <c r="G52" s="160">
        <f>Controls!$B$14*F52</f>
        <v>25.119625071992161</v>
      </c>
    </row>
    <row r="53" spans="1:7" x14ac:dyDescent="0.4">
      <c r="A53" s="6" t="str">
        <f>'Selected forecast drivers'!A53</f>
        <v>WSX22</v>
      </c>
      <c r="B53" s="6" t="str">
        <f>'Selected forecast drivers'!B53</f>
        <v>WSX</v>
      </c>
      <c r="C53" s="6">
        <f>'Selected forecast drivers'!C53</f>
        <v>2022</v>
      </c>
      <c r="D53" s="160">
        <f>EXP(Coeffs!$D$10+(Coeffs!$D$9*'Selected forecast drivers'!F53))</f>
        <v>25.380725419102674</v>
      </c>
      <c r="E53" s="160">
        <f>EXP(Coeffs!$E$10+(Coeffs!$E$9*'Selected forecast drivers'!F53))</f>
        <v>24.303298724572869</v>
      </c>
      <c r="F53" s="160">
        <f t="shared" si="2"/>
        <v>24.842012071837772</v>
      </c>
      <c r="G53" s="160">
        <f>Controls!$B$14*F53</f>
        <v>24.842012071837772</v>
      </c>
    </row>
    <row r="54" spans="1:7" x14ac:dyDescent="0.4">
      <c r="A54" s="6" t="str">
        <f>'Selected forecast drivers'!A54</f>
        <v>WSX23</v>
      </c>
      <c r="B54" s="6" t="str">
        <f>'Selected forecast drivers'!B54</f>
        <v>WSX</v>
      </c>
      <c r="C54" s="6">
        <f>'Selected forecast drivers'!C54</f>
        <v>2023</v>
      </c>
      <c r="D54" s="160">
        <f>EXP(Coeffs!$D$10+(Coeffs!$D$9*'Selected forecast drivers'!F54))</f>
        <v>25.163890048543163</v>
      </c>
      <c r="E54" s="160">
        <f>EXP(Coeffs!$E$10+(Coeffs!$E$9*'Selected forecast drivers'!F54))</f>
        <v>23.763722154884203</v>
      </c>
      <c r="F54" s="160">
        <f t="shared" si="2"/>
        <v>24.463806101713683</v>
      </c>
      <c r="G54" s="160">
        <f>Controls!$B$14*F54</f>
        <v>24.463806101713683</v>
      </c>
    </row>
    <row r="55" spans="1:7" x14ac:dyDescent="0.4">
      <c r="A55" s="6" t="str">
        <f>'Selected forecast drivers'!A55</f>
        <v>WSX24</v>
      </c>
      <c r="B55" s="6" t="str">
        <f>'Selected forecast drivers'!B55</f>
        <v>WSX</v>
      </c>
      <c r="C55" s="6">
        <f>'Selected forecast drivers'!C55</f>
        <v>2024</v>
      </c>
      <c r="D55" s="160">
        <f>EXP(Coeffs!$D$10+(Coeffs!$D$9*'Selected forecast drivers'!F55))</f>
        <v>24.879621450650383</v>
      </c>
      <c r="E55" s="160">
        <f>EXP(Coeffs!$E$10+(Coeffs!$E$9*'Selected forecast drivers'!F55))</f>
        <v>23.067645821981703</v>
      </c>
      <c r="F55" s="160">
        <f t="shared" si="2"/>
        <v>23.973633636316045</v>
      </c>
      <c r="G55" s="160">
        <f>Controls!$B$14*F55</f>
        <v>23.973633636316045</v>
      </c>
    </row>
    <row r="56" spans="1:7" x14ac:dyDescent="0.4">
      <c r="A56" s="6" t="str">
        <f>'Selected forecast drivers'!A56</f>
        <v>WSX25</v>
      </c>
      <c r="B56" s="6" t="str">
        <f>'Selected forecast drivers'!B56</f>
        <v>WSX</v>
      </c>
      <c r="C56" s="6">
        <f>'Selected forecast drivers'!C56</f>
        <v>2025</v>
      </c>
      <c r="D56" s="160">
        <f>EXP(Coeffs!$D$10+(Coeffs!$D$9*'Selected forecast drivers'!F56))</f>
        <v>24.330888438943568</v>
      </c>
      <c r="E56" s="160">
        <f>EXP(Coeffs!$E$10+(Coeffs!$E$9*'Selected forecast drivers'!F56))</f>
        <v>21.759941453020431</v>
      </c>
      <c r="F56" s="160">
        <f t="shared" si="2"/>
        <v>23.045414945981999</v>
      </c>
      <c r="G56" s="160">
        <f>Controls!$B$14*F56</f>
        <v>23.045414945981999</v>
      </c>
    </row>
    <row r="57" spans="1:7" x14ac:dyDescent="0.4">
      <c r="A57" s="6" t="str">
        <f>'Selected forecast drivers'!A57</f>
        <v>YKY21</v>
      </c>
      <c r="B57" s="6" t="str">
        <f>'Selected forecast drivers'!B57</f>
        <v>YKY</v>
      </c>
      <c r="C57" s="6">
        <f>'Selected forecast drivers'!C57</f>
        <v>2021</v>
      </c>
      <c r="D57" s="160">
        <f>EXP(Coeffs!$D$10+(Coeffs!$D$9*'Selected forecast drivers'!F57))</f>
        <v>33.222864052296593</v>
      </c>
      <c r="E57" s="160">
        <f>EXP(Coeffs!$E$10+(Coeffs!$E$9*'Selected forecast drivers'!F57))</f>
        <v>49.164606387991554</v>
      </c>
      <c r="F57" s="160">
        <f t="shared" si="2"/>
        <v>41.193735220144077</v>
      </c>
      <c r="G57" s="160">
        <f>Controls!$B$14*F57</f>
        <v>41.193735220144077</v>
      </c>
    </row>
    <row r="58" spans="1:7" x14ac:dyDescent="0.4">
      <c r="A58" s="6" t="str">
        <f>'Selected forecast drivers'!A58</f>
        <v>YKY22</v>
      </c>
      <c r="B58" s="6" t="str">
        <f>'Selected forecast drivers'!B58</f>
        <v>YKY</v>
      </c>
      <c r="C58" s="6">
        <f>'Selected forecast drivers'!C58</f>
        <v>2022</v>
      </c>
      <c r="D58" s="160">
        <f>EXP(Coeffs!$D$10+(Coeffs!$D$9*'Selected forecast drivers'!F58))</f>
        <v>31.70827811166053</v>
      </c>
      <c r="E58" s="160">
        <f>EXP(Coeffs!$E$10+(Coeffs!$E$9*'Selected forecast drivers'!F58))</f>
        <v>43.51361683567881</v>
      </c>
      <c r="F58" s="160">
        <f t="shared" si="2"/>
        <v>37.610947473669668</v>
      </c>
      <c r="G58" s="160">
        <f>Controls!$B$14*F58</f>
        <v>37.610947473669668</v>
      </c>
    </row>
    <row r="59" spans="1:7" x14ac:dyDescent="0.4">
      <c r="A59" s="6" t="str">
        <f>'Selected forecast drivers'!A59</f>
        <v>YKY23</v>
      </c>
      <c r="B59" s="6" t="str">
        <f>'Selected forecast drivers'!B59</f>
        <v>YKY</v>
      </c>
      <c r="C59" s="6">
        <f>'Selected forecast drivers'!C59</f>
        <v>2023</v>
      </c>
      <c r="D59" s="160">
        <f>EXP(Coeffs!$D$10+(Coeffs!$D$9*'Selected forecast drivers'!F59))</f>
        <v>31.779321847531708</v>
      </c>
      <c r="E59" s="160">
        <f>EXP(Coeffs!$E$10+(Coeffs!$E$9*'Selected forecast drivers'!F59))</f>
        <v>43.769199148973506</v>
      </c>
      <c r="F59" s="160">
        <f t="shared" si="2"/>
        <v>37.774260498252609</v>
      </c>
      <c r="G59" s="160">
        <f>Controls!$B$14*F59</f>
        <v>37.774260498252609</v>
      </c>
    </row>
    <row r="60" spans="1:7" x14ac:dyDescent="0.4">
      <c r="A60" s="6" t="str">
        <f>'Selected forecast drivers'!A60</f>
        <v>YKY24</v>
      </c>
      <c r="B60" s="6" t="str">
        <f>'Selected forecast drivers'!B60</f>
        <v>YKY</v>
      </c>
      <c r="C60" s="6">
        <f>'Selected forecast drivers'!C60</f>
        <v>2024</v>
      </c>
      <c r="D60" s="160">
        <f>EXP(Coeffs!$D$10+(Coeffs!$D$9*'Selected forecast drivers'!F60))</f>
        <v>31.75418017572099</v>
      </c>
      <c r="E60" s="160">
        <f>EXP(Coeffs!$E$10+(Coeffs!$E$9*'Selected forecast drivers'!F60))</f>
        <v>43.678645373771765</v>
      </c>
      <c r="F60" s="160">
        <f t="shared" si="2"/>
        <v>37.716412774746374</v>
      </c>
      <c r="G60" s="160">
        <f>Controls!$B$14*F60</f>
        <v>37.716412774746374</v>
      </c>
    </row>
    <row r="61" spans="1:7" x14ac:dyDescent="0.4">
      <c r="A61" s="6" t="str">
        <f>'Selected forecast drivers'!A61</f>
        <v>YKY25</v>
      </c>
      <c r="B61" s="6" t="str">
        <f>'Selected forecast drivers'!B61</f>
        <v>YKY</v>
      </c>
      <c r="C61" s="6">
        <f>'Selected forecast drivers'!C61</f>
        <v>2025</v>
      </c>
      <c r="D61" s="160">
        <f>EXP(Coeffs!$D$10+(Coeffs!$D$9*'Selected forecast drivers'!F61))</f>
        <v>31.784495405353905</v>
      </c>
      <c r="E61" s="160">
        <f>EXP(Coeffs!$E$10+(Coeffs!$E$9*'Selected forecast drivers'!F61))</f>
        <v>43.787847337909767</v>
      </c>
      <c r="F61" s="160">
        <f t="shared" si="2"/>
        <v>37.786171371631838</v>
      </c>
      <c r="G61" s="160">
        <f>Controls!$B$14*F61</f>
        <v>37.786171371631838</v>
      </c>
    </row>
  </sheetData>
  <mergeCells count="2">
    <mergeCell ref="F4:F6"/>
    <mergeCell ref="G4:G6"/>
  </mergeCells>
  <conditionalFormatting sqref="M7:M18 M21:M23">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M24"/>
  <sheetViews>
    <sheetView showGridLines="0" zoomScale="90" zoomScaleNormal="90" workbookViewId="0"/>
  </sheetViews>
  <sheetFormatPr defaultColWidth="9" defaultRowHeight="13.15" x14ac:dyDescent="0.4"/>
  <cols>
    <col min="1" max="1" width="2.625" style="32" customWidth="1"/>
    <col min="2" max="2" width="13.5" style="32" customWidth="1"/>
    <col min="3" max="3" width="17.5" style="32" customWidth="1"/>
    <col min="4" max="4" width="13.125" style="32" customWidth="1"/>
    <col min="5" max="5" width="11.5" style="32" customWidth="1"/>
    <col min="6" max="6" width="12.125" style="32" customWidth="1"/>
    <col min="7" max="7" width="13" style="32" customWidth="1"/>
    <col min="8" max="8" width="12.625" style="32" customWidth="1"/>
    <col min="9" max="9" width="11.625" style="32" customWidth="1"/>
    <col min="10" max="10" width="11" style="32" customWidth="1"/>
    <col min="11" max="11" width="12.125" style="32" customWidth="1"/>
    <col min="12" max="12" width="12" style="32" customWidth="1"/>
    <col min="13" max="13" width="11.5" style="32" customWidth="1"/>
    <col min="14" max="16384" width="9" style="5"/>
  </cols>
  <sheetData>
    <row r="1" spans="1:13" ht="18" x14ac:dyDescent="0.55000000000000004">
      <c r="A1" s="55"/>
      <c r="B1" s="55" t="s">
        <v>265</v>
      </c>
      <c r="C1" s="55"/>
      <c r="D1" s="55"/>
      <c r="E1" s="55"/>
      <c r="F1" s="55"/>
      <c r="G1" s="55"/>
      <c r="H1" s="55"/>
    </row>
    <row r="3" spans="1:13" ht="15.4" x14ac:dyDescent="0.6">
      <c r="B3" s="39" t="s">
        <v>47</v>
      </c>
      <c r="C3" s="40" t="s">
        <v>295</v>
      </c>
      <c r="D3" s="41"/>
      <c r="E3" s="41"/>
      <c r="F3" s="41"/>
      <c r="G3" s="41"/>
      <c r="H3" s="41"/>
    </row>
    <row r="4" spans="1:13" ht="15.4" x14ac:dyDescent="0.6">
      <c r="B4" s="39" t="s">
        <v>48</v>
      </c>
      <c r="C4" s="40" t="s">
        <v>296</v>
      </c>
      <c r="D4" s="41"/>
      <c r="E4" s="41"/>
      <c r="F4" s="41"/>
      <c r="G4" s="41"/>
      <c r="H4" s="41"/>
    </row>
    <row r="5" spans="1:13" ht="30.75" x14ac:dyDescent="0.6">
      <c r="B5" s="39" t="s">
        <v>49</v>
      </c>
      <c r="C5" s="158" t="s">
        <v>266</v>
      </c>
      <c r="D5" s="43"/>
      <c r="E5" s="43"/>
      <c r="F5" s="43"/>
      <c r="G5" s="43"/>
      <c r="H5" s="44"/>
      <c r="I5" s="45"/>
      <c r="J5" s="45"/>
    </row>
    <row r="6" spans="1:13" ht="15.4" x14ac:dyDescent="0.6">
      <c r="B6" s="39" t="s">
        <v>50</v>
      </c>
      <c r="C6" s="42" t="s">
        <v>216</v>
      </c>
      <c r="D6" s="43"/>
      <c r="E6" s="43"/>
      <c r="F6" s="43"/>
      <c r="G6" s="43"/>
      <c r="H6" s="46"/>
    </row>
    <row r="7" spans="1:13" ht="15.4" x14ac:dyDescent="0.6">
      <c r="B7" s="47" t="s">
        <v>51</v>
      </c>
      <c r="C7" s="48" t="s">
        <v>243</v>
      </c>
      <c r="D7" s="41"/>
      <c r="E7" s="41"/>
      <c r="F7" s="41"/>
      <c r="G7" s="41"/>
      <c r="H7" s="41"/>
    </row>
    <row r="10" spans="1:13" x14ac:dyDescent="0.4">
      <c r="A10" s="49" t="s">
        <v>52</v>
      </c>
    </row>
    <row r="11" spans="1:13" x14ac:dyDescent="0.4">
      <c r="A11" s="45"/>
      <c r="B11" s="45"/>
      <c r="C11" s="45"/>
      <c r="F11" s="45"/>
      <c r="G11" s="45"/>
      <c r="H11" s="45"/>
      <c r="I11" s="50"/>
      <c r="J11" s="45"/>
    </row>
    <row r="12" spans="1:13" ht="52.5" x14ac:dyDescent="0.4">
      <c r="C12" s="51" t="s">
        <v>6</v>
      </c>
      <c r="D12" s="80" t="s">
        <v>299</v>
      </c>
      <c r="E12" s="80" t="s">
        <v>53</v>
      </c>
      <c r="F12" s="80" t="s">
        <v>54</v>
      </c>
      <c r="G12" s="80" t="s">
        <v>55</v>
      </c>
      <c r="H12" s="80" t="s">
        <v>297</v>
      </c>
      <c r="I12" s="81" t="s">
        <v>298</v>
      </c>
      <c r="J12" s="60" t="s">
        <v>246</v>
      </c>
      <c r="K12" s="80" t="s">
        <v>250</v>
      </c>
      <c r="L12" s="80" t="s">
        <v>244</v>
      </c>
      <c r="M12" s="80" t="s">
        <v>56</v>
      </c>
    </row>
    <row r="13" spans="1:13" ht="14.25" x14ac:dyDescent="0.55000000000000004">
      <c r="B13" s="52">
        <v>1</v>
      </c>
      <c r="C13" s="34" t="s">
        <v>8</v>
      </c>
      <c r="D13" s="161">
        <f>SUMIFS(Data!$G$8:$G$175,Data!$B$8:$B$175,$C13,Data!$C$8:$C$175,"&gt;2020")</f>
        <v>474.61020068353008</v>
      </c>
      <c r="E13" s="161"/>
      <c r="F13" s="161"/>
      <c r="G13" s="161">
        <f>SUMIFS(Data!H$8:H$175,Data!$B$8:$B$175,$C13,Data!$C$8:$C$175,"&gt;2020")</f>
        <v>0</v>
      </c>
      <c r="H13" s="161">
        <f>D13+G13</f>
        <v>474.61020068353008</v>
      </c>
      <c r="I13" s="161">
        <f>SUMIFS('Modelled costs'!$G$7:$G$61,'Modelled costs'!$B$7:$B$61,$C13)</f>
        <v>382.1570266382933</v>
      </c>
      <c r="J13" s="162">
        <f>MIN(H13,I13)</f>
        <v>382.1570266382933</v>
      </c>
      <c r="K13" s="161">
        <v>0</v>
      </c>
      <c r="L13" s="161">
        <f t="shared" ref="L13:L23" si="0">$J13*$K13</f>
        <v>0</v>
      </c>
      <c r="M13" s="161">
        <f t="shared" ref="M13:M23" si="1">$J13*(1-$K13)</f>
        <v>382.1570266382933</v>
      </c>
    </row>
    <row r="14" spans="1:13" ht="14.25" x14ac:dyDescent="0.55000000000000004">
      <c r="B14" s="52">
        <v>2</v>
      </c>
      <c r="C14" s="34" t="s">
        <v>20</v>
      </c>
      <c r="D14" s="161">
        <f>SUMIFS(Data!$G$8:$G$175,Data!$B$8:$B$175,$C14,Data!$C$8:$C$175,"&gt;2020")</f>
        <v>0.58898701361529859</v>
      </c>
      <c r="E14" s="161"/>
      <c r="F14" s="161"/>
      <c r="G14" s="161">
        <f>SUMIFS(Data!H$8:H$175,Data!$B$8:$B$175,$C14,Data!$C$8:$C$175,"&gt;2020")</f>
        <v>0</v>
      </c>
      <c r="H14" s="161">
        <f t="shared" ref="H14:H23" si="2">D14+G14</f>
        <v>0.58898701361529859</v>
      </c>
      <c r="I14" s="161">
        <f>SUMIFS('Modelled costs'!$G$7:$G$61,'Modelled costs'!$B$7:$B$61,$C14)</f>
        <v>10.477345514389441</v>
      </c>
      <c r="J14" s="162">
        <f t="shared" ref="J14:J23" si="3">MIN(H14,I14)</f>
        <v>0.58898701361529859</v>
      </c>
      <c r="K14" s="161">
        <v>0</v>
      </c>
      <c r="L14" s="161">
        <f t="shared" si="0"/>
        <v>0</v>
      </c>
      <c r="M14" s="161">
        <f t="shared" si="1"/>
        <v>0.58898701361529859</v>
      </c>
    </row>
    <row r="15" spans="1:13" ht="14.25" x14ac:dyDescent="0.55000000000000004">
      <c r="B15" s="52">
        <v>3</v>
      </c>
      <c r="C15" s="34" t="s">
        <v>9</v>
      </c>
      <c r="D15" s="161">
        <f>SUMIFS(Data!$G$8:$G$175,Data!$B$8:$B$175,$C15,Data!$C$8:$C$175,"&gt;2020")</f>
        <v>110.133</v>
      </c>
      <c r="E15" s="161"/>
      <c r="F15" s="161"/>
      <c r="G15" s="161">
        <f>SUMIFS(Data!H$8:H$175,Data!$B$8:$B$175,$C15,Data!$C$8:$C$175,"&gt;2020")</f>
        <v>134.42500000000001</v>
      </c>
      <c r="H15" s="161">
        <f t="shared" si="2"/>
        <v>244.55799999999999</v>
      </c>
      <c r="I15" s="161">
        <f>SUMIFS('Modelled costs'!$G$7:$G$61,'Modelled costs'!$B$7:$B$61,$C15)</f>
        <v>99.248989861645484</v>
      </c>
      <c r="J15" s="162">
        <f t="shared" si="3"/>
        <v>99.248989861645484</v>
      </c>
      <c r="K15" s="161">
        <v>0</v>
      </c>
      <c r="L15" s="161">
        <f t="shared" si="0"/>
        <v>0</v>
      </c>
      <c r="M15" s="161">
        <f t="shared" si="1"/>
        <v>99.248989861645484</v>
      </c>
    </row>
    <row r="16" spans="1:13" ht="14.25" x14ac:dyDescent="0.55000000000000004">
      <c r="B16" s="52">
        <v>4</v>
      </c>
      <c r="C16" s="34" t="s">
        <v>10</v>
      </c>
      <c r="D16" s="161">
        <f>SUMIFS(Data!$G$8:$G$175,Data!$B$8:$B$175,$C16,Data!$C$8:$C$175,"&gt;2020")</f>
        <v>203.04123216921573</v>
      </c>
      <c r="E16" s="161"/>
      <c r="F16" s="161"/>
      <c r="G16" s="161">
        <f>SUMIFS(Data!H$8:H$175,Data!$B$8:$B$175,$C16,Data!$C$8:$C$175,"&gt;2020")</f>
        <v>0</v>
      </c>
      <c r="H16" s="161">
        <f t="shared" si="2"/>
        <v>203.04123216921573</v>
      </c>
      <c r="I16" s="161">
        <f>SUMIFS('Modelled costs'!$G$7:$G$61,'Modelled costs'!$B$7:$B$61,$C16)</f>
        <v>246.11827745717343</v>
      </c>
      <c r="J16" s="162">
        <f t="shared" si="3"/>
        <v>203.04123216921573</v>
      </c>
      <c r="K16" s="161">
        <v>0</v>
      </c>
      <c r="L16" s="161">
        <f t="shared" si="0"/>
        <v>0</v>
      </c>
      <c r="M16" s="161">
        <f t="shared" si="1"/>
        <v>203.04123216921573</v>
      </c>
    </row>
    <row r="17" spans="2:13" ht="14.25" x14ac:dyDescent="0.55000000000000004">
      <c r="B17" s="52">
        <v>5</v>
      </c>
      <c r="C17" s="34" t="s">
        <v>11</v>
      </c>
      <c r="D17" s="161">
        <f>SUMIFS(Data!$G$8:$G$175,Data!$B$8:$B$175,$C17,Data!$C$8:$C$175,"&gt;2020")</f>
        <v>273.16399999999999</v>
      </c>
      <c r="E17" s="161"/>
      <c r="F17" s="161"/>
      <c r="G17" s="161">
        <f>SUMIFS(Data!H$8:H$175,Data!$B$8:$B$175,$C17,Data!$C$8:$C$175,"&gt;2020")</f>
        <v>0</v>
      </c>
      <c r="H17" s="161">
        <f t="shared" si="2"/>
        <v>273.16399999999999</v>
      </c>
      <c r="I17" s="161">
        <f>SUMIFS('Modelled costs'!$G$7:$G$61,'Modelled costs'!$B$7:$B$61,$C17)</f>
        <v>205.69242336788605</v>
      </c>
      <c r="J17" s="162">
        <f t="shared" si="3"/>
        <v>205.69242336788605</v>
      </c>
      <c r="K17" s="161">
        <v>0</v>
      </c>
      <c r="L17" s="161">
        <f t="shared" si="0"/>
        <v>0</v>
      </c>
      <c r="M17" s="161">
        <f t="shared" si="1"/>
        <v>205.69242336788605</v>
      </c>
    </row>
    <row r="18" spans="2:13" ht="14.25" x14ac:dyDescent="0.55000000000000004">
      <c r="B18" s="52">
        <v>6</v>
      </c>
      <c r="C18" s="34" t="s">
        <v>19</v>
      </c>
      <c r="D18" s="161">
        <f>SUMIFS(Data!$G$8:$G$175,Data!$B$8:$B$175,$C18,Data!$C$8:$C$175,"&gt;2020")</f>
        <v>290.18900000000002</v>
      </c>
      <c r="E18" s="161"/>
      <c r="F18" s="161"/>
      <c r="G18" s="161">
        <f>SUMIFS(Data!H$8:H$175,Data!$B$8:$B$175,$C18,Data!$C$8:$C$175,"&gt;2020")</f>
        <v>0</v>
      </c>
      <c r="H18" s="161">
        <f t="shared" si="2"/>
        <v>290.18900000000002</v>
      </c>
      <c r="I18" s="161">
        <f>SUMIFS('Modelled costs'!$G$7:$G$61,'Modelled costs'!$B$7:$B$61,$C18)</f>
        <v>332.81987579629077</v>
      </c>
      <c r="J18" s="162">
        <f t="shared" si="3"/>
        <v>290.18900000000002</v>
      </c>
      <c r="K18" s="161">
        <v>0</v>
      </c>
      <c r="L18" s="161">
        <f t="shared" si="0"/>
        <v>0</v>
      </c>
      <c r="M18" s="161">
        <f t="shared" si="1"/>
        <v>290.18900000000002</v>
      </c>
    </row>
    <row r="19" spans="2:13" ht="14.25" x14ac:dyDescent="0.55000000000000004">
      <c r="B19" s="52">
        <v>7</v>
      </c>
      <c r="C19" s="34" t="s">
        <v>14</v>
      </c>
      <c r="D19" s="161">
        <f>SUMIFS(Data!$G$8:$G$175,Data!$B$8:$B$175,$C19,Data!$C$8:$C$175,"&gt;2020")</f>
        <v>88.454999999999998</v>
      </c>
      <c r="E19" s="161"/>
      <c r="F19" s="161"/>
      <c r="G19" s="161">
        <f>SUMIFS(Data!H$8:H$175,Data!$B$8:$B$175,$C19,Data!$C$8:$C$175,"&gt;2020")</f>
        <v>13.738999999999999</v>
      </c>
      <c r="H19" s="161">
        <f t="shared" si="2"/>
        <v>102.194</v>
      </c>
      <c r="I19" s="161">
        <f>SUMIFS('Modelled costs'!$G$7:$G$61,'Modelled costs'!$B$7:$B$61,$C19)</f>
        <v>75.495132248280186</v>
      </c>
      <c r="J19" s="162">
        <f t="shared" si="3"/>
        <v>75.495132248280186</v>
      </c>
      <c r="K19" s="161">
        <v>0</v>
      </c>
      <c r="L19" s="161">
        <f t="shared" si="0"/>
        <v>0</v>
      </c>
      <c r="M19" s="161">
        <f t="shared" si="1"/>
        <v>75.495132248280186</v>
      </c>
    </row>
    <row r="20" spans="2:13" ht="14.25" x14ac:dyDescent="0.55000000000000004">
      <c r="B20" s="52">
        <v>8</v>
      </c>
      <c r="C20" s="34" t="s">
        <v>15</v>
      </c>
      <c r="D20" s="161">
        <f>SUMIFS(Data!$G$8:$G$175,Data!$B$8:$B$175,$C20,Data!$C$8:$C$175,"&gt;2020")</f>
        <v>622.89193374305842</v>
      </c>
      <c r="E20" s="161"/>
      <c r="F20" s="161"/>
      <c r="G20" s="161">
        <f>SUMIFS(Data!H$8:H$175,Data!$B$8:$B$175,$C20,Data!$C$8:$C$175,"&gt;2020")</f>
        <v>0</v>
      </c>
      <c r="H20" s="161">
        <f t="shared" si="2"/>
        <v>622.89193374305842</v>
      </c>
      <c r="I20" s="161">
        <f>SUMIFS('Modelled costs'!$G$7:$G$61,'Modelled costs'!$B$7:$B$61,$C20)</f>
        <v>584.8285413580943</v>
      </c>
      <c r="J20" s="162">
        <f t="shared" si="3"/>
        <v>584.8285413580943</v>
      </c>
      <c r="K20" s="161">
        <v>0</v>
      </c>
      <c r="L20" s="161">
        <f t="shared" si="0"/>
        <v>0</v>
      </c>
      <c r="M20" s="161">
        <f t="shared" si="1"/>
        <v>584.8285413580943</v>
      </c>
    </row>
    <row r="21" spans="2:13" ht="14.25" x14ac:dyDescent="0.55000000000000004">
      <c r="B21" s="52">
        <v>9</v>
      </c>
      <c r="C21" s="34" t="s">
        <v>16</v>
      </c>
      <c r="D21" s="161">
        <f>SUMIFS(Data!$G$8:$G$175,Data!$B$8:$B$175,$C21,Data!$C$8:$C$175,"&gt;2020")</f>
        <v>130.82400000000001</v>
      </c>
      <c r="E21" s="161"/>
      <c r="F21" s="161"/>
      <c r="G21" s="161">
        <f>SUMIFS(Data!H$8:H$175,Data!$B$8:$B$175,$C21,Data!$C$8:$C$175,"&gt;2020")</f>
        <v>35.917000000000002</v>
      </c>
      <c r="H21" s="161">
        <f t="shared" si="2"/>
        <v>166.74100000000001</v>
      </c>
      <c r="I21" s="161">
        <f>SUMIFS('Modelled costs'!$G$7:$G$61,'Modelled costs'!$B$7:$B$61,$C21)</f>
        <v>90.758982578011796</v>
      </c>
      <c r="J21" s="162">
        <f t="shared" si="3"/>
        <v>90.758982578011796</v>
      </c>
      <c r="K21" s="161">
        <v>0</v>
      </c>
      <c r="L21" s="161">
        <f t="shared" si="0"/>
        <v>0</v>
      </c>
      <c r="M21" s="161">
        <f t="shared" si="1"/>
        <v>90.758982578011796</v>
      </c>
    </row>
    <row r="22" spans="2:13" ht="14.25" x14ac:dyDescent="0.55000000000000004">
      <c r="B22" s="52">
        <v>10</v>
      </c>
      <c r="C22" s="34" t="s">
        <v>17</v>
      </c>
      <c r="D22" s="161">
        <f>SUMIFS(Data!$G$8:$G$175,Data!$B$8:$B$175,$C22,Data!$C$8:$C$175,"&gt;2020")</f>
        <v>178.81308704423054</v>
      </c>
      <c r="E22" s="161"/>
      <c r="F22" s="161"/>
      <c r="G22" s="161">
        <f>SUMIFS(Data!H$8:H$175,Data!$B$8:$B$175,$C22,Data!$C$8:$C$175,"&gt;2020")</f>
        <v>0</v>
      </c>
      <c r="H22" s="161">
        <f t="shared" si="2"/>
        <v>178.81308704423054</v>
      </c>
      <c r="I22" s="161">
        <f>SUMIFS('Modelled costs'!$G$7:$G$61,'Modelled costs'!$B$7:$B$61,$C22)</f>
        <v>121.44449182784166</v>
      </c>
      <c r="J22" s="162">
        <f t="shared" si="3"/>
        <v>121.44449182784166</v>
      </c>
      <c r="K22" s="161">
        <v>0</v>
      </c>
      <c r="L22" s="161">
        <f t="shared" si="0"/>
        <v>0</v>
      </c>
      <c r="M22" s="161">
        <f t="shared" si="1"/>
        <v>121.44449182784166</v>
      </c>
    </row>
    <row r="23" spans="2:13" ht="14.25" x14ac:dyDescent="0.55000000000000004">
      <c r="B23" s="52">
        <v>11</v>
      </c>
      <c r="C23" s="34" t="s">
        <v>18</v>
      </c>
      <c r="D23" s="161">
        <f>SUMIFS(Data!$G$8:$G$175,Data!$B$8:$B$175,$C23,Data!$C$8:$C$175,"&gt;2020")</f>
        <v>147.52600000000001</v>
      </c>
      <c r="E23" s="161"/>
      <c r="F23" s="161"/>
      <c r="G23" s="161">
        <f>SUMIFS(Data!H$8:H$175,Data!$B$8:$B$175,$C23,Data!$C$8:$C$175,"&gt;2020")</f>
        <v>39.011000000000003</v>
      </c>
      <c r="H23" s="161">
        <f t="shared" si="2"/>
        <v>186.53700000000001</v>
      </c>
      <c r="I23" s="161">
        <f>SUMIFS('Modelled costs'!$G$7:$G$61,'Modelled costs'!$B$7:$B$61,$C23)</f>
        <v>192.08152733844457</v>
      </c>
      <c r="J23" s="162">
        <f t="shared" si="3"/>
        <v>186.53700000000001</v>
      </c>
      <c r="K23" s="161">
        <v>0</v>
      </c>
      <c r="L23" s="161">
        <f t="shared" si="0"/>
        <v>0</v>
      </c>
      <c r="M23" s="161">
        <f t="shared" si="1"/>
        <v>186.53700000000001</v>
      </c>
    </row>
    <row r="24" spans="2:13" ht="14.25" x14ac:dyDescent="0.55000000000000004">
      <c r="C24" s="53" t="s">
        <v>39</v>
      </c>
      <c r="D24" s="54">
        <f t="shared" ref="D24:H24" si="4">SUM(D13:D23)</f>
        <v>2520.2364406536499</v>
      </c>
      <c r="E24" s="54">
        <f t="shared" si="4"/>
        <v>0</v>
      </c>
      <c r="F24" s="54">
        <f t="shared" si="4"/>
        <v>0</v>
      </c>
      <c r="G24" s="54">
        <f t="shared" si="4"/>
        <v>223.09200000000001</v>
      </c>
      <c r="H24" s="54">
        <f t="shared" si="4"/>
        <v>2743.3284406536495</v>
      </c>
      <c r="I24" s="54">
        <f>SUM(I13:I23)</f>
        <v>2341.1226139863511</v>
      </c>
      <c r="J24" s="163">
        <f>SUM(J13:J23)</f>
        <v>2239.9818070628839</v>
      </c>
      <c r="K24" s="54"/>
      <c r="L24" s="54">
        <f>SUM(L13:L23)</f>
        <v>0</v>
      </c>
      <c r="M24" s="54">
        <f>SUM(M13:M23)</f>
        <v>2239.9818070628839</v>
      </c>
    </row>
  </sheetData>
  <dataValidations count="1">
    <dataValidation type="list" allowBlank="1" showInputMessage="1" showErrorMessage="1" sqref="C7:H7">
      <formula1>"Wholesale water, Wholesale wastewater"</formula1>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2:J16"/>
  <sheetViews>
    <sheetView showGridLines="0" zoomScale="80" zoomScaleNormal="80" workbookViewId="0"/>
  </sheetViews>
  <sheetFormatPr defaultColWidth="9" defaultRowHeight="13.15" x14ac:dyDescent="0.4"/>
  <cols>
    <col min="1" max="1" width="2.625" style="32" customWidth="1"/>
    <col min="2" max="2" width="13.5" style="32" customWidth="1"/>
    <col min="3" max="3" width="17.5" style="32" customWidth="1"/>
    <col min="4" max="4" width="19.875" style="32" customWidth="1"/>
    <col min="5" max="5" width="19.625" style="32" customWidth="1"/>
    <col min="6" max="6" width="20.125" style="32" customWidth="1"/>
    <col min="7" max="7" width="17.75" style="5" customWidth="1"/>
    <col min="8" max="8" width="14.125" style="5" customWidth="1"/>
    <col min="9" max="9" width="13.625" style="5" customWidth="1"/>
    <col min="10" max="10" width="14.125" style="5" customWidth="1"/>
    <col min="11" max="16384" width="9" style="5"/>
  </cols>
  <sheetData>
    <row r="2" spans="1:10" x14ac:dyDescent="0.4">
      <c r="A2" s="49" t="s">
        <v>268</v>
      </c>
    </row>
    <row r="3" spans="1:10" ht="30.75" customHeight="1" x14ac:dyDescent="0.4">
      <c r="A3" s="45"/>
      <c r="B3" s="45"/>
      <c r="C3" s="45"/>
      <c r="D3" s="83" t="s">
        <v>269</v>
      </c>
      <c r="E3" s="84"/>
      <c r="F3" s="84"/>
      <c r="G3" s="6"/>
      <c r="H3" s="90" t="s">
        <v>267</v>
      </c>
      <c r="I3" s="90"/>
      <c r="J3" s="90"/>
    </row>
    <row r="4" spans="1:10" ht="52.5" x14ac:dyDescent="0.4">
      <c r="C4" s="80" t="s">
        <v>6</v>
      </c>
      <c r="D4" s="80" t="s">
        <v>65</v>
      </c>
      <c r="E4" s="80" t="s">
        <v>66</v>
      </c>
      <c r="F4" s="80" t="s">
        <v>245</v>
      </c>
      <c r="G4" s="62" t="s">
        <v>246</v>
      </c>
      <c r="H4" s="89" t="s">
        <v>65</v>
      </c>
      <c r="I4" s="89" t="s">
        <v>66</v>
      </c>
      <c r="J4" s="89" t="s">
        <v>245</v>
      </c>
    </row>
    <row r="5" spans="1:10" ht="14.25" x14ac:dyDescent="0.55000000000000004">
      <c r="B5" s="52">
        <v>1</v>
      </c>
      <c r="C5" s="85" t="s">
        <v>8</v>
      </c>
      <c r="D5" s="86">
        <f>SUMIFS(Data!$D$8:$D$175,Data!$B$8:$B$175,$C5,Data!$C$8:$C$175,"&gt;2020")</f>
        <v>260.92394445257338</v>
      </c>
      <c r="E5" s="86">
        <f>SUMIFS(Data!$E$8:$E$175,Data!$B$8:$B$175,$C5,Data!$C$8:$C$175,"&gt;2020")</f>
        <v>163.82262121498383</v>
      </c>
      <c r="F5" s="86">
        <f>SUMIFS(Data!$F$8:$F$175,Data!$B$8:$B$175,$C5,Data!$C$8:$C$175,"&gt;2020")</f>
        <v>49.863635015972889</v>
      </c>
      <c r="G5" s="86">
        <f>INDEX(Allowance!$J$13:$J$24,MATCH('Apportioned allowances'!$C5,Allowance!$C$13:$C$24,0))</f>
        <v>382.1570266382933</v>
      </c>
      <c r="H5" s="86">
        <f>$G5*(D5/SUM($D5:$F5))</f>
        <v>210.09645103944962</v>
      </c>
      <c r="I5" s="86">
        <f t="shared" ref="I5:J15" si="0">$G5*(E5/SUM($D5:$F5))</f>
        <v>131.9102828583224</v>
      </c>
      <c r="J5" s="86">
        <f t="shared" si="0"/>
        <v>40.15029274052128</v>
      </c>
    </row>
    <row r="6" spans="1:10" ht="14.25" x14ac:dyDescent="0.55000000000000004">
      <c r="B6" s="52">
        <v>2</v>
      </c>
      <c r="C6" s="85" t="s">
        <v>20</v>
      </c>
      <c r="D6" s="86">
        <f>SUMIFS(Data!$D$8:$D$175,Data!$B$8:$B$175,$C6,Data!$C$8:$C$175,"&gt;2020")</f>
        <v>0.2110390697057819</v>
      </c>
      <c r="E6" s="86">
        <f>SUMIFS(Data!$E$8:$E$175,Data!$B$8:$B$175,$C6,Data!$C$8:$C$175,"&gt;2020")</f>
        <v>0.3779479439095168</v>
      </c>
      <c r="F6" s="86">
        <f>SUMIFS(Data!$F$8:$F$175,Data!$B$8:$B$175,$C6,Data!$C$8:$C$175,"&gt;2020")</f>
        <v>0</v>
      </c>
      <c r="G6" s="86">
        <f>INDEX(Allowance!$J$13:$J$24,MATCH('Apportioned allowances'!$C6,Allowance!$C$13:$C$24,0))</f>
        <v>0.58898701361529859</v>
      </c>
      <c r="H6" s="86">
        <f t="shared" ref="H6:H15" si="1">$G6*(D6/SUM($D6:$F6))</f>
        <v>0.21103906970578187</v>
      </c>
      <c r="I6" s="86">
        <f t="shared" si="0"/>
        <v>0.37794794390951675</v>
      </c>
      <c r="J6" s="86">
        <f t="shared" si="0"/>
        <v>0</v>
      </c>
    </row>
    <row r="7" spans="1:10" ht="14.25" x14ac:dyDescent="0.55000000000000004">
      <c r="B7" s="52">
        <v>3</v>
      </c>
      <c r="C7" s="85" t="s">
        <v>9</v>
      </c>
      <c r="D7" s="86">
        <f>SUMIFS(Data!$D$8:$D$175,Data!$B$8:$B$175,$C7,Data!$C$8:$C$175,"&gt;2020")</f>
        <v>15.689</v>
      </c>
      <c r="E7" s="86">
        <f>SUMIFS(Data!$E$8:$E$175,Data!$B$8:$B$175,$C7,Data!$C$8:$C$175,"&gt;2020")</f>
        <v>94.444000000000017</v>
      </c>
      <c r="F7" s="86">
        <f>SUMIFS(Data!$F$8:$F$175,Data!$B$8:$B$175,$C7,Data!$C$8:$C$175,"&gt;2020")</f>
        <v>0</v>
      </c>
      <c r="G7" s="86">
        <f>INDEX(Allowance!$J$13:$J$24,MATCH('Apportioned allowances'!$C7,Allowance!$C$13:$C$24,0))</f>
        <v>99.248989861645484</v>
      </c>
      <c r="H7" s="86">
        <f t="shared" si="1"/>
        <v>14.138517991331899</v>
      </c>
      <c r="I7" s="86">
        <f t="shared" si="0"/>
        <v>85.110471870313589</v>
      </c>
      <c r="J7" s="86">
        <f t="shared" si="0"/>
        <v>0</v>
      </c>
    </row>
    <row r="8" spans="1:10" ht="14.25" x14ac:dyDescent="0.55000000000000004">
      <c r="B8" s="52">
        <v>4</v>
      </c>
      <c r="C8" s="85" t="s">
        <v>10</v>
      </c>
      <c r="D8" s="86">
        <f>SUMIFS(Data!$D$8:$D$175,Data!$B$8:$B$175,$C8,Data!$C$8:$C$175,"&gt;2020")</f>
        <v>54.173232169200304</v>
      </c>
      <c r="E8" s="86">
        <f>SUMIFS(Data!$E$8:$E$175,Data!$B$8:$B$175,$C8,Data!$C$8:$C$175,"&gt;2020")</f>
        <v>46.53000000001542</v>
      </c>
      <c r="F8" s="86">
        <f>SUMIFS(Data!$F$8:$F$175,Data!$B$8:$B$175,$C8,Data!$C$8:$C$175,"&gt;2020")</f>
        <v>102.33800000000001</v>
      </c>
      <c r="G8" s="86">
        <f>INDEX(Allowance!$J$13:$J$24,MATCH('Apportioned allowances'!$C8,Allowance!$C$13:$C$24,0))</f>
        <v>203.04123216921573</v>
      </c>
      <c r="H8" s="86">
        <f t="shared" si="1"/>
        <v>54.173232169200304</v>
      </c>
      <c r="I8" s="86">
        <f t="shared" si="0"/>
        <v>46.53000000001542</v>
      </c>
      <c r="J8" s="86">
        <f t="shared" si="0"/>
        <v>102.33800000000002</v>
      </c>
    </row>
    <row r="9" spans="1:10" ht="14.25" x14ac:dyDescent="0.55000000000000004">
      <c r="B9" s="52">
        <v>5</v>
      </c>
      <c r="C9" s="85" t="s">
        <v>11</v>
      </c>
      <c r="D9" s="86">
        <f>SUMIFS(Data!$D$8:$D$175,Data!$B$8:$B$175,$C9,Data!$C$8:$C$175,"&gt;2020")</f>
        <v>139.24299999999999</v>
      </c>
      <c r="E9" s="86">
        <f>SUMIFS(Data!$E$8:$E$175,Data!$B$8:$B$175,$C9,Data!$C$8:$C$175,"&gt;2020")</f>
        <v>123.637</v>
      </c>
      <c r="F9" s="86">
        <f>SUMIFS(Data!$F$8:$F$175,Data!$B$8:$B$175,$C9,Data!$C$8:$C$175,"&gt;2020")</f>
        <v>10.284000000000001</v>
      </c>
      <c r="G9" s="86">
        <f>INDEX(Allowance!$J$13:$J$24,MATCH('Apportioned allowances'!$C9,Allowance!$C$13:$C$24,0))</f>
        <v>205.69242336788605</v>
      </c>
      <c r="H9" s="86">
        <f t="shared" si="1"/>
        <v>104.84994401537008</v>
      </c>
      <c r="I9" s="86">
        <f t="shared" si="0"/>
        <v>93.098629936358122</v>
      </c>
      <c r="J9" s="86">
        <f t="shared" si="0"/>
        <v>7.7438494161578415</v>
      </c>
    </row>
    <row r="10" spans="1:10" ht="14.25" x14ac:dyDescent="0.55000000000000004">
      <c r="B10" s="52">
        <v>6</v>
      </c>
      <c r="C10" s="85" t="s">
        <v>19</v>
      </c>
      <c r="D10" s="86">
        <f>SUMIFS(Data!$D$8:$D$175,Data!$B$8:$B$175,$C10,Data!$C$8:$C$175,"&gt;2020")</f>
        <v>70.417999999999992</v>
      </c>
      <c r="E10" s="86">
        <f>SUMIFS(Data!$E$8:$E$175,Data!$B$8:$B$175,$C10,Data!$C$8:$C$175,"&gt;2020")</f>
        <v>80.325999999999993</v>
      </c>
      <c r="F10" s="86">
        <f>SUMIFS(Data!$F$8:$F$175,Data!$B$8:$B$175,$C10,Data!$C$8:$C$175,"&gt;2020")</f>
        <v>139.44499999999999</v>
      </c>
      <c r="G10" s="86">
        <f>INDEX(Allowance!$J$13:$J$24,MATCH('Apportioned allowances'!$C10,Allowance!$C$13:$C$24,0))</f>
        <v>290.18900000000002</v>
      </c>
      <c r="H10" s="86">
        <f t="shared" si="1"/>
        <v>70.418000000000006</v>
      </c>
      <c r="I10" s="86">
        <f t="shared" si="0"/>
        <v>80.326000000000008</v>
      </c>
      <c r="J10" s="86">
        <f t="shared" si="0"/>
        <v>139.44500000000002</v>
      </c>
    </row>
    <row r="11" spans="1:10" ht="14.25" x14ac:dyDescent="0.55000000000000004">
      <c r="B11" s="52">
        <v>7</v>
      </c>
      <c r="C11" s="85" t="s">
        <v>14</v>
      </c>
      <c r="D11" s="86">
        <f>SUMIFS(Data!$D$8:$D$175,Data!$B$8:$B$175,$C11,Data!$C$8:$C$175,"&gt;2020")</f>
        <v>35.103000000000002</v>
      </c>
      <c r="E11" s="86">
        <f>SUMIFS(Data!$E$8:$E$175,Data!$B$8:$B$175,$C11,Data!$C$8:$C$175,"&gt;2020")</f>
        <v>40.671999999999997</v>
      </c>
      <c r="F11" s="86">
        <f>SUMIFS(Data!$F$8:$F$175,Data!$B$8:$B$175,$C11,Data!$C$8:$C$175,"&gt;2020")</f>
        <v>12.68</v>
      </c>
      <c r="G11" s="86">
        <f>INDEX(Allowance!$J$13:$J$24,MATCH('Apportioned allowances'!$C11,Allowance!$C$13:$C$24,0))</f>
        <v>75.495132248280186</v>
      </c>
      <c r="H11" s="86">
        <f t="shared" si="1"/>
        <v>29.959930216622904</v>
      </c>
      <c r="I11" s="86">
        <f t="shared" si="0"/>
        <v>34.712995520909516</v>
      </c>
      <c r="J11" s="86">
        <f t="shared" si="0"/>
        <v>10.822206510747755</v>
      </c>
    </row>
    <row r="12" spans="1:10" ht="14.25" x14ac:dyDescent="0.55000000000000004">
      <c r="B12" s="52">
        <v>8</v>
      </c>
      <c r="C12" s="85" t="s">
        <v>15</v>
      </c>
      <c r="D12" s="86">
        <f>SUMIFS(Data!$D$8:$D$175,Data!$B$8:$B$175,$C12,Data!$C$8:$C$175,"&gt;2020")</f>
        <v>153.86440415575839</v>
      </c>
      <c r="E12" s="86">
        <f>SUMIFS(Data!$E$8:$E$175,Data!$B$8:$B$175,$C12,Data!$C$8:$C$175,"&gt;2020")</f>
        <v>384.56138927170002</v>
      </c>
      <c r="F12" s="86">
        <f>SUMIFS(Data!$F$8:$F$175,Data!$B$8:$B$175,$C12,Data!$C$8:$C$175,"&gt;2020")</f>
        <v>84.466140315600001</v>
      </c>
      <c r="G12" s="86">
        <f>INDEX(Allowance!$J$13:$J$24,MATCH('Apportioned allowances'!$C12,Allowance!$C$13:$C$24,0))</f>
        <v>584.8285413580943</v>
      </c>
      <c r="H12" s="86">
        <f t="shared" si="1"/>
        <v>144.46212926312</v>
      </c>
      <c r="I12" s="86">
        <f t="shared" si="0"/>
        <v>361.06178964131908</v>
      </c>
      <c r="J12" s="86">
        <f t="shared" si="0"/>
        <v>79.304622453655227</v>
      </c>
    </row>
    <row r="13" spans="1:10" ht="14.25" x14ac:dyDescent="0.55000000000000004">
      <c r="B13" s="52">
        <v>9</v>
      </c>
      <c r="C13" s="85" t="s">
        <v>16</v>
      </c>
      <c r="D13" s="86">
        <f>SUMIFS(Data!$D$8:$D$175,Data!$B$8:$B$175,$C13,Data!$C$8:$C$175,"&gt;2020")</f>
        <v>37.012</v>
      </c>
      <c r="E13" s="86">
        <f>SUMIFS(Data!$E$8:$E$175,Data!$B$8:$B$175,$C13,Data!$C$8:$C$175,"&gt;2020")</f>
        <v>51.476999999999997</v>
      </c>
      <c r="F13" s="86">
        <f>SUMIFS(Data!$F$8:$F$175,Data!$B$8:$B$175,$C13,Data!$C$8:$C$175,"&gt;2020")</f>
        <v>42.335000000000001</v>
      </c>
      <c r="G13" s="86">
        <f>INDEX(Allowance!$J$13:$J$24,MATCH('Apportioned allowances'!$C13,Allowance!$C$13:$C$24,0))</f>
        <v>90.758982578011796</v>
      </c>
      <c r="H13" s="86">
        <f t="shared" si="1"/>
        <v>25.677027633900295</v>
      </c>
      <c r="I13" s="86">
        <f t="shared" si="0"/>
        <v>35.712102872319399</v>
      </c>
      <c r="J13" s="86">
        <f t="shared" si="0"/>
        <v>29.369852071792096</v>
      </c>
    </row>
    <row r="14" spans="1:10" ht="14.25" x14ac:dyDescent="0.55000000000000004">
      <c r="B14" s="52">
        <v>10</v>
      </c>
      <c r="C14" s="85" t="s">
        <v>17</v>
      </c>
      <c r="D14" s="86">
        <f>SUMIFS(Data!$D$8:$D$175,Data!$B$8:$B$175,$C14,Data!$C$8:$C$175,"&gt;2020")</f>
        <v>38.839374519230752</v>
      </c>
      <c r="E14" s="86">
        <f>SUMIFS(Data!$E$8:$E$175,Data!$B$8:$B$175,$C14,Data!$C$8:$C$175,"&gt;2020")</f>
        <v>59.999193294230778</v>
      </c>
      <c r="F14" s="86">
        <f>SUMIFS(Data!$F$8:$F$175,Data!$B$8:$B$175,$C14,Data!$C$8:$C$175,"&gt;2020")</f>
        <v>79.974519230769005</v>
      </c>
      <c r="G14" s="86">
        <f>INDEX(Allowance!$J$13:$J$24,MATCH('Apportioned allowances'!$C14,Allowance!$C$13:$C$24,0))</f>
        <v>121.44449182784166</v>
      </c>
      <c r="H14" s="86">
        <f t="shared" si="1"/>
        <v>26.378539621277628</v>
      </c>
      <c r="I14" s="86">
        <f t="shared" si="0"/>
        <v>40.749654626207096</v>
      </c>
      <c r="J14" s="86">
        <f t="shared" si="0"/>
        <v>54.316297580356924</v>
      </c>
    </row>
    <row r="15" spans="1:10" ht="14.25" x14ac:dyDescent="0.55000000000000004">
      <c r="B15" s="52">
        <v>11</v>
      </c>
      <c r="C15" s="85" t="s">
        <v>18</v>
      </c>
      <c r="D15" s="86">
        <f>SUMIFS(Data!$D$8:$D$175,Data!$B$8:$B$175,$C15,Data!$C$8:$C$175,"&gt;2020")</f>
        <v>38.714999999999996</v>
      </c>
      <c r="E15" s="86">
        <f>SUMIFS(Data!$E$8:$E$175,Data!$B$8:$B$175,$C15,Data!$C$8:$C$175,"&gt;2020")</f>
        <v>67.336999999999989</v>
      </c>
      <c r="F15" s="86">
        <f>SUMIFS(Data!$F$8:$F$175,Data!$B$8:$B$175,$C15,Data!$C$8:$C$175,"&gt;2020")</f>
        <v>41.473999999999997</v>
      </c>
      <c r="G15" s="86">
        <f>INDEX(Allowance!$J$13:$J$24,MATCH('Apportioned allowances'!$C15,Allowance!$C$13:$C$24,0))</f>
        <v>186.53700000000001</v>
      </c>
      <c r="H15" s="86">
        <f t="shared" si="1"/>
        <v>48.952591102585309</v>
      </c>
      <c r="I15" s="86">
        <f t="shared" si="0"/>
        <v>85.143242336943985</v>
      </c>
      <c r="J15" s="86">
        <f t="shared" si="0"/>
        <v>52.441166560470698</v>
      </c>
    </row>
    <row r="16" spans="1:10" ht="13.9" x14ac:dyDescent="0.4">
      <c r="C16" s="87" t="s">
        <v>39</v>
      </c>
      <c r="D16" s="88">
        <f t="shared" ref="D16:F16" si="2">SUM(D5:D15)</f>
        <v>844.19199436646863</v>
      </c>
      <c r="E16" s="88">
        <f t="shared" si="2"/>
        <v>1113.1841517248395</v>
      </c>
      <c r="F16" s="88">
        <f t="shared" si="2"/>
        <v>562.86029456234189</v>
      </c>
      <c r="G16" s="88">
        <f t="shared" ref="G16:J16" si="3">SUM(G5:G15)</f>
        <v>2239.9818070628839</v>
      </c>
      <c r="H16" s="88">
        <f t="shared" si="3"/>
        <v>729.31740212256375</v>
      </c>
      <c r="I16" s="88">
        <f t="shared" si="3"/>
        <v>994.73311760661807</v>
      </c>
      <c r="J16" s="88">
        <f t="shared" si="3"/>
        <v>515.9312873337019</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9</vt:i4>
      </vt:variant>
    </vt:vector>
  </HeadingPairs>
  <TitlesOfParts>
    <vt:vector size="9" baseType="lpstr">
      <vt:lpstr>Cover</vt:lpstr>
      <vt:lpstr>Controls</vt:lpstr>
      <vt:lpstr>Data</vt:lpstr>
      <vt:lpstr>Coeffs</vt:lpstr>
      <vt:lpstr>Forecast drivers</vt:lpstr>
      <vt:lpstr>Selected forecast drivers</vt:lpstr>
      <vt:lpstr>Modelled costs</vt:lpstr>
      <vt:lpstr>Allowance</vt:lpstr>
      <vt:lpstr>Apportioned allowances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2019-01-24T10:36:49Z</dcterms:created>
  <dcterms:modified xsi:type="dcterms:W3CDTF">2019-01-28T17:27:23Z</dcterms:modified>
</cp:coreProperties>
</file>