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codeName="ThisWorkbook" defaultThemeVersion="124226"/>
  <bookViews>
    <workbookView xWindow="0" yWindow="0" windowWidth="13680" windowHeight="8700" tabRatio="448"/>
  </bookViews>
  <sheets>
    <sheet name="Cover" sheetId="22" r:id="rId1"/>
    <sheet name="Data" sheetId="41" r:id="rId2"/>
    <sheet name="Analysis" sheetId="37" r:id="rId3"/>
    <sheet name="Deep dive_YKY" sheetId="82" r:id="rId4"/>
    <sheet name="Allowance" sheetId="81" r:id="rId5"/>
  </sheets>
  <calcPr calcId="152511"/>
</workbook>
</file>

<file path=xl/calcChain.xml><?xml version="1.0" encoding="utf-8"?>
<calcChain xmlns="http://schemas.openxmlformats.org/spreadsheetml/2006/main">
  <c r="Q19" i="37" l="1"/>
  <c r="Q18" i="37"/>
  <c r="Q17" i="37"/>
  <c r="Q16" i="37"/>
  <c r="Q15" i="37"/>
  <c r="Q14" i="37"/>
  <c r="Q13" i="37"/>
  <c r="Q12" i="37"/>
  <c r="Q11" i="37"/>
  <c r="Q10" i="37"/>
  <c r="Q9" i="37"/>
  <c r="Q8" i="37"/>
  <c r="P18" i="37"/>
  <c r="I15" i="81" l="1"/>
  <c r="I17" i="81"/>
  <c r="K24" i="81" l="1"/>
  <c r="F21" i="81"/>
  <c r="F16" i="81"/>
  <c r="F20" i="81" l="1"/>
  <c r="F15" i="81"/>
  <c r="E24" i="81"/>
  <c r="F19" i="81"/>
  <c r="F17" i="81"/>
  <c r="F22" i="81"/>
  <c r="F14" i="81" l="1"/>
  <c r="F18" i="81"/>
  <c r="A53" i="41" l="1"/>
  <c r="A58" i="41"/>
  <c r="A54" i="41"/>
  <c r="A59" i="41" l="1"/>
  <c r="A55" i="41"/>
  <c r="A60" i="41" l="1"/>
  <c r="A56" i="41"/>
  <c r="A57" i="41"/>
  <c r="A62" i="41" l="1"/>
  <c r="A61" i="41"/>
  <c r="B5" i="37" l="1"/>
  <c r="B4" i="37"/>
  <c r="K11" i="37" l="1"/>
  <c r="K10" i="37"/>
  <c r="K8" i="37"/>
  <c r="K13" i="37"/>
  <c r="K14" i="37"/>
  <c r="K15" i="37"/>
  <c r="K12" i="37"/>
  <c r="K16" i="37"/>
  <c r="K17" i="37"/>
  <c r="K18" i="37"/>
  <c r="K9" i="37"/>
  <c r="K19" i="37" l="1"/>
  <c r="C8" i="37" l="1"/>
  <c r="C10" i="37" l="1"/>
  <c r="F8" i="37"/>
  <c r="D10" i="37"/>
  <c r="E10" i="37"/>
  <c r="D16" i="37"/>
  <c r="F14" i="37"/>
  <c r="F17" i="37"/>
  <c r="D14" i="37"/>
  <c r="C14" i="37"/>
  <c r="D8" i="37"/>
  <c r="F11" i="37"/>
  <c r="C18" i="37"/>
  <c r="F18" i="37"/>
  <c r="F13" i="37"/>
  <c r="D18" i="37"/>
  <c r="C16" i="37"/>
  <c r="C15" i="37"/>
  <c r="E12" i="37"/>
  <c r="G18" i="37"/>
  <c r="E15" i="37"/>
  <c r="E17" i="37"/>
  <c r="C12" i="37"/>
  <c r="E18" i="37"/>
  <c r="D11" i="37"/>
  <c r="F16" i="37"/>
  <c r="E11" i="37"/>
  <c r="E16" i="37"/>
  <c r="D12" i="37"/>
  <c r="D9" i="37"/>
  <c r="F9" i="37"/>
  <c r="E13" i="37"/>
  <c r="E14" i="37"/>
  <c r="D13" i="37"/>
  <c r="F10" i="37"/>
  <c r="E8" i="37"/>
  <c r="F15" i="37"/>
  <c r="C11" i="37"/>
  <c r="F12" i="37"/>
  <c r="E9" i="37"/>
  <c r="C9" i="37"/>
  <c r="C17" i="37"/>
  <c r="D17" i="37"/>
  <c r="D15" i="37"/>
  <c r="C13" i="37"/>
  <c r="H18" i="37" l="1"/>
  <c r="F19" i="37"/>
  <c r="G10" i="37"/>
  <c r="G17" i="37"/>
  <c r="E19" i="37"/>
  <c r="G13" i="37"/>
  <c r="G16" i="37"/>
  <c r="H16" i="37" s="1"/>
  <c r="G14" i="37"/>
  <c r="H14" i="37" s="1"/>
  <c r="G9" i="37"/>
  <c r="C19" i="37"/>
  <c r="G12" i="37"/>
  <c r="D19" i="37"/>
  <c r="G11" i="37"/>
  <c r="H11" i="37" s="1"/>
  <c r="G15" i="37"/>
  <c r="H15" i="37" s="1"/>
  <c r="D20" i="81" l="1"/>
  <c r="D16" i="81"/>
  <c r="D21" i="81"/>
  <c r="D19" i="81"/>
  <c r="D23" i="81"/>
  <c r="H12" i="37"/>
  <c r="H17" i="37"/>
  <c r="H13" i="37"/>
  <c r="H10" i="37"/>
  <c r="H9" i="37"/>
  <c r="G8" i="37"/>
  <c r="H8" i="37" s="1"/>
  <c r="D22" i="81" l="1"/>
  <c r="H22" i="81" s="1"/>
  <c r="I17" i="37" s="1"/>
  <c r="D14" i="81"/>
  <c r="H14" i="81" s="1"/>
  <c r="I9" i="37" s="1"/>
  <c r="D17" i="81"/>
  <c r="D13" i="81"/>
  <c r="D15" i="81"/>
  <c r="H15" i="81" s="1"/>
  <c r="I10" i="37" s="1"/>
  <c r="L10" i="37" s="1"/>
  <c r="D18" i="81"/>
  <c r="H18" i="81" s="1"/>
  <c r="I13" i="37" s="1"/>
  <c r="G19" i="37"/>
  <c r="O17" i="37" l="1"/>
  <c r="L17" i="37"/>
  <c r="O13" i="37"/>
  <c r="L13" i="37"/>
  <c r="I14" i="81"/>
  <c r="L9" i="37"/>
  <c r="H17" i="81"/>
  <c r="I12" i="37" s="1"/>
  <c r="L12" i="37" s="1"/>
  <c r="H21" i="81"/>
  <c r="I16" i="37" s="1"/>
  <c r="H16" i="81"/>
  <c r="I11" i="37" s="1"/>
  <c r="H20" i="81"/>
  <c r="I15" i="37" s="1"/>
  <c r="H19" i="81"/>
  <c r="I14" i="37" s="1"/>
  <c r="I18" i="81" l="1"/>
  <c r="I22" i="81"/>
  <c r="O16" i="37"/>
  <c r="L16" i="37"/>
  <c r="O14" i="37"/>
  <c r="L14" i="37"/>
  <c r="O15" i="37"/>
  <c r="L15" i="37"/>
  <c r="L11" i="37"/>
  <c r="O11" i="37"/>
  <c r="J18" i="81"/>
  <c r="D24" i="81"/>
  <c r="I19" i="81" l="1"/>
  <c r="I16" i="81"/>
  <c r="I20" i="81"/>
  <c r="I21" i="81"/>
  <c r="M18" i="81"/>
  <c r="L18" i="81"/>
  <c r="J14" i="81" l="1"/>
  <c r="L14" i="81" l="1"/>
  <c r="M14" i="81"/>
  <c r="H19" i="37" l="1"/>
  <c r="I19" i="37" s="1"/>
  <c r="L19" i="37" s="1"/>
  <c r="J15" i="81" l="1"/>
  <c r="J17" i="81"/>
  <c r="L17" i="81" l="1"/>
  <c r="M17" i="81"/>
  <c r="M15" i="81"/>
  <c r="L15" i="81"/>
  <c r="J20" i="81"/>
  <c r="J16" i="81"/>
  <c r="J19" i="81"/>
  <c r="J21" i="81"/>
  <c r="M21" i="81" l="1"/>
  <c r="L21" i="81"/>
  <c r="M16" i="81"/>
  <c r="L16" i="81"/>
  <c r="M19" i="81"/>
  <c r="L19" i="81"/>
  <c r="L20" i="81"/>
  <c r="M20" i="81"/>
  <c r="J22" i="81"/>
  <c r="M22" i="81" l="1"/>
  <c r="L22" i="81"/>
  <c r="D7" i="82" l="1"/>
  <c r="F23" i="81" l="1"/>
  <c r="H23" i="81"/>
  <c r="I18" i="37" l="1"/>
  <c r="C6" i="82" l="1"/>
  <c r="E6" i="82" s="1"/>
  <c r="E7" i="82" s="1"/>
  <c r="C7" i="82" s="1"/>
  <c r="L18" i="37"/>
  <c r="I23" i="81" l="1"/>
  <c r="J23" i="81" s="1"/>
  <c r="L23" i="81" l="1"/>
  <c r="M23" i="81"/>
  <c r="F13" i="81" l="1"/>
  <c r="F24" i="81" s="1"/>
  <c r="H13" i="81"/>
  <c r="G24" i="81"/>
  <c r="H24" i="81" l="1"/>
  <c r="I8" i="37"/>
  <c r="L8" i="37" l="1"/>
  <c r="O8" i="37"/>
  <c r="I13" i="81" l="1"/>
  <c r="O19" i="37"/>
  <c r="I24" i="81" l="1"/>
  <c r="J13" i="81"/>
  <c r="M13" i="81" l="1"/>
  <c r="M24" i="81" s="1"/>
  <c r="L13" i="81"/>
  <c r="L24" i="81" s="1"/>
  <c r="J24" i="81"/>
</calcChain>
</file>

<file path=xl/sharedStrings.xml><?xml version="1.0" encoding="utf-8"?>
<sst xmlns="http://schemas.openxmlformats.org/spreadsheetml/2006/main" count="213" uniqueCount="121">
  <si>
    <t>ANH</t>
  </si>
  <si>
    <t>NES</t>
  </si>
  <si>
    <t>NWT</t>
  </si>
  <si>
    <t>SRN</t>
  </si>
  <si>
    <t>SWB</t>
  </si>
  <si>
    <t>TMS</t>
  </si>
  <si>
    <t>WSH</t>
  </si>
  <si>
    <t>WSX</t>
  </si>
  <si>
    <t>YKY</t>
  </si>
  <si>
    <t>Industry</t>
  </si>
  <si>
    <t>Company</t>
  </si>
  <si>
    <t>Assessor's name</t>
  </si>
  <si>
    <t>Control</t>
  </si>
  <si>
    <t>Shallow dive</t>
  </si>
  <si>
    <t>ANH21</t>
  </si>
  <si>
    <t>ANH22</t>
  </si>
  <si>
    <t>ANH23</t>
  </si>
  <si>
    <t>ANH24</t>
  </si>
  <si>
    <t>ANH25</t>
  </si>
  <si>
    <t>NES21</t>
  </si>
  <si>
    <t>NES22</t>
  </si>
  <si>
    <t>NES23</t>
  </si>
  <si>
    <t>NES24</t>
  </si>
  <si>
    <t>NES25</t>
  </si>
  <si>
    <t>NWT21</t>
  </si>
  <si>
    <t>NWT22</t>
  </si>
  <si>
    <t>NWT23</t>
  </si>
  <si>
    <t>NWT24</t>
  </si>
  <si>
    <t>NWT25</t>
  </si>
  <si>
    <t>SRN21</t>
  </si>
  <si>
    <t>SRN22</t>
  </si>
  <si>
    <t>SRN23</t>
  </si>
  <si>
    <t>SRN24</t>
  </si>
  <si>
    <t>SRN25</t>
  </si>
  <si>
    <t>SWB21</t>
  </si>
  <si>
    <t>SWB22</t>
  </si>
  <si>
    <t>SWB23</t>
  </si>
  <si>
    <t>SWB24</t>
  </si>
  <si>
    <t>SWB25</t>
  </si>
  <si>
    <t>TMS21</t>
  </si>
  <si>
    <t>TMS22</t>
  </si>
  <si>
    <t>TMS23</t>
  </si>
  <si>
    <t>TMS24</t>
  </si>
  <si>
    <t>TMS25</t>
  </si>
  <si>
    <t>WSH21</t>
  </si>
  <si>
    <t>WSH22</t>
  </si>
  <si>
    <t>WSH23</t>
  </si>
  <si>
    <t>WSH24</t>
  </si>
  <si>
    <t>WSH25</t>
  </si>
  <si>
    <t>WSX21</t>
  </si>
  <si>
    <t>WSX22</t>
  </si>
  <si>
    <t>WSX23</t>
  </si>
  <si>
    <t>WSX24</t>
  </si>
  <si>
    <t>WSX25</t>
  </si>
  <si>
    <t>YKY21</t>
  </si>
  <si>
    <t>YKY22</t>
  </si>
  <si>
    <t>YKY23</t>
  </si>
  <si>
    <t>YKY24</t>
  </si>
  <si>
    <t>YKY25</t>
  </si>
  <si>
    <t>SVE</t>
  </si>
  <si>
    <t>HDD</t>
  </si>
  <si>
    <t>Cover sheet</t>
  </si>
  <si>
    <t>S3040TCAS</t>
  </si>
  <si>
    <t>S3011CAS</t>
  </si>
  <si>
    <t>£m, Enhancement capex wastewater, WINEP / NEP ~ Investigations</t>
  </si>
  <si>
    <t>realS3011CAS</t>
  </si>
  <si>
    <t>Wholesale wastewater</t>
  </si>
  <si>
    <t>Total</t>
  </si>
  <si>
    <t>Data</t>
  </si>
  <si>
    <t>Materiality</t>
  </si>
  <si>
    <t>Approach</t>
  </si>
  <si>
    <t xml:space="preserve">Allowed costs </t>
  </si>
  <si>
    <t>Peer review (initials, date)</t>
  </si>
  <si>
    <t>BoN code</t>
  </si>
  <si>
    <t>Enhancement line</t>
  </si>
  <si>
    <t>Cost allowance for AMP7 (£m)</t>
  </si>
  <si>
    <t>Capex allowed - network plus</t>
  </si>
  <si>
    <t>Capex carried through deep dive AMP7  (£m)</t>
  </si>
  <si>
    <t>Assessment gates</t>
  </si>
  <si>
    <t>References</t>
  </si>
  <si>
    <t>Need for investment</t>
  </si>
  <si>
    <t>N/A</t>
  </si>
  <si>
    <t>[Insert reference to evidence]</t>
  </si>
  <si>
    <t>Need for adjustment</t>
  </si>
  <si>
    <t>Management control</t>
  </si>
  <si>
    <t>Best option for customers</t>
  </si>
  <si>
    <t>Robustness and efficiency of costs</t>
  </si>
  <si>
    <t>Customer protection</t>
  </si>
  <si>
    <t>Affordability</t>
  </si>
  <si>
    <t>Board assurance</t>
  </si>
  <si>
    <t>Ofwat view of allowance for AMP7 (£m)</t>
  </si>
  <si>
    <t>Capex in business plan - wholesale water</t>
  </si>
  <si>
    <t>Capex reallocated out to other lines</t>
  </si>
  <si>
    <t>Capex reallocated in to this line</t>
  </si>
  <si>
    <t>Net Capex reallocated in</t>
  </si>
  <si>
    <t>Capex allowed - wholesale wastewater</t>
  </si>
  <si>
    <t>Proportion of bioresources</t>
  </si>
  <si>
    <t>Capex allowed - bioresources</t>
  </si>
  <si>
    <t>Deep dive</t>
  </si>
  <si>
    <t>Shallow dive allowance</t>
  </si>
  <si>
    <t>Deep dive allowance</t>
  </si>
  <si>
    <t>Wholesale wastewater totex</t>
  </si>
  <si>
    <t>£m prices 2017-18</t>
  </si>
  <si>
    <t>WINEP / NEP Investigations - capex</t>
  </si>
  <si>
    <t>Deep dive sheet - Yorkshire Water</t>
  </si>
  <si>
    <t>Summary</t>
  </si>
  <si>
    <t>Year</t>
  </si>
  <si>
    <t>Code</t>
  </si>
  <si>
    <t>AMP7 total</t>
  </si>
  <si>
    <t>AMP7</t>
  </si>
  <si>
    <t>Company efficiency challenge</t>
  </si>
  <si>
    <t>Analysis</t>
  </si>
  <si>
    <t>Materiality analysis and shallow dive</t>
  </si>
  <si>
    <t>AMP7 total plus reallocations</t>
  </si>
  <si>
    <t>Rejected as HDD does not have any wastewater WINEP investigation lines</t>
  </si>
  <si>
    <t>MG 22/01/2019</t>
  </si>
  <si>
    <t>Capex after reallocations</t>
  </si>
  <si>
    <t>Modelled allowance</t>
  </si>
  <si>
    <t>DN</t>
  </si>
  <si>
    <t>AMP7 wholesale wastewater totex</t>
  </si>
  <si>
    <t>Final Ofwat allowance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</si>
</sst>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0.000"/>
    <numFmt numFmtId="166" formatCode="#,##0_);\(#,##0\);&quot;-  &quot;;&quot; &quot;@&quot; &quot;"/>
    <numFmt numFmtId="167" formatCode="0.0%"/>
    <numFmt numFmtId="168" formatCode="_-* #,##0.0_-;\-* #,##0.0_-;_-* &quot;-&quot;??_-;_-@_-"/>
    <numFmt numFmtId="169" formatCode="_(* #,##0.0_);_(* \(#,##0.0\);_(* &quot;-&quot;??_);_(@_)"/>
    <numFmt numFmtId="170" formatCode="_(* #,##0_);_(* \(#,##0\);_(* &quot;-&quot;??_);_(@_)"/>
  </numFmts>
  <fonts count="25"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1"/>
      <color indexed="8"/>
      <name val="Calibri"/>
      <family val="2"/>
      <scheme val="minor"/>
    </font>
    <font>
      <sz val="11"/>
      <color theme="1"/>
      <name val="Calibri"/>
      <family val="2"/>
      <scheme val="minor"/>
    </font>
    <font>
      <b/>
      <sz val="14"/>
      <color theme="1"/>
      <name val="Calibri"/>
      <family val="2"/>
      <scheme val="minor"/>
    </font>
    <font>
      <b/>
      <sz val="14"/>
      <color theme="1"/>
      <name val="Gill Sans MT"/>
      <family val="2"/>
    </font>
    <font>
      <sz val="10"/>
      <color theme="1"/>
      <name val="Calibri"/>
      <family val="2"/>
      <scheme val="minor"/>
    </font>
    <font>
      <sz val="9"/>
      <name val="Gill Sans MT"/>
      <family val="2"/>
    </font>
    <font>
      <sz val="11"/>
      <color theme="1"/>
      <name val="Gill Sans MT"/>
      <family val="2"/>
    </font>
    <font>
      <i/>
      <sz val="11"/>
      <color rgb="FF7F7F7F"/>
      <name val="Arial"/>
      <family val="2"/>
    </font>
    <font>
      <b/>
      <sz val="10"/>
      <color theme="1"/>
      <name val="Calibri"/>
      <family val="2"/>
      <scheme val="minor"/>
    </font>
    <font>
      <sz val="14"/>
      <color theme="3"/>
      <name val="Calibri"/>
      <family val="2"/>
      <scheme val="minor"/>
    </font>
    <font>
      <sz val="12"/>
      <color theme="3"/>
      <name val="Calibri"/>
      <family val="2"/>
      <scheme val="minor"/>
    </font>
    <font>
      <i/>
      <sz val="10"/>
      <color rgb="FF7F7F7F"/>
      <name val="Calibri"/>
      <family val="2"/>
      <scheme val="minor"/>
    </font>
    <font>
      <b/>
      <sz val="10"/>
      <name val="Calibri"/>
      <family val="2"/>
      <scheme val="minor"/>
    </font>
    <font>
      <sz val="10"/>
      <name val="Calibri"/>
      <family val="2"/>
      <scheme val="minor"/>
    </font>
    <font>
      <b/>
      <i/>
      <sz val="10"/>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theme="9"/>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theme="0" tint="-0.499984740745262"/>
      </bottom>
      <diagonal/>
    </border>
  </borders>
  <cellStyleXfs count="23">
    <xf numFmtId="0" fontId="0" fillId="0" borderId="0"/>
    <xf numFmtId="0" fontId="9" fillId="0" borderId="0"/>
    <xf numFmtId="0" fontId="8" fillId="0" borderId="0"/>
    <xf numFmtId="0" fontId="10" fillId="0" borderId="0"/>
    <xf numFmtId="0" fontId="11" fillId="0" borderId="0"/>
    <xf numFmtId="0" fontId="7" fillId="0" borderId="0"/>
    <xf numFmtId="164" fontId="11" fillId="0" borderId="0" applyFont="0" applyFill="0" applyBorder="0" applyAlignment="0" applyProtection="0"/>
    <xf numFmtId="9" fontId="11" fillId="0" borderId="0" applyFont="0" applyFill="0" applyBorder="0" applyAlignment="0" applyProtection="0"/>
    <xf numFmtId="0" fontId="6" fillId="0" borderId="0"/>
    <xf numFmtId="166" fontId="5" fillId="0" borderId="0" applyFont="0" applyFill="0" applyBorder="0" applyProtection="0">
      <alignment vertical="top"/>
    </xf>
    <xf numFmtId="0" fontId="11" fillId="0" borderId="0"/>
    <xf numFmtId="164" fontId="11" fillId="0" borderId="0" applyFont="0" applyFill="0" applyBorder="0" applyAlignment="0" applyProtection="0"/>
    <xf numFmtId="0" fontId="4" fillId="0" borderId="0"/>
    <xf numFmtId="0" fontId="3" fillId="0" borderId="0"/>
    <xf numFmtId="0" fontId="3" fillId="0" borderId="0"/>
    <xf numFmtId="164" fontId="11" fillId="0" borderId="0" applyFont="0" applyFill="0" applyBorder="0" applyAlignment="0" applyProtection="0"/>
    <xf numFmtId="0" fontId="11" fillId="0" borderId="0"/>
    <xf numFmtId="0" fontId="2" fillId="0" borderId="0"/>
    <xf numFmtId="0" fontId="17" fillId="0" borderId="0" applyNumberForma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1" fillId="0" borderId="0" applyFont="0" applyFill="0" applyBorder="0" applyAlignment="0" applyProtection="0"/>
  </cellStyleXfs>
  <cellXfs count="89">
    <xf numFmtId="0" fontId="0" fillId="0" borderId="0" xfId="0"/>
    <xf numFmtId="0" fontId="12" fillId="3" borderId="0" xfId="10" applyFont="1" applyFill="1" applyAlignment="1">
      <alignment vertical="center"/>
    </xf>
    <xf numFmtId="0" fontId="14" fillId="0" borderId="0" xfId="0" applyFont="1"/>
    <xf numFmtId="0" fontId="14" fillId="0" borderId="1" xfId="0" applyFont="1" applyBorder="1" applyAlignment="1">
      <alignment vertical="center"/>
    </xf>
    <xf numFmtId="0" fontId="13" fillId="3" borderId="2" xfId="10" applyFont="1" applyFill="1" applyBorder="1"/>
    <xf numFmtId="0" fontId="15" fillId="3" borderId="5" xfId="1" applyFont="1" applyFill="1" applyBorder="1"/>
    <xf numFmtId="0" fontId="16" fillId="0" borderId="0" xfId="0" applyFont="1"/>
    <xf numFmtId="0" fontId="16" fillId="0" borderId="0" xfId="0" applyFont="1" applyAlignment="1">
      <alignment horizontal="center" vertical="center"/>
    </xf>
    <xf numFmtId="0" fontId="12" fillId="3" borderId="0" xfId="0" applyFont="1" applyFill="1"/>
    <xf numFmtId="0" fontId="18" fillId="0" borderId="0" xfId="0" applyFont="1"/>
    <xf numFmtId="0" fontId="18" fillId="2" borderId="1" xfId="0" applyFont="1" applyFill="1" applyBorder="1" applyAlignment="1">
      <alignment horizontal="left" wrapText="1"/>
    </xf>
    <xf numFmtId="0" fontId="18" fillId="2" borderId="1" xfId="0" quotePrefix="1" applyFont="1" applyFill="1" applyBorder="1" applyAlignment="1">
      <alignment horizontal="left" wrapText="1"/>
    </xf>
    <xf numFmtId="0" fontId="18" fillId="6" borderId="1" xfId="0" applyFont="1" applyFill="1" applyBorder="1" applyAlignment="1">
      <alignment horizontal="left" wrapText="1"/>
    </xf>
    <xf numFmtId="0" fontId="14" fillId="0" borderId="0" xfId="0" applyFont="1" applyAlignment="1">
      <alignment vertical="center"/>
    </xf>
    <xf numFmtId="0" fontId="14" fillId="0" borderId="0" xfId="0" applyFont="1" applyAlignment="1">
      <alignment vertical="top" wrapText="1"/>
    </xf>
    <xf numFmtId="2" fontId="14" fillId="0" borderId="1" xfId="0" applyNumberFormat="1" applyFont="1" applyFill="1" applyBorder="1" applyAlignment="1">
      <alignment vertical="center"/>
    </xf>
    <xf numFmtId="2" fontId="14" fillId="0" borderId="1" xfId="0" applyNumberFormat="1" applyFont="1" applyBorder="1" applyAlignment="1">
      <alignment vertical="center"/>
    </xf>
    <xf numFmtId="2" fontId="14" fillId="0" borderId="1" xfId="16" applyNumberFormat="1" applyFont="1" applyFill="1" applyBorder="1" applyAlignment="1">
      <alignment vertical="center"/>
    </xf>
    <xf numFmtId="0" fontId="14" fillId="0" borderId="1" xfId="0" applyFont="1" applyFill="1" applyBorder="1" applyAlignment="1">
      <alignment vertical="center"/>
    </xf>
    <xf numFmtId="2" fontId="14" fillId="0" borderId="0" xfId="0" applyNumberFormat="1" applyFont="1"/>
    <xf numFmtId="0" fontId="14" fillId="0" borderId="0" xfId="0" applyFont="1" applyAlignment="1">
      <alignment horizontal="right"/>
    </xf>
    <xf numFmtId="0" fontId="19" fillId="0" borderId="0" xfId="0" applyFont="1" applyAlignment="1">
      <alignment vertical="center"/>
    </xf>
    <xf numFmtId="0" fontId="14" fillId="4" borderId="1" xfId="0" applyFont="1" applyFill="1" applyBorder="1" applyAlignment="1">
      <alignment vertical="top" wrapText="1"/>
    </xf>
    <xf numFmtId="0" fontId="20" fillId="0" borderId="0" xfId="0" applyFont="1" applyAlignment="1">
      <alignment vertical="center"/>
    </xf>
    <xf numFmtId="0" fontId="18" fillId="3" borderId="0" xfId="0" applyFont="1" applyFill="1"/>
    <xf numFmtId="0" fontId="14" fillId="5" borderId="1" xfId="0" applyFont="1" applyFill="1" applyBorder="1" applyAlignment="1">
      <alignment horizontal="left"/>
    </xf>
    <xf numFmtId="0" fontId="14" fillId="0" borderId="1" xfId="0" applyFont="1" applyBorder="1" applyAlignment="1"/>
    <xf numFmtId="0" fontId="14" fillId="0" borderId="0" xfId="0" applyFont="1" applyBorder="1" applyAlignment="1"/>
    <xf numFmtId="14" fontId="14" fillId="0" borderId="1" xfId="0" applyNumberFormat="1" applyFont="1" applyBorder="1"/>
    <xf numFmtId="0" fontId="14" fillId="0" borderId="0" xfId="0" applyFont="1" applyBorder="1"/>
    <xf numFmtId="0" fontId="14" fillId="0" borderId="0" xfId="0" applyFont="1" applyBorder="1" applyAlignment="1" applyProtection="1">
      <alignment horizontal="left"/>
      <protection locked="0"/>
    </xf>
    <xf numFmtId="0" fontId="21" fillId="0" borderId="0" xfId="18" applyFont="1"/>
    <xf numFmtId="14" fontId="14" fillId="0" borderId="0" xfId="0" applyNumberFormat="1" applyFont="1" applyBorder="1" applyAlignment="1" applyProtection="1">
      <alignment horizontal="left"/>
      <protection locked="0"/>
    </xf>
    <xf numFmtId="0" fontId="14" fillId="0" borderId="6" xfId="0" applyFont="1" applyBorder="1" applyAlignment="1">
      <alignment vertical="top"/>
    </xf>
    <xf numFmtId="0" fontId="14" fillId="0" borderId="6" xfId="0" applyFont="1" applyBorder="1" applyAlignment="1"/>
    <xf numFmtId="0" fontId="14" fillId="0" borderId="0" xfId="0" applyFont="1" applyFill="1"/>
    <xf numFmtId="0" fontId="14" fillId="0" borderId="1" xfId="19" applyFont="1" applyBorder="1" applyAlignment="1">
      <alignment horizontal="center"/>
    </xf>
    <xf numFmtId="0" fontId="14" fillId="0" borderId="1" xfId="19" applyFont="1" applyBorder="1"/>
    <xf numFmtId="168" fontId="14" fillId="0" borderId="1" xfId="6" applyNumberFormat="1" applyFont="1" applyBorder="1"/>
    <xf numFmtId="168" fontId="14" fillId="6" borderId="1" xfId="6" applyNumberFormat="1" applyFont="1" applyFill="1" applyBorder="1"/>
    <xf numFmtId="165" fontId="14" fillId="0" borderId="1" xfId="0" applyNumberFormat="1" applyFont="1" applyBorder="1"/>
    <xf numFmtId="0" fontId="18" fillId="0" borderId="1" xfId="19" applyFont="1" applyBorder="1"/>
    <xf numFmtId="164" fontId="14" fillId="0" borderId="0" xfId="0" applyNumberFormat="1" applyFont="1"/>
    <xf numFmtId="0" fontId="18" fillId="3" borderId="0" xfId="10" applyFont="1" applyFill="1" applyAlignment="1">
      <alignment vertical="center"/>
    </xf>
    <xf numFmtId="0" fontId="22" fillId="0" borderId="0" xfId="0" applyFont="1"/>
    <xf numFmtId="0" fontId="23" fillId="0" borderId="0" xfId="1" applyFont="1"/>
    <xf numFmtId="0" fontId="23" fillId="0" borderId="0" xfId="0" applyFont="1"/>
    <xf numFmtId="0" fontId="18" fillId="0" borderId="0" xfId="10" applyFont="1" applyAlignment="1">
      <alignment vertical="center"/>
    </xf>
    <xf numFmtId="0" fontId="14" fillId="0" borderId="1" xfId="0" applyFont="1" applyBorder="1" applyAlignment="1">
      <alignment vertical="top"/>
    </xf>
    <xf numFmtId="0" fontId="14" fillId="0" borderId="1" xfId="0" applyFont="1" applyBorder="1" applyAlignment="1">
      <alignment horizontal="left" wrapText="1"/>
    </xf>
    <xf numFmtId="0" fontId="14" fillId="0" borderId="0" xfId="0" applyFont="1" applyAlignment="1">
      <alignment horizontal="left" wrapText="1"/>
    </xf>
    <xf numFmtId="0" fontId="14" fillId="0" borderId="3" xfId="0" applyFont="1" applyBorder="1" applyAlignment="1">
      <alignment horizontal="left" wrapText="1"/>
    </xf>
    <xf numFmtId="0" fontId="14" fillId="0" borderId="1" xfId="0" applyFont="1" applyBorder="1"/>
    <xf numFmtId="0" fontId="24" fillId="0" borderId="0" xfId="0" applyFont="1" applyAlignment="1">
      <alignment horizontal="left" indent="1"/>
    </xf>
    <xf numFmtId="0" fontId="14" fillId="0" borderId="1" xfId="0" applyFont="1" applyBorder="1" applyAlignment="1">
      <alignment vertical="top" wrapText="1"/>
    </xf>
    <xf numFmtId="0" fontId="14" fillId="0" borderId="0" xfId="0" applyFont="1" applyBorder="1" applyAlignment="1">
      <alignment vertical="top"/>
    </xf>
    <xf numFmtId="1" fontId="18" fillId="0" borderId="0" xfId="0" applyNumberFormat="1" applyFont="1" applyAlignment="1">
      <alignment vertical="center" wrapText="1"/>
    </xf>
    <xf numFmtId="0" fontId="18" fillId="0" borderId="0" xfId="0" applyFont="1" applyFill="1"/>
    <xf numFmtId="169" fontId="22" fillId="0" borderId="1" xfId="6" applyNumberFormat="1" applyFont="1" applyBorder="1" applyAlignment="1">
      <alignment vertical="center"/>
    </xf>
    <xf numFmtId="169" fontId="18" fillId="0" borderId="1" xfId="6" applyNumberFormat="1" applyFont="1" applyBorder="1" applyAlignment="1">
      <alignment vertical="center" wrapText="1"/>
    </xf>
    <xf numFmtId="170" fontId="22" fillId="0" borderId="1" xfId="6" applyNumberFormat="1" applyFont="1" applyBorder="1" applyAlignment="1">
      <alignment vertical="center"/>
    </xf>
    <xf numFmtId="0" fontId="18" fillId="0" borderId="2" xfId="0" applyFont="1" applyBorder="1" applyAlignment="1">
      <alignment horizontal="centerContinuous"/>
    </xf>
    <xf numFmtId="0" fontId="18" fillId="0" borderId="5" xfId="0" applyFont="1" applyBorder="1" applyAlignment="1">
      <alignment horizontal="centerContinuous"/>
    </xf>
    <xf numFmtId="0" fontId="18" fillId="0" borderId="4" xfId="0" applyFont="1" applyBorder="1" applyAlignment="1">
      <alignment horizontal="centerContinuous"/>
    </xf>
    <xf numFmtId="0" fontId="18" fillId="0" borderId="1" xfId="0" applyFont="1" applyBorder="1" applyAlignment="1">
      <alignment horizontal="centerContinuous"/>
    </xf>
    <xf numFmtId="169" fontId="14" fillId="0" borderId="1" xfId="6" applyNumberFormat="1" applyFont="1" applyBorder="1" applyAlignment="1">
      <alignment vertical="center" wrapText="1"/>
    </xf>
    <xf numFmtId="169" fontId="23" fillId="0" borderId="1" xfId="6" applyNumberFormat="1" applyFont="1" applyBorder="1" applyAlignment="1">
      <alignment vertical="center"/>
    </xf>
    <xf numFmtId="0" fontId="14" fillId="0" borderId="0" xfId="0" applyFont="1" applyFill="1" applyBorder="1"/>
    <xf numFmtId="10" fontId="22" fillId="0" borderId="1" xfId="7" applyNumberFormat="1" applyFont="1" applyBorder="1" applyAlignment="1">
      <alignment vertical="center"/>
    </xf>
    <xf numFmtId="170" fontId="23" fillId="0" borderId="1" xfId="6" applyNumberFormat="1" applyFont="1" applyBorder="1" applyAlignment="1">
      <alignment vertical="center"/>
    </xf>
    <xf numFmtId="10" fontId="23" fillId="0" borderId="1" xfId="7" applyNumberFormat="1" applyFont="1" applyBorder="1" applyAlignment="1">
      <alignment vertical="center"/>
    </xf>
    <xf numFmtId="164" fontId="22" fillId="0" borderId="1" xfId="6" applyNumberFormat="1" applyFont="1" applyBorder="1" applyAlignment="1">
      <alignment vertical="center"/>
    </xf>
    <xf numFmtId="0" fontId="20" fillId="0" borderId="0" xfId="0" applyFont="1"/>
    <xf numFmtId="0" fontId="19" fillId="0" borderId="0" xfId="0" applyFont="1"/>
    <xf numFmtId="169" fontId="22" fillId="0" borderId="1" xfId="6" applyNumberFormat="1" applyFont="1" applyBorder="1"/>
    <xf numFmtId="169" fontId="18" fillId="6" borderId="1" xfId="6" applyNumberFormat="1" applyFont="1" applyFill="1" applyBorder="1"/>
    <xf numFmtId="164" fontId="14" fillId="0" borderId="1" xfId="6" applyFont="1" applyBorder="1"/>
    <xf numFmtId="0" fontId="14" fillId="0" borderId="1" xfId="0" applyFont="1" applyBorder="1" applyAlignment="1">
      <alignment horizontal="center"/>
    </xf>
    <xf numFmtId="167" fontId="14" fillId="0" borderId="1" xfId="7" applyNumberFormat="1" applyFont="1" applyBorder="1" applyAlignment="1">
      <alignment horizontal="center"/>
    </xf>
    <xf numFmtId="164" fontId="14" fillId="0" borderId="0" xfId="6" applyFont="1"/>
    <xf numFmtId="9" fontId="23" fillId="0" borderId="1" xfId="7" applyNumberFormat="1" applyFont="1" applyBorder="1" applyAlignment="1">
      <alignment vertical="center"/>
    </xf>
    <xf numFmtId="9" fontId="14" fillId="0" borderId="1" xfId="0" applyNumberFormat="1" applyFont="1" applyBorder="1"/>
    <xf numFmtId="0" fontId="18" fillId="4" borderId="1" xfId="0" applyFont="1" applyFill="1" applyBorder="1" applyAlignment="1">
      <alignment wrapText="1"/>
    </xf>
    <xf numFmtId="169" fontId="14" fillId="4" borderId="1" xfId="6" applyNumberFormat="1" applyFont="1" applyFill="1" applyBorder="1" applyAlignment="1">
      <alignment horizontal="right" vertical="center" wrapText="1"/>
    </xf>
    <xf numFmtId="0" fontId="18" fillId="4" borderId="1" xfId="6" applyNumberFormat="1" applyFont="1" applyFill="1" applyBorder="1" applyAlignment="1">
      <alignment horizontal="center"/>
    </xf>
    <xf numFmtId="169" fontId="18" fillId="4" borderId="1" xfId="6" applyNumberFormat="1" applyFont="1" applyFill="1" applyBorder="1" applyAlignment="1">
      <alignment horizontal="center" wrapText="1"/>
    </xf>
    <xf numFmtId="0" fontId="18" fillId="4" borderId="1" xfId="0" applyFont="1" applyFill="1" applyBorder="1" applyAlignment="1">
      <alignment horizontal="left" wrapText="1"/>
    </xf>
    <xf numFmtId="165" fontId="18" fillId="0" borderId="1" xfId="0" applyNumberFormat="1" applyFont="1" applyBorder="1"/>
    <xf numFmtId="164" fontId="18" fillId="0" borderId="1" xfId="0" applyNumberFormat="1" applyFont="1" applyBorder="1"/>
  </cellXfs>
  <cellStyles count="23">
    <cellStyle name="Comma" xfId="6" builtinId="3"/>
    <cellStyle name="Comma 2" xfId="11"/>
    <cellStyle name="Comma 2 2" xfId="22"/>
    <cellStyle name="Comma 3" xfId="15"/>
    <cellStyle name="Comma 4 2" xfId="20"/>
    <cellStyle name="Explanatory Text" xfId="18" builtinId="53"/>
    <cellStyle name="Normal" xfId="0" builtinId="0"/>
    <cellStyle name="Normal 2" xfId="4"/>
    <cellStyle name="Normal 2 2" xfId="1"/>
    <cellStyle name="Normal 2 2 2" xfId="10"/>
    <cellStyle name="Normal 2 6" xfId="16"/>
    <cellStyle name="Normal 20" xfId="9"/>
    <cellStyle name="Normal 3" xfId="2"/>
    <cellStyle name="Normal 3 2" xfId="13"/>
    <cellStyle name="Normal 4" xfId="5"/>
    <cellStyle name="Normal 4 2" xfId="14"/>
    <cellStyle name="Normal 5" xfId="8"/>
    <cellStyle name="Normal 5 2" xfId="12"/>
    <cellStyle name="Normal 5 2 2" xfId="19"/>
    <cellStyle name="Normal 6" xfId="17"/>
    <cellStyle name="Normal 9" xfId="3"/>
    <cellStyle name="Percent" xfId="7" builtinId="5"/>
    <cellStyle name="Percent 2" xfId="21"/>
  </cellStyles>
  <dxfs count="8">
    <dxf>
      <font>
        <color theme="0"/>
      </font>
    </dxf>
    <dxf>
      <font>
        <color theme="0"/>
      </font>
    </dxf>
    <dxf>
      <font>
        <color theme="0"/>
      </font>
    </dxf>
    <dxf>
      <font>
        <color theme="0"/>
      </font>
    </dxf>
    <dxf>
      <font>
        <color theme="0"/>
      </font>
    </dxf>
    <dxf>
      <font>
        <color theme="0"/>
      </font>
    </dxf>
    <dxf>
      <font>
        <color theme="0"/>
      </font>
    </dxf>
    <dxf>
      <font>
        <color theme="6"/>
      </font>
      <fill>
        <patternFill>
          <bgColor theme="6" tint="0.59996337778862885"/>
        </patternFill>
      </fill>
    </dxf>
  </dxfs>
  <tableStyles count="0" defaultTableStyle="TableStyleMedium2" defaultPivotStyle="PivotStyleMedium9"/>
  <colors>
    <mruColors>
      <color rgb="FFFFF1C5"/>
      <color rgb="FFD2ECB6"/>
      <color rgb="FFFFD9D9"/>
      <color rgb="FFE23114"/>
      <color rgb="FFFFABAB"/>
      <color rgb="FFFFC5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4</xdr:col>
      <xdr:colOff>6350</xdr:colOff>
      <xdr:row>12</xdr:row>
      <xdr:rowOff>148167</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84667" y="476250"/>
          <a:ext cx="8642350" cy="2370667"/>
        </a:xfrm>
        <a:prstGeom prst="rect">
          <a:avLst/>
        </a:prstGeom>
        <a:solidFill>
          <a:schemeClr val="bg2">
            <a:lumMod val="75000"/>
          </a:schemeClr>
        </a:solidFill>
        <a:ln w="12700" cmpd="sng">
          <a:solidFill>
            <a:schemeClr val="tx1"/>
          </a:solidFill>
        </a:ln>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i="0" u="sng">
              <a:solidFill>
                <a:schemeClr val="dk1"/>
              </a:solidFill>
              <a:effectLst/>
              <a:latin typeface="+mn-lt"/>
              <a:ea typeface="+mn-ea"/>
              <a:cs typeface="+mn-cs"/>
            </a:rPr>
            <a:t>Investigations enhancement feeder model</a:t>
          </a:r>
          <a:endParaRPr lang="en-GB" sz="1100" b="1" i="0" u="sng" baseline="0">
            <a:solidFill>
              <a:schemeClr val="dk1"/>
            </a:solidFill>
            <a:effectLst/>
            <a:latin typeface="+mn-lt"/>
            <a:ea typeface="+mn-ea"/>
            <a:cs typeface="+mn-cs"/>
          </a:endParaRPr>
        </a:p>
        <a:p>
          <a:endParaRPr lang="en-GB" sz="1000">
            <a:effectLst/>
          </a:endParaRPr>
        </a:p>
        <a:p>
          <a:r>
            <a:rPr lang="en-GB" sz="1100" b="1" baseline="0">
              <a:solidFill>
                <a:schemeClr val="dk1"/>
              </a:solidFill>
              <a:effectLst/>
              <a:latin typeface="+mn-lt"/>
              <a:ea typeface="+mn-ea"/>
              <a:cs typeface="+mn-cs"/>
            </a:rPr>
            <a:t>Objective</a:t>
          </a:r>
          <a:endParaRPr lang="en-GB" sz="1000">
            <a:effectLst/>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To assess enhancement capex expenditure submitted by companies in their PR19 business plan submissions as pre-defined enhancement capex lines.</a:t>
          </a:r>
        </a:p>
        <a:p>
          <a:endParaRPr lang="en-GB" sz="1100" baseline="0">
            <a:solidFill>
              <a:schemeClr val="dk1"/>
            </a:solidFill>
            <a:effectLst/>
            <a:latin typeface="+mn-lt"/>
            <a:ea typeface="+mn-ea"/>
            <a:cs typeface="+mn-cs"/>
          </a:endParaRPr>
        </a:p>
        <a:p>
          <a:r>
            <a:rPr lang="en-GB" sz="1100" b="1" baseline="0">
              <a:solidFill>
                <a:schemeClr val="dk1"/>
              </a:solidFill>
              <a:effectLst/>
              <a:latin typeface="+mn-lt"/>
              <a:ea typeface="+mn-ea"/>
              <a:cs typeface="+mn-cs"/>
            </a:rPr>
            <a:t>Approach</a:t>
          </a:r>
        </a:p>
        <a:p>
          <a:endParaRPr lang="en-GB" sz="1100" baseline="0">
            <a:solidFill>
              <a:schemeClr val="dk1"/>
            </a:solidFill>
            <a:effectLst/>
            <a:latin typeface="+mn-lt"/>
            <a:ea typeface="+mn-ea"/>
            <a:cs typeface="+mn-cs"/>
          </a:endParaRPr>
        </a:p>
        <a:p>
          <a:r>
            <a:rPr lang="en-GB" sz="1100">
              <a:solidFill>
                <a:schemeClr val="dk1"/>
              </a:solidFill>
              <a:effectLst/>
              <a:latin typeface="+mn-lt"/>
              <a:ea typeface="+mn-ea"/>
              <a:cs typeface="+mn-cs"/>
            </a:rPr>
            <a:t>We assess the costs for WINEP/NEP investigations using our shallow dive and deep dive process depending on the materiality of the investment. We apply a company-specific efficiency challenge for lines classed as not material. For companies whose costs are material, we carry out a deep dive using the information the companies provide in their business plan submissions.</a:t>
          </a:r>
        </a:p>
        <a:p>
          <a:endParaRPr lang="en-GB" sz="1100" baseline="0">
            <a:solidFill>
              <a:schemeClr val="dk1"/>
            </a:solidFill>
            <a:effectLst/>
            <a:latin typeface="+mn-lt"/>
            <a:ea typeface="+mn-ea"/>
            <a:cs typeface="+mn-cs"/>
          </a:endParaRPr>
        </a:p>
        <a:p>
          <a:endParaRPr lang="en-GB" sz="1100" baseline="0">
            <a:solidFill>
              <a:schemeClr val="dk1"/>
            </a:solidFill>
            <a:effectLst/>
            <a:latin typeface="+mn-lt"/>
            <a:ea typeface="+mn-ea"/>
            <a:cs typeface="+mn-cs"/>
          </a:endParaRPr>
        </a:p>
        <a:p>
          <a:endParaRPr lang="en-GB" sz="1100"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1768078</xdr:colOff>
      <xdr:row>39</xdr:row>
      <xdr:rowOff>184545</xdr:rowOff>
    </xdr:from>
    <xdr:ext cx="2976563" cy="482203"/>
    <xdr:sp macro="" textlink="">
      <xdr:nvSpPr>
        <xdr:cNvPr id="2" name="TextBox 1">
          <a:extLst>
            <a:ext uri="{FF2B5EF4-FFF2-40B4-BE49-F238E27FC236}">
              <a16:creationId xmlns:a16="http://schemas.microsoft.com/office/drawing/2014/main" xmlns="" id="{00000000-0008-0000-0400-000003000000}"/>
            </a:ext>
          </a:extLst>
        </xdr:cNvPr>
        <xdr:cNvSpPr txBox="1"/>
      </xdr:nvSpPr>
      <xdr:spPr>
        <a:xfrm>
          <a:off x="1910953" y="10161983"/>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12138</xdr:colOff>
      <xdr:row>17</xdr:row>
      <xdr:rowOff>89297</xdr:rowOff>
    </xdr:from>
    <xdr:ext cx="11257127" cy="4742452"/>
    <xdr:sp macro="" textlink="">
      <xdr:nvSpPr>
        <xdr:cNvPr id="3" name="TextBox 2">
          <a:extLst>
            <a:ext uri="{FF2B5EF4-FFF2-40B4-BE49-F238E27FC236}">
              <a16:creationId xmlns:a16="http://schemas.microsoft.com/office/drawing/2014/main" xmlns="" id="{00000000-0008-0000-0400-000005000000}"/>
            </a:ext>
          </a:extLst>
        </xdr:cNvPr>
        <xdr:cNvSpPr txBox="1"/>
      </xdr:nvSpPr>
      <xdr:spPr>
        <a:xfrm>
          <a:off x="155013" y="3839766"/>
          <a:ext cx="11257127" cy="4742452"/>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endParaRPr lang="en-GB" sz="1100"/>
        </a:p>
        <a:p>
          <a:r>
            <a:rPr lang="en-GB" sz="1100" b="1"/>
            <a:t>Claim:</a:t>
          </a:r>
          <a:r>
            <a:rPr lang="en-GB" sz="1100"/>
            <a:t> YKY is claiming £35.9m in relation to the</a:t>
          </a:r>
          <a:r>
            <a:rPr lang="en-GB" sz="1100" baseline="0"/>
            <a:t> investigation of 158 assets identified as its most frequently spilling combined sewer overflows (CSOs). These sites also appear on the WINEP list under the U_INV driver code.</a:t>
          </a:r>
          <a:endParaRPr lang="en-GB" sz="1100"/>
        </a:p>
        <a:p>
          <a:endParaRPr lang="en-GB" sz="1100" b="1"/>
        </a:p>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Summary: </a:t>
          </a:r>
          <a:r>
            <a:rPr lang="en-GB" sz="1100" b="0">
              <a:solidFill>
                <a:schemeClr val="dk1"/>
              </a:solidFill>
              <a:effectLst/>
              <a:latin typeface="+mn-lt"/>
              <a:ea typeface="+mn-ea"/>
              <a:cs typeface="+mn-cs"/>
            </a:rPr>
            <a:t>We propose to reduce YKY's claim by 20% to (£28.7m)</a:t>
          </a:r>
          <a:r>
            <a:rPr lang="en-GB" sz="1100" b="0" baseline="0">
              <a:solidFill>
                <a:schemeClr val="dk1"/>
              </a:solidFill>
              <a:effectLst/>
              <a:latin typeface="+mn-lt"/>
              <a:ea typeface="+mn-ea"/>
              <a:cs typeface="+mn-cs"/>
            </a:rPr>
            <a:t> </a:t>
          </a:r>
          <a:r>
            <a:rPr lang="en-GB" sz="1100" b="0">
              <a:solidFill>
                <a:schemeClr val="dk1"/>
              </a:solidFill>
              <a:effectLst/>
              <a:latin typeface="+mn-lt"/>
              <a:ea typeface="+mn-ea"/>
              <a:cs typeface="+mn-cs"/>
            </a:rPr>
            <a:t>as we consider that the</a:t>
          </a:r>
          <a:r>
            <a:rPr lang="en-GB" sz="1100" b="0" baseline="0">
              <a:solidFill>
                <a:schemeClr val="dk1"/>
              </a:solidFill>
              <a:effectLst/>
              <a:latin typeface="+mn-lt"/>
              <a:ea typeface="+mn-ea"/>
              <a:cs typeface="+mn-cs"/>
            </a:rPr>
            <a:t> scope of work is uncertain and  that YKY has not demonstrated that its costs are efficient. YKY</a:t>
          </a:r>
          <a:r>
            <a:rPr lang="en-GB" sz="1100" b="0">
              <a:solidFill>
                <a:schemeClr val="dk1"/>
              </a:solidFill>
              <a:effectLst/>
              <a:latin typeface="+mn-lt"/>
              <a:ea typeface="+mn-ea"/>
              <a:cs typeface="+mn-cs"/>
            </a:rPr>
            <a:t> has based its claim on a worst case scenario (i.e. all</a:t>
          </a:r>
          <a:r>
            <a:rPr lang="en-GB" sz="1100" b="0" baseline="0">
              <a:solidFill>
                <a:schemeClr val="dk1"/>
              </a:solidFill>
              <a:effectLst/>
              <a:latin typeface="+mn-lt"/>
              <a:ea typeface="+mn-ea"/>
              <a:cs typeface="+mn-cs"/>
            </a:rPr>
            <a:t> sites needing environmental assessments) but this is unlikely to be the case in reality. In addition, it has based its forecasts on historical costs, but does not provide any evidence to show that these costs are efficient or how they compare with other water companies.</a:t>
          </a:r>
          <a:endParaRPr lang="en-GB">
            <a:effectLst/>
          </a:endParaRPr>
        </a:p>
        <a:p>
          <a:endParaRPr lang="en-GB" sz="1100" b="1"/>
        </a:p>
        <a:p>
          <a:r>
            <a:rPr lang="en-GB" sz="1100" b="1"/>
            <a:t>Claim details</a:t>
          </a:r>
        </a:p>
        <a:p>
          <a:r>
            <a:rPr lang="en-GB" sz="1100" b="0" baseline="0">
              <a:solidFill>
                <a:sysClr val="windowText" lastClr="000000"/>
              </a:solidFill>
            </a:rPr>
            <a:t>Where the number of CSOs at a site exceeds the 'trigger number' as set out in the Storm Overflow Assessment Framework (SOAF), an investigation is required to identify the cause. If the cause is due to capacity reasons (as opposed to weather conditions or operational reasons for example) then environmental, societal and ecological impact assessments are required. Environmental models are required where an ecological impact is either identified or where an impact assessment cannot be carried out.</a:t>
          </a:r>
        </a:p>
        <a:p>
          <a:endParaRPr lang="en-GB" sz="1100" b="0" baseline="0">
            <a:solidFill>
              <a:sysClr val="windowText" lastClr="000000"/>
            </a:solidFill>
          </a:endParaRPr>
        </a:p>
        <a:p>
          <a:r>
            <a:rPr lang="en-GB" sz="1100" b="0" baseline="0">
              <a:solidFill>
                <a:sysClr val="windowText" lastClr="000000"/>
              </a:solidFill>
            </a:rPr>
            <a:t>The SOAF is comprised of 1) Aesthetic impact (including amenity and public complaint), 2) invertebrate (biological) impact and 3) water quality impact. YKY based its cost forecast on the basis of all 158 sites requiring environmental and societal impact assessments and that 75 environmental modelling (UPM) surveys will be required to cover all of these sites (YKY provided an example cost of £472k per UPM survey). </a:t>
          </a:r>
        </a:p>
        <a:p>
          <a:endParaRPr lang="en-GB" sz="1100" b="1" baseline="0">
            <a:solidFill>
              <a:sysClr val="windowText" lastClr="000000"/>
            </a:solidFill>
          </a:endParaRPr>
        </a:p>
        <a:p>
          <a:r>
            <a:rPr lang="en-GB" sz="1100" b="1" baseline="0">
              <a:solidFill>
                <a:sysClr val="windowText" lastClr="000000"/>
              </a:solidFill>
            </a:rPr>
            <a:t>Issues</a:t>
          </a:r>
        </a:p>
        <a:p>
          <a:r>
            <a:rPr lang="en-GB" sz="1100" b="0" baseline="0">
              <a:solidFill>
                <a:sysClr val="windowText" lastClr="000000"/>
              </a:solidFill>
            </a:rPr>
            <a:t>- YKY acknowledges that it has not provided an estimate of how many sites would not need further investigations (i.e. those where cause of overflows is not due to capacity reasons).</a:t>
          </a:r>
        </a:p>
        <a:p>
          <a:r>
            <a:rPr lang="en-GB" sz="1100" b="0" baseline="0">
              <a:solidFill>
                <a:sysClr val="windowText" lastClr="000000"/>
              </a:solidFill>
            </a:rPr>
            <a:t>- YKY is also assuming that of those which do require further investigation, that all of these will need to be covered by a UPM survey.</a:t>
          </a:r>
        </a:p>
        <a:p>
          <a:r>
            <a:rPr lang="en-GB" sz="1100" b="0" baseline="0">
              <a:solidFill>
                <a:sysClr val="windowText" lastClr="000000"/>
              </a:solidFill>
            </a:rPr>
            <a:t>- YKY has not provided sufficient detail to demonstrate that its cost assumptions are efficient. (e.g. it explains that it uses historic costs to forecast its survey costs but does not provide comparison with other companies costs).</a:t>
          </a:r>
        </a:p>
        <a:p>
          <a:endParaRPr lang="en-GB" sz="1100" b="1" baseline="0">
            <a:solidFill>
              <a:sysClr val="windowText" lastClr="000000"/>
            </a:solidFill>
          </a:endParaRPr>
        </a:p>
        <a:p>
          <a:endParaRPr lang="en-GB" sz="1100" b="1" baseline="0">
            <a:solidFill>
              <a:sysClr val="windowText" lastClr="000000"/>
            </a:solidFill>
          </a:endParaRPr>
        </a:p>
        <a:p>
          <a:r>
            <a:rPr lang="en-GB" sz="1100" b="1" baseline="0">
              <a:solidFill>
                <a:sysClr val="windowText" lastClr="000000"/>
              </a:solidFill>
            </a:rPr>
            <a:t>References</a:t>
          </a:r>
        </a:p>
        <a:p>
          <a:r>
            <a:rPr lang="en-GB" sz="1100" b="0" baseline="0">
              <a:solidFill>
                <a:sysClr val="windowText" lastClr="000000"/>
              </a:solidFill>
            </a:rPr>
            <a:t>Appendix 8 Wholesale cost appendices (P.41)</a:t>
          </a:r>
        </a:p>
        <a:p>
          <a:r>
            <a:rPr lang="en-GB" sz="1100" b="0" baseline="0">
              <a:solidFill>
                <a:sysClr val="windowText" lastClr="000000"/>
              </a:solidFill>
            </a:rPr>
            <a:t>Appendix 8g - WINEP technical appendix (P.27, P.186)</a:t>
          </a:r>
          <a:endParaRPr lang="en-GB" sz="1100" b="0" i="0" u="none" strike="noStrike" baseline="0" smtClean="0">
            <a:solidFill>
              <a:schemeClr val="dk1"/>
            </a:solidFill>
            <a:latin typeface="+mn-lt"/>
            <a:ea typeface="+mn-ea"/>
            <a:cs typeface="+mn-cs"/>
          </a:endParaRPr>
        </a:p>
      </xdr:txBody>
    </xdr:sp>
    <xdr:clientData/>
  </xdr:oneCellAnchor>
  <xdr:twoCellAnchor>
    <xdr:from>
      <xdr:col>16</xdr:col>
      <xdr:colOff>317182</xdr:colOff>
      <xdr:row>18</xdr:row>
      <xdr:rowOff>153352</xdr:rowOff>
    </xdr:from>
    <xdr:to>
      <xdr:col>20</xdr:col>
      <xdr:colOff>69531</xdr:colOff>
      <xdr:row>33</xdr:row>
      <xdr:rowOff>143351</xdr:rowOff>
    </xdr:to>
    <xdr:sp macro="" textlink="">
      <xdr:nvSpPr>
        <xdr:cNvPr id="5" name="TextBox 4">
          <a:extLst>
            <a:ext uri="{FF2B5EF4-FFF2-40B4-BE49-F238E27FC236}">
              <a16:creationId xmlns:a16="http://schemas.microsoft.com/office/drawing/2014/main" xmlns="" id="{00000000-0008-0000-0400-000005000000}"/>
            </a:ext>
          </a:extLst>
        </xdr:cNvPr>
        <xdr:cNvSpPr txBox="1"/>
      </xdr:nvSpPr>
      <xdr:spPr>
        <a:xfrm>
          <a:off x="17914620" y="6030277"/>
          <a:ext cx="2285999" cy="2918937"/>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[Insert references to evidence]</a:t>
          </a:r>
        </a:p>
        <a:p>
          <a:r>
            <a:rPr lang="en-GB" sz="1100" b="1"/>
            <a:t>Appendix a8</a:t>
          </a:r>
          <a:r>
            <a:rPr lang="en-GB" sz="1100" b="1" baseline="0"/>
            <a:t> securing cost efficiency</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D16"/>
  <sheetViews>
    <sheetView showGridLines="0" tabSelected="1" zoomScale="90" zoomScaleNormal="90" workbookViewId="0"/>
  </sheetViews>
  <sheetFormatPr defaultColWidth="8.7265625" defaultRowHeight="16.5" x14ac:dyDescent="0.5"/>
  <cols>
    <col min="1" max="1" width="1.1796875" style="6" customWidth="1"/>
    <col min="2" max="2" width="11.1796875" style="6" customWidth="1"/>
    <col min="3" max="3" width="100.1796875" style="6" customWidth="1"/>
    <col min="4" max="4" width="18" style="7" customWidth="1"/>
    <col min="5" max="16384" width="8.7265625" style="6"/>
  </cols>
  <sheetData>
    <row r="1" spans="2:4" ht="20.25" customHeight="1" x14ac:dyDescent="0.6">
      <c r="B1" s="4" t="s">
        <v>61</v>
      </c>
      <c r="C1" s="5"/>
      <c r="D1" s="5"/>
    </row>
    <row r="2" spans="2:4" ht="17.25" customHeight="1" x14ac:dyDescent="0.5"/>
    <row r="3" spans="2:4" ht="17.25" customHeight="1" x14ac:dyDescent="0.5"/>
    <row r="4" spans="2:4" ht="17.25" customHeight="1" x14ac:dyDescent="0.5"/>
    <row r="5" spans="2:4" ht="17.25" customHeight="1" x14ac:dyDescent="0.5"/>
    <row r="6" spans="2:4" ht="17.25" customHeight="1" x14ac:dyDescent="0.5"/>
    <row r="7" spans="2:4" ht="17.25" customHeight="1" x14ac:dyDescent="0.5"/>
    <row r="8" spans="2:4" ht="17.25" customHeight="1" x14ac:dyDescent="0.5"/>
    <row r="9" spans="2:4" ht="17.25" customHeight="1" x14ac:dyDescent="0.5"/>
    <row r="10" spans="2:4" ht="17.25" customHeight="1" x14ac:dyDescent="0.5"/>
    <row r="11" spans="2:4" ht="17.25" customHeight="1" x14ac:dyDescent="0.5"/>
    <row r="12" spans="2:4" ht="17.25" customHeight="1" x14ac:dyDescent="0.5"/>
    <row r="13" spans="2:4" ht="17.25" customHeight="1" x14ac:dyDescent="0.5"/>
    <row r="14" spans="2:4" ht="17.25" customHeight="1" x14ac:dyDescent="0.5"/>
    <row r="15" spans="2:4" ht="17.25" customHeight="1" x14ac:dyDescent="0.5"/>
    <row r="16" spans="2:4" ht="17.25" customHeight="1" x14ac:dyDescent="0.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65"/>
  <sheetViews>
    <sheetView showGridLines="0" zoomScale="90" zoomScaleNormal="90" workbookViewId="0">
      <pane xSplit="3" ySplit="7" topLeftCell="D8" activePane="bottomRight" state="frozen"/>
      <selection pane="topRight"/>
      <selection pane="bottomLeft"/>
      <selection pane="bottomRight"/>
    </sheetView>
  </sheetViews>
  <sheetFormatPr defaultColWidth="8.6328125" defaultRowHeight="13" x14ac:dyDescent="0.3"/>
  <cols>
    <col min="1" max="1" width="10.6328125" style="13" customWidth="1"/>
    <col min="2" max="2" width="11.1796875" style="13" customWidth="1"/>
    <col min="3" max="3" width="10.1796875" style="13" customWidth="1"/>
    <col min="4" max="5" width="13.7265625" style="2" customWidth="1"/>
    <col min="6" max="16384" width="8.6328125" style="2"/>
  </cols>
  <sheetData>
    <row r="1" spans="1:5" ht="18.5" x14ac:dyDescent="0.3">
      <c r="A1" s="21" t="s">
        <v>68</v>
      </c>
    </row>
    <row r="2" spans="1:5" ht="15.5" x14ac:dyDescent="0.3">
      <c r="A2" s="23" t="s">
        <v>102</v>
      </c>
      <c r="B2" s="2"/>
      <c r="C2" s="2"/>
    </row>
    <row r="3" spans="1:5" x14ac:dyDescent="0.3">
      <c r="B3" s="2"/>
      <c r="C3" s="2"/>
    </row>
    <row r="4" spans="1:5" x14ac:dyDescent="0.3">
      <c r="B4" s="2"/>
      <c r="C4" s="2"/>
    </row>
    <row r="5" spans="1:5" x14ac:dyDescent="0.3">
      <c r="B5" s="2"/>
      <c r="C5" s="2"/>
    </row>
    <row r="6" spans="1:5" s="14" customFormat="1" x14ac:dyDescent="0.3">
      <c r="A6" s="2"/>
      <c r="B6" s="2"/>
      <c r="C6" s="2"/>
      <c r="D6" s="22" t="s">
        <v>65</v>
      </c>
      <c r="E6" s="22" t="s">
        <v>62</v>
      </c>
    </row>
    <row r="7" spans="1:5" ht="39" x14ac:dyDescent="0.3">
      <c r="A7" s="22" t="s">
        <v>107</v>
      </c>
      <c r="B7" s="22" t="s">
        <v>10</v>
      </c>
      <c r="C7" s="22" t="s">
        <v>106</v>
      </c>
      <c r="D7" s="22" t="s">
        <v>103</v>
      </c>
      <c r="E7" s="22" t="s">
        <v>101</v>
      </c>
    </row>
    <row r="8" spans="1:5" x14ac:dyDescent="0.3">
      <c r="A8" s="17" t="s">
        <v>14</v>
      </c>
      <c r="B8" s="18" t="s">
        <v>0</v>
      </c>
      <c r="C8" s="18">
        <v>2021</v>
      </c>
      <c r="D8" s="15">
        <v>0.10796248543992</v>
      </c>
      <c r="E8" s="16">
        <v>551.50375405476098</v>
      </c>
    </row>
    <row r="9" spans="1:5" x14ac:dyDescent="0.3">
      <c r="A9" s="17" t="s">
        <v>15</v>
      </c>
      <c r="B9" s="18" t="s">
        <v>0</v>
      </c>
      <c r="C9" s="18">
        <v>2022</v>
      </c>
      <c r="D9" s="15">
        <v>0</v>
      </c>
      <c r="E9" s="16">
        <v>653.12795659695598</v>
      </c>
    </row>
    <row r="10" spans="1:5" x14ac:dyDescent="0.3">
      <c r="A10" s="17" t="s">
        <v>16</v>
      </c>
      <c r="B10" s="18" t="s">
        <v>0</v>
      </c>
      <c r="C10" s="18">
        <v>2023</v>
      </c>
      <c r="D10" s="15">
        <v>0</v>
      </c>
      <c r="E10" s="16">
        <v>659.79125581432402</v>
      </c>
    </row>
    <row r="11" spans="1:5" x14ac:dyDescent="0.3">
      <c r="A11" s="17" t="s">
        <v>17</v>
      </c>
      <c r="B11" s="18" t="s">
        <v>0</v>
      </c>
      <c r="C11" s="18">
        <v>2024</v>
      </c>
      <c r="D11" s="15">
        <v>0</v>
      </c>
      <c r="E11" s="16">
        <v>762.56025220065897</v>
      </c>
    </row>
    <row r="12" spans="1:5" x14ac:dyDescent="0.3">
      <c r="A12" s="17" t="s">
        <v>18</v>
      </c>
      <c r="B12" s="18" t="s">
        <v>0</v>
      </c>
      <c r="C12" s="18">
        <v>2025</v>
      </c>
      <c r="D12" s="15">
        <v>0</v>
      </c>
      <c r="E12" s="16">
        <v>701.76121450352298</v>
      </c>
    </row>
    <row r="13" spans="1:5" x14ac:dyDescent="0.3">
      <c r="A13" s="17" t="s">
        <v>19</v>
      </c>
      <c r="B13" s="18" t="s">
        <v>1</v>
      </c>
      <c r="C13" s="18">
        <v>2021</v>
      </c>
      <c r="D13" s="15">
        <v>0</v>
      </c>
      <c r="E13" s="16">
        <v>194.71899999999999</v>
      </c>
    </row>
    <row r="14" spans="1:5" x14ac:dyDescent="0.3">
      <c r="A14" s="17" t="s">
        <v>20</v>
      </c>
      <c r="B14" s="18" t="s">
        <v>1</v>
      </c>
      <c r="C14" s="18">
        <v>2022</v>
      </c>
      <c r="D14" s="15">
        <v>0</v>
      </c>
      <c r="E14" s="16">
        <v>225.87200000000001</v>
      </c>
    </row>
    <row r="15" spans="1:5" x14ac:dyDescent="0.3">
      <c r="A15" s="17" t="s">
        <v>21</v>
      </c>
      <c r="B15" s="18" t="s">
        <v>1</v>
      </c>
      <c r="C15" s="18">
        <v>2023</v>
      </c>
      <c r="D15" s="15">
        <v>0</v>
      </c>
      <c r="E15" s="16">
        <v>250.01400000000001</v>
      </c>
    </row>
    <row r="16" spans="1:5" x14ac:dyDescent="0.3">
      <c r="A16" s="17" t="s">
        <v>22</v>
      </c>
      <c r="B16" s="18" t="s">
        <v>1</v>
      </c>
      <c r="C16" s="18">
        <v>2024</v>
      </c>
      <c r="D16" s="15">
        <v>0</v>
      </c>
      <c r="E16" s="16">
        <v>314.52300000000002</v>
      </c>
    </row>
    <row r="17" spans="1:5" x14ac:dyDescent="0.3">
      <c r="A17" s="17" t="s">
        <v>23</v>
      </c>
      <c r="B17" s="18" t="s">
        <v>1</v>
      </c>
      <c r="C17" s="18">
        <v>2025</v>
      </c>
      <c r="D17" s="15">
        <v>0</v>
      </c>
      <c r="E17" s="16">
        <v>258.24900000000002</v>
      </c>
    </row>
    <row r="18" spans="1:5" x14ac:dyDescent="0.3">
      <c r="A18" s="17" t="s">
        <v>24</v>
      </c>
      <c r="B18" s="18" t="s">
        <v>2</v>
      </c>
      <c r="C18" s="18">
        <v>2021</v>
      </c>
      <c r="D18" s="15">
        <v>14.5301751480548</v>
      </c>
      <c r="E18" s="16">
        <v>557.40503234329799</v>
      </c>
    </row>
    <row r="19" spans="1:5" x14ac:dyDescent="0.3">
      <c r="A19" s="17" t="s">
        <v>25</v>
      </c>
      <c r="B19" s="18" t="s">
        <v>2</v>
      </c>
      <c r="C19" s="18">
        <v>2022</v>
      </c>
      <c r="D19" s="15">
        <v>5.8796022255936</v>
      </c>
      <c r="E19" s="16">
        <v>584.41680129680901</v>
      </c>
    </row>
    <row r="20" spans="1:5" x14ac:dyDescent="0.3">
      <c r="A20" s="17" t="s">
        <v>26</v>
      </c>
      <c r="B20" s="18" t="s">
        <v>2</v>
      </c>
      <c r="C20" s="18">
        <v>2023</v>
      </c>
      <c r="D20" s="15">
        <v>0.40791731250820001</v>
      </c>
      <c r="E20" s="16">
        <v>527.23793476313404</v>
      </c>
    </row>
    <row r="21" spans="1:5" x14ac:dyDescent="0.3">
      <c r="A21" s="17" t="s">
        <v>27</v>
      </c>
      <c r="B21" s="18" t="s">
        <v>2</v>
      </c>
      <c r="C21" s="18">
        <v>2024</v>
      </c>
      <c r="D21" s="15">
        <v>0.34584000000019999</v>
      </c>
      <c r="E21" s="16">
        <v>706.99058633935101</v>
      </c>
    </row>
    <row r="22" spans="1:5" x14ac:dyDescent="0.3">
      <c r="A22" s="17" t="s">
        <v>28</v>
      </c>
      <c r="B22" s="18" t="s">
        <v>2</v>
      </c>
      <c r="C22" s="18">
        <v>2025</v>
      </c>
      <c r="D22" s="15">
        <v>0.34584000000019999</v>
      </c>
      <c r="E22" s="16">
        <v>637.00849885031198</v>
      </c>
    </row>
    <row r="23" spans="1:5" x14ac:dyDescent="0.3">
      <c r="A23" s="17" t="s">
        <v>29</v>
      </c>
      <c r="B23" s="18" t="s">
        <v>3</v>
      </c>
      <c r="C23" s="18">
        <v>2021</v>
      </c>
      <c r="D23" s="15">
        <v>0</v>
      </c>
      <c r="E23" s="16">
        <v>462.08100000000002</v>
      </c>
    </row>
    <row r="24" spans="1:5" x14ac:dyDescent="0.3">
      <c r="A24" s="17" t="s">
        <v>30</v>
      </c>
      <c r="B24" s="18" t="s">
        <v>3</v>
      </c>
      <c r="C24" s="18">
        <v>2022</v>
      </c>
      <c r="D24" s="15">
        <v>0</v>
      </c>
      <c r="E24" s="16">
        <v>610.50400000000002</v>
      </c>
    </row>
    <row r="25" spans="1:5" x14ac:dyDescent="0.3">
      <c r="A25" s="17" t="s">
        <v>31</v>
      </c>
      <c r="B25" s="18" t="s">
        <v>3</v>
      </c>
      <c r="C25" s="18">
        <v>2023</v>
      </c>
      <c r="D25" s="15">
        <v>0</v>
      </c>
      <c r="E25" s="16">
        <v>633.11300000000006</v>
      </c>
    </row>
    <row r="26" spans="1:5" x14ac:dyDescent="0.3">
      <c r="A26" s="17" t="s">
        <v>32</v>
      </c>
      <c r="B26" s="18" t="s">
        <v>3</v>
      </c>
      <c r="C26" s="18">
        <v>2024</v>
      </c>
      <c r="D26" s="15">
        <v>0</v>
      </c>
      <c r="E26" s="16">
        <v>495.7</v>
      </c>
    </row>
    <row r="27" spans="1:5" x14ac:dyDescent="0.3">
      <c r="A27" s="17" t="s">
        <v>33</v>
      </c>
      <c r="B27" s="18" t="s">
        <v>3</v>
      </c>
      <c r="C27" s="18">
        <v>2025</v>
      </c>
      <c r="D27" s="15">
        <v>0</v>
      </c>
      <c r="E27" s="16">
        <v>408.06400000000002</v>
      </c>
    </row>
    <row r="28" spans="1:5" x14ac:dyDescent="0.3">
      <c r="A28" s="17" t="s">
        <v>34</v>
      </c>
      <c r="B28" s="18" t="s">
        <v>4</v>
      </c>
      <c r="C28" s="18">
        <v>2021</v>
      </c>
      <c r="D28" s="15">
        <v>2.722</v>
      </c>
      <c r="E28" s="16">
        <v>209.88399999999999</v>
      </c>
    </row>
    <row r="29" spans="1:5" x14ac:dyDescent="0.3">
      <c r="A29" s="17" t="s">
        <v>35</v>
      </c>
      <c r="B29" s="18" t="s">
        <v>4</v>
      </c>
      <c r="C29" s="18">
        <v>2022</v>
      </c>
      <c r="D29" s="15">
        <v>0.59199999999999997</v>
      </c>
      <c r="E29" s="16">
        <v>205.41800000000001</v>
      </c>
    </row>
    <row r="30" spans="1:5" x14ac:dyDescent="0.3">
      <c r="A30" s="17" t="s">
        <v>36</v>
      </c>
      <c r="B30" s="18" t="s">
        <v>4</v>
      </c>
      <c r="C30" s="18">
        <v>2023</v>
      </c>
      <c r="D30" s="15">
        <v>0</v>
      </c>
      <c r="E30" s="16">
        <v>184.16300000000001</v>
      </c>
    </row>
    <row r="31" spans="1:5" x14ac:dyDescent="0.3">
      <c r="A31" s="17" t="s">
        <v>37</v>
      </c>
      <c r="B31" s="18" t="s">
        <v>4</v>
      </c>
      <c r="C31" s="18">
        <v>2024</v>
      </c>
      <c r="D31" s="15">
        <v>0</v>
      </c>
      <c r="E31" s="16">
        <v>182.45099999999999</v>
      </c>
    </row>
    <row r="32" spans="1:5" x14ac:dyDescent="0.3">
      <c r="A32" s="17" t="s">
        <v>38</v>
      </c>
      <c r="B32" s="18" t="s">
        <v>4</v>
      </c>
      <c r="C32" s="18">
        <v>2025</v>
      </c>
      <c r="D32" s="15">
        <v>0</v>
      </c>
      <c r="E32" s="16">
        <v>169.172</v>
      </c>
    </row>
    <row r="33" spans="1:5" x14ac:dyDescent="0.3">
      <c r="A33" s="17" t="s">
        <v>39</v>
      </c>
      <c r="B33" s="18" t="s">
        <v>5</v>
      </c>
      <c r="C33" s="18">
        <v>2021</v>
      </c>
      <c r="D33" s="15">
        <v>4.0635054087000002</v>
      </c>
      <c r="E33" s="16">
        <v>943.20508384003995</v>
      </c>
    </row>
    <row r="34" spans="1:5" x14ac:dyDescent="0.3">
      <c r="A34" s="17" t="s">
        <v>40</v>
      </c>
      <c r="B34" s="18" t="s">
        <v>5</v>
      </c>
      <c r="C34" s="18">
        <v>2022</v>
      </c>
      <c r="D34" s="15">
        <v>0</v>
      </c>
      <c r="E34" s="16">
        <v>1059.5585860040801</v>
      </c>
    </row>
    <row r="35" spans="1:5" x14ac:dyDescent="0.3">
      <c r="A35" s="17" t="s">
        <v>41</v>
      </c>
      <c r="B35" s="18" t="s">
        <v>5</v>
      </c>
      <c r="C35" s="18">
        <v>2023</v>
      </c>
      <c r="D35" s="15">
        <v>0</v>
      </c>
      <c r="E35" s="16">
        <v>1043.6785429854101</v>
      </c>
    </row>
    <row r="36" spans="1:5" x14ac:dyDescent="0.3">
      <c r="A36" s="17" t="s">
        <v>42</v>
      </c>
      <c r="B36" s="18" t="s">
        <v>5</v>
      </c>
      <c r="C36" s="18">
        <v>2024</v>
      </c>
      <c r="D36" s="15">
        <v>0</v>
      </c>
      <c r="E36" s="16">
        <v>989.85067441146896</v>
      </c>
    </row>
    <row r="37" spans="1:5" x14ac:dyDescent="0.3">
      <c r="A37" s="17" t="s">
        <v>43</v>
      </c>
      <c r="B37" s="18" t="s">
        <v>5</v>
      </c>
      <c r="C37" s="18">
        <v>2025</v>
      </c>
      <c r="D37" s="15">
        <v>0</v>
      </c>
      <c r="E37" s="16">
        <v>960.87480281767398</v>
      </c>
    </row>
    <row r="38" spans="1:5" x14ac:dyDescent="0.3">
      <c r="A38" s="17" t="s">
        <v>44</v>
      </c>
      <c r="B38" s="18" t="s">
        <v>6</v>
      </c>
      <c r="C38" s="18">
        <v>2021</v>
      </c>
      <c r="D38" s="15">
        <v>1.8839999999999999</v>
      </c>
      <c r="E38" s="16">
        <v>358.459</v>
      </c>
    </row>
    <row r="39" spans="1:5" x14ac:dyDescent="0.3">
      <c r="A39" s="17" t="s">
        <v>45</v>
      </c>
      <c r="B39" s="18" t="s">
        <v>6</v>
      </c>
      <c r="C39" s="18">
        <v>2022</v>
      </c>
      <c r="D39" s="15">
        <v>1.863</v>
      </c>
      <c r="E39" s="16">
        <v>291.94099999999997</v>
      </c>
    </row>
    <row r="40" spans="1:5" x14ac:dyDescent="0.3">
      <c r="A40" s="17" t="s">
        <v>46</v>
      </c>
      <c r="B40" s="18" t="s">
        <v>6</v>
      </c>
      <c r="C40" s="18">
        <v>2023</v>
      </c>
      <c r="D40" s="15">
        <v>1.319</v>
      </c>
      <c r="E40" s="16">
        <v>301.45100000000002</v>
      </c>
    </row>
    <row r="41" spans="1:5" x14ac:dyDescent="0.3">
      <c r="A41" s="17" t="s">
        <v>47</v>
      </c>
      <c r="B41" s="18" t="s">
        <v>6</v>
      </c>
      <c r="C41" s="18">
        <v>2024</v>
      </c>
      <c r="D41" s="15">
        <v>0.78600000000000003</v>
      </c>
      <c r="E41" s="16">
        <v>290.19</v>
      </c>
    </row>
    <row r="42" spans="1:5" x14ac:dyDescent="0.3">
      <c r="A42" s="17" t="s">
        <v>48</v>
      </c>
      <c r="B42" s="18" t="s">
        <v>6</v>
      </c>
      <c r="C42" s="18">
        <v>2025</v>
      </c>
      <c r="D42" s="15">
        <v>0.77700000000000002</v>
      </c>
      <c r="E42" s="16">
        <v>287.05399999999997</v>
      </c>
    </row>
    <row r="43" spans="1:5" x14ac:dyDescent="0.3">
      <c r="A43" s="17" t="s">
        <v>49</v>
      </c>
      <c r="B43" s="18" t="s">
        <v>7</v>
      </c>
      <c r="C43" s="18">
        <v>2021</v>
      </c>
      <c r="D43" s="15">
        <v>9.8952355397538394</v>
      </c>
      <c r="E43" s="16">
        <v>334.40990139956699</v>
      </c>
    </row>
    <row r="44" spans="1:5" x14ac:dyDescent="0.3">
      <c r="A44" s="17" t="s">
        <v>50</v>
      </c>
      <c r="B44" s="18" t="s">
        <v>7</v>
      </c>
      <c r="C44" s="18">
        <v>2022</v>
      </c>
      <c r="D44" s="15">
        <v>2.5866237705230799</v>
      </c>
      <c r="E44" s="16">
        <v>310.35824991875199</v>
      </c>
    </row>
    <row r="45" spans="1:5" x14ac:dyDescent="0.3">
      <c r="A45" s="17" t="s">
        <v>51</v>
      </c>
      <c r="B45" s="18" t="s">
        <v>7</v>
      </c>
      <c r="C45" s="18">
        <v>2023</v>
      </c>
      <c r="D45" s="15">
        <v>0.56560696283076894</v>
      </c>
      <c r="E45" s="16">
        <v>316.21891660017798</v>
      </c>
    </row>
    <row r="46" spans="1:5" x14ac:dyDescent="0.3">
      <c r="A46" s="17" t="s">
        <v>52</v>
      </c>
      <c r="B46" s="18" t="s">
        <v>7</v>
      </c>
      <c r="C46" s="18">
        <v>2024</v>
      </c>
      <c r="D46" s="15">
        <v>0.73588142436923099</v>
      </c>
      <c r="E46" s="16">
        <v>314.555053101689</v>
      </c>
    </row>
    <row r="47" spans="1:5" x14ac:dyDescent="0.3">
      <c r="A47" s="17" t="s">
        <v>53</v>
      </c>
      <c r="B47" s="18" t="s">
        <v>7</v>
      </c>
      <c r="C47" s="18">
        <v>2025</v>
      </c>
      <c r="D47" s="15">
        <v>0.18996427052307699</v>
      </c>
      <c r="E47" s="16">
        <v>297.66581065083898</v>
      </c>
    </row>
    <row r="48" spans="1:5" x14ac:dyDescent="0.3">
      <c r="A48" s="17" t="s">
        <v>54</v>
      </c>
      <c r="B48" s="18" t="s">
        <v>8</v>
      </c>
      <c r="C48" s="18">
        <v>2021</v>
      </c>
      <c r="D48" s="15">
        <v>5.6390000000000002</v>
      </c>
      <c r="E48" s="16">
        <v>707.06500000000005</v>
      </c>
    </row>
    <row r="49" spans="1:5" x14ac:dyDescent="0.3">
      <c r="A49" s="17" t="s">
        <v>55</v>
      </c>
      <c r="B49" s="18" t="s">
        <v>8</v>
      </c>
      <c r="C49" s="18">
        <v>2022</v>
      </c>
      <c r="D49" s="15">
        <v>1.9770000000000001</v>
      </c>
      <c r="E49" s="16">
        <v>713.04899999999998</v>
      </c>
    </row>
    <row r="50" spans="1:5" x14ac:dyDescent="0.3">
      <c r="A50" s="17" t="s">
        <v>56</v>
      </c>
      <c r="B50" s="18" t="s">
        <v>8</v>
      </c>
      <c r="C50" s="18">
        <v>2023</v>
      </c>
      <c r="D50" s="15">
        <v>0.13600000000000001</v>
      </c>
      <c r="E50" s="16">
        <v>603.85599999999999</v>
      </c>
    </row>
    <row r="51" spans="1:5" x14ac:dyDescent="0.3">
      <c r="A51" s="17" t="s">
        <v>57</v>
      </c>
      <c r="B51" s="18" t="s">
        <v>8</v>
      </c>
      <c r="C51" s="18">
        <v>2024</v>
      </c>
      <c r="D51" s="15">
        <v>0.13900000000000001</v>
      </c>
      <c r="E51" s="16">
        <v>488.68900000000002</v>
      </c>
    </row>
    <row r="52" spans="1:5" x14ac:dyDescent="0.3">
      <c r="A52" s="17" t="s">
        <v>58</v>
      </c>
      <c r="B52" s="18" t="s">
        <v>8</v>
      </c>
      <c r="C52" s="18">
        <v>2025</v>
      </c>
      <c r="D52" s="15">
        <v>0.14000000000000001</v>
      </c>
      <c r="E52" s="16">
        <v>381.36700000000002</v>
      </c>
    </row>
    <row r="53" spans="1:5" x14ac:dyDescent="0.3">
      <c r="A53" s="17" t="str">
        <f t="shared" ref="A53" si="0">B53&amp;RIGHT(C53,2)</f>
        <v>SVE21</v>
      </c>
      <c r="B53" s="3" t="s">
        <v>59</v>
      </c>
      <c r="C53" s="18">
        <v>2021</v>
      </c>
      <c r="D53" s="15">
        <v>1.046</v>
      </c>
      <c r="E53" s="16">
        <v>560.93585269017797</v>
      </c>
    </row>
    <row r="54" spans="1:5" x14ac:dyDescent="0.3">
      <c r="A54" s="17" t="str">
        <f>B54&amp;RIGHT(C54,2)</f>
        <v>SVE22</v>
      </c>
      <c r="B54" s="3" t="s">
        <v>59</v>
      </c>
      <c r="C54" s="18">
        <v>2022</v>
      </c>
      <c r="D54" s="15">
        <v>1.079</v>
      </c>
      <c r="E54" s="16">
        <v>614.47872550832301</v>
      </c>
    </row>
    <row r="55" spans="1:5" x14ac:dyDescent="0.3">
      <c r="A55" s="17" t="str">
        <f>B55&amp;RIGHT(C55,2)</f>
        <v>SVE23</v>
      </c>
      <c r="B55" s="3" t="s">
        <v>59</v>
      </c>
      <c r="C55" s="18">
        <v>2023</v>
      </c>
      <c r="D55" s="15">
        <v>1.2909999999999999</v>
      </c>
      <c r="E55" s="16">
        <v>621.22299129652799</v>
      </c>
    </row>
    <row r="56" spans="1:5" x14ac:dyDescent="0.3">
      <c r="A56" s="17" t="str">
        <f>B56&amp;RIGHT(C56,2)</f>
        <v>SVE24</v>
      </c>
      <c r="B56" s="3" t="s">
        <v>59</v>
      </c>
      <c r="C56" s="18">
        <v>2024</v>
      </c>
      <c r="D56" s="15">
        <v>1.2509999999999999</v>
      </c>
      <c r="E56" s="16">
        <v>610.59658027129899</v>
      </c>
    </row>
    <row r="57" spans="1:5" x14ac:dyDescent="0.3">
      <c r="A57" s="17" t="str">
        <f>B57&amp;RIGHT(C57,2)</f>
        <v>SVE25</v>
      </c>
      <c r="B57" s="3" t="s">
        <v>59</v>
      </c>
      <c r="C57" s="18">
        <v>2025</v>
      </c>
      <c r="D57" s="15">
        <v>1.099</v>
      </c>
      <c r="E57" s="16">
        <v>545.43688543661597</v>
      </c>
    </row>
    <row r="58" spans="1:5" x14ac:dyDescent="0.3">
      <c r="A58" s="17" t="str">
        <f t="shared" ref="A58" si="1">B58&amp;RIGHT(C58,2)</f>
        <v>HDD21</v>
      </c>
      <c r="B58" s="3" t="s">
        <v>60</v>
      </c>
      <c r="C58" s="18">
        <v>2021</v>
      </c>
      <c r="D58" s="15">
        <v>1.9893809275379901E-2</v>
      </c>
      <c r="E58" s="16">
        <v>4.3490774731552699</v>
      </c>
    </row>
    <row r="59" spans="1:5" x14ac:dyDescent="0.3">
      <c r="A59" s="17" t="str">
        <f>B59&amp;RIGHT(C59,2)</f>
        <v>HDD22</v>
      </c>
      <c r="B59" s="3" t="s">
        <v>60</v>
      </c>
      <c r="C59" s="18">
        <v>2022</v>
      </c>
      <c r="D59" s="15">
        <v>1.9893809275379901E-2</v>
      </c>
      <c r="E59" s="16">
        <v>4.8159413760622201</v>
      </c>
    </row>
    <row r="60" spans="1:5" x14ac:dyDescent="0.3">
      <c r="A60" s="17" t="str">
        <f>B60&amp;RIGHT(C60,2)</f>
        <v>HDD23</v>
      </c>
      <c r="B60" s="3" t="s">
        <v>60</v>
      </c>
      <c r="C60" s="18">
        <v>2023</v>
      </c>
      <c r="D60" s="15">
        <v>1.9893809275379901E-2</v>
      </c>
      <c r="E60" s="16">
        <v>5.0266953078384402</v>
      </c>
    </row>
    <row r="61" spans="1:5" x14ac:dyDescent="0.3">
      <c r="A61" s="17" t="str">
        <f>B61&amp;RIGHT(C61,2)</f>
        <v>HDD24</v>
      </c>
      <c r="B61" s="3" t="s">
        <v>60</v>
      </c>
      <c r="C61" s="18">
        <v>2024</v>
      </c>
      <c r="D61" s="15">
        <v>1.9893809275379901E-2</v>
      </c>
      <c r="E61" s="16">
        <v>6.13945027329786</v>
      </c>
    </row>
    <row r="62" spans="1:5" x14ac:dyDescent="0.3">
      <c r="A62" s="17" t="str">
        <f>B62&amp;RIGHT(C62,2)</f>
        <v>HDD25</v>
      </c>
      <c r="B62" s="3" t="s">
        <v>60</v>
      </c>
      <c r="C62" s="18">
        <v>2025</v>
      </c>
      <c r="D62" s="15">
        <v>1.9893809275379901E-2</v>
      </c>
      <c r="E62" s="16">
        <v>4.5652000305771701</v>
      </c>
    </row>
    <row r="63" spans="1:5" x14ac:dyDescent="0.3">
      <c r="D63" s="19"/>
    </row>
    <row r="64" spans="1:5" x14ac:dyDescent="0.3">
      <c r="D64" s="19"/>
    </row>
    <row r="65" spans="4:4" x14ac:dyDescent="0.3">
      <c r="D65" s="20"/>
    </row>
  </sheetData>
  <conditionalFormatting sqref="D65">
    <cfRule type="cellIs" dxfId="7" priority="1" operator="equal">
      <formula>TRUE</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U49"/>
  <sheetViews>
    <sheetView showGridLines="0" zoomScale="82" zoomScaleNormal="82" workbookViewId="0"/>
  </sheetViews>
  <sheetFormatPr defaultColWidth="8.7265625" defaultRowHeight="13" x14ac:dyDescent="0.3"/>
  <cols>
    <col min="1" max="1" width="2.81640625" style="2" customWidth="1"/>
    <col min="2" max="2" width="14.1796875" style="2" customWidth="1"/>
    <col min="3" max="8" width="7.6328125" style="2" customWidth="1"/>
    <col min="9" max="9" width="12.90625" style="2" customWidth="1"/>
    <col min="10" max="10" width="9.7265625" style="2" customWidth="1"/>
    <col min="11" max="11" width="14.7265625" style="2" customWidth="1"/>
    <col min="12" max="12" width="9.453125" style="2" customWidth="1"/>
    <col min="13" max="13" width="8" style="2" customWidth="1"/>
    <col min="14" max="14" width="10.1796875" style="2" customWidth="1"/>
    <col min="15" max="15" width="13.7265625" style="2" customWidth="1"/>
    <col min="16" max="16" width="7.6328125" style="2" customWidth="1"/>
    <col min="17" max="18" width="10.1796875" style="2" customWidth="1"/>
    <col min="19" max="19" width="4" style="2" customWidth="1"/>
    <col min="20" max="20" width="15.6328125" style="2" customWidth="1"/>
    <col min="21" max="21" width="13.1796875" style="2" customWidth="1"/>
    <col min="22" max="22" width="23.08984375" style="2" customWidth="1"/>
    <col min="23" max="23" width="16.08984375" style="2" customWidth="1"/>
    <col min="24" max="24" width="12.81640625" style="2" customWidth="1"/>
    <col min="25" max="16384" width="8.7265625" style="2"/>
  </cols>
  <sheetData>
    <row r="1" spans="1:17" ht="18.5" x14ac:dyDescent="0.45">
      <c r="A1" s="73" t="s">
        <v>111</v>
      </c>
    </row>
    <row r="2" spans="1:17" ht="15.5" x14ac:dyDescent="0.35">
      <c r="A2" s="2" t="s">
        <v>112</v>
      </c>
      <c r="B2" s="72"/>
    </row>
    <row r="4" spans="1:17" x14ac:dyDescent="0.3">
      <c r="B4" s="67" t="str">
        <f>+Data!D6</f>
        <v>realS3011CAS</v>
      </c>
    </row>
    <row r="5" spans="1:17" x14ac:dyDescent="0.3">
      <c r="B5" s="57" t="str">
        <f>+Data!D7</f>
        <v>WINEP / NEP Investigations - capex</v>
      </c>
    </row>
    <row r="6" spans="1:17" x14ac:dyDescent="0.3">
      <c r="B6" s="57"/>
      <c r="C6" s="61" t="s">
        <v>109</v>
      </c>
      <c r="D6" s="62"/>
      <c r="E6" s="62"/>
      <c r="F6" s="63"/>
      <c r="G6" s="64"/>
    </row>
    <row r="7" spans="1:17" ht="52" x14ac:dyDescent="0.3">
      <c r="B7" s="83"/>
      <c r="C7" s="84">
        <v>2021</v>
      </c>
      <c r="D7" s="84">
        <v>2022</v>
      </c>
      <c r="E7" s="84">
        <v>2023</v>
      </c>
      <c r="F7" s="84">
        <v>2024</v>
      </c>
      <c r="G7" s="84">
        <v>2025</v>
      </c>
      <c r="H7" s="85" t="s">
        <v>108</v>
      </c>
      <c r="I7" s="85" t="s">
        <v>113</v>
      </c>
      <c r="J7" s="9"/>
      <c r="K7" s="86" t="s">
        <v>119</v>
      </c>
      <c r="L7" s="86" t="s">
        <v>69</v>
      </c>
      <c r="M7" s="86" t="s">
        <v>70</v>
      </c>
      <c r="N7" s="86" t="s">
        <v>110</v>
      </c>
      <c r="O7" s="86" t="s">
        <v>99</v>
      </c>
      <c r="P7" s="82" t="s">
        <v>100</v>
      </c>
      <c r="Q7" s="82" t="s">
        <v>120</v>
      </c>
    </row>
    <row r="8" spans="1:17" ht="26" x14ac:dyDescent="0.3">
      <c r="B8" s="65" t="s">
        <v>0</v>
      </c>
      <c r="C8" s="66">
        <f>IFERROR(INDEX(Data!$A$6:$I$63,MATCH($B8&amp;RIGHT(C$7,2),Data!$A$6:$A$63,0),MATCH($B$4,Data!$A$6:$I$6,0)),"")</f>
        <v>0.10796248543992</v>
      </c>
      <c r="D8" s="66">
        <f>IFERROR(INDEX(Data!$A$6:$I$63,MATCH($B8&amp;RIGHT(D$7,2),Data!$A$6:$A$63,0),MATCH($B$4,Data!$A$6:$I$6,0)),"")</f>
        <v>0</v>
      </c>
      <c r="E8" s="66">
        <f>IFERROR(INDEX(Data!$A$6:$I$63,MATCH($B8&amp;RIGHT(E$7,2),Data!$A$6:$A$63,0),MATCH($B$4,Data!$A$6:$I$6,0)),"")</f>
        <v>0</v>
      </c>
      <c r="F8" s="66">
        <f>IFERROR(INDEX(Data!$A$6:$I$63,MATCH($B8&amp;RIGHT(F$7,2),Data!$A$6:$A$63,0),MATCH($B$4,Data!$A$6:$I$6,0)),"")</f>
        <v>0</v>
      </c>
      <c r="G8" s="66">
        <f>IFERROR(INDEX(Data!$A$6:$I$63,MATCH($B8&amp;RIGHT(G$7,2),Data!$A$6:$A$63,0),MATCH($B$4,Data!$A$6:$I$6,0)),"")</f>
        <v>0</v>
      </c>
      <c r="H8" s="71">
        <f>SUM(C8:G8)</f>
        <v>0.10796248543992</v>
      </c>
      <c r="I8" s="71">
        <f>Allowance!H13</f>
        <v>1.2022723137766633</v>
      </c>
      <c r="K8" s="69">
        <f>SUMIFS(Data!$E$8:$E$62,Data!$B$8:$B$62,$B8,Data!$C$8:$C$62,"&gt;=2021")</f>
        <v>3328.7444331702227</v>
      </c>
      <c r="L8" s="70">
        <f>I8/K8</f>
        <v>3.6117891833217298E-4</v>
      </c>
      <c r="M8" s="65" t="s">
        <v>13</v>
      </c>
      <c r="N8" s="80">
        <v>0.1</v>
      </c>
      <c r="O8" s="71">
        <f>I8*(1-N8)</f>
        <v>1.0820450823989971</v>
      </c>
      <c r="P8" s="40"/>
      <c r="Q8" s="88">
        <f>SUM(O8:P8)</f>
        <v>1.0820450823989971</v>
      </c>
    </row>
    <row r="9" spans="1:17" ht="117" x14ac:dyDescent="0.3">
      <c r="B9" s="65" t="s">
        <v>60</v>
      </c>
      <c r="C9" s="66">
        <f>IFERROR(INDEX(Data!$A$6:$I$63,MATCH($B9&amp;RIGHT(C$7,2),Data!$A$6:$A$63,0),MATCH($B$4,Data!$A$6:$I$6,0)),"")</f>
        <v>1.9893809275379901E-2</v>
      </c>
      <c r="D9" s="66">
        <f>IFERROR(INDEX(Data!$A$6:$I$63,MATCH($B9&amp;RIGHT(D$7,2),Data!$A$6:$A$63,0),MATCH($B$4,Data!$A$6:$I$6,0)),"")</f>
        <v>1.9893809275379901E-2</v>
      </c>
      <c r="E9" s="66">
        <f>IFERROR(INDEX(Data!$A$6:$I$63,MATCH($B9&amp;RIGHT(E$7,2),Data!$A$6:$A$63,0),MATCH($B$4,Data!$A$6:$I$6,0)),"")</f>
        <v>1.9893809275379901E-2</v>
      </c>
      <c r="F9" s="66">
        <f>IFERROR(INDEX(Data!$A$6:$I$63,MATCH($B9&amp;RIGHT(F$7,2),Data!$A$6:$A$63,0),MATCH($B$4,Data!$A$6:$I$6,0)),"")</f>
        <v>1.9893809275379901E-2</v>
      </c>
      <c r="G9" s="66">
        <f>IFERROR(INDEX(Data!$A$6:$I$63,MATCH($B9&amp;RIGHT(G$7,2),Data!$A$6:$A$63,0),MATCH($B$4,Data!$A$6:$I$6,0)),"")</f>
        <v>1.9893809275379901E-2</v>
      </c>
      <c r="H9" s="71">
        <f t="shared" ref="H9:H18" si="0">SUM(C9:G9)</f>
        <v>9.9469046376899503E-2</v>
      </c>
      <c r="I9" s="71">
        <f>Allowance!H14</f>
        <v>9.9469046376899503E-2</v>
      </c>
      <c r="K9" s="69">
        <f>SUMIFS(Data!$E$8:$E$62,Data!$B$8:$B$62,$B9,Data!$C$8:$C$62,"&gt;=2021")</f>
        <v>24.896364460930961</v>
      </c>
      <c r="L9" s="70">
        <f t="shared" ref="L9:L19" si="1">I9/K9</f>
        <v>3.9953241579907374E-3</v>
      </c>
      <c r="M9" s="65" t="s">
        <v>114</v>
      </c>
      <c r="N9" s="80"/>
      <c r="O9" s="71"/>
      <c r="P9" s="40"/>
      <c r="Q9" s="88">
        <f t="shared" ref="Q9:Q19" si="2">SUM(O9:P9)</f>
        <v>0</v>
      </c>
    </row>
    <row r="10" spans="1:17" x14ac:dyDescent="0.3">
      <c r="B10" s="65" t="s">
        <v>1</v>
      </c>
      <c r="C10" s="66">
        <f>IFERROR(INDEX(Data!$A$6:$I$63,MATCH($B10&amp;RIGHT(C$7,2),Data!$A$6:$A$63,0),MATCH($B$4,Data!$A$6:$I$6,0)),"")</f>
        <v>0</v>
      </c>
      <c r="D10" s="66">
        <f>IFERROR(INDEX(Data!$A$6:$I$63,MATCH($B10&amp;RIGHT(D$7,2),Data!$A$6:$A$63,0),MATCH($B$4,Data!$A$6:$I$6,0)),"")</f>
        <v>0</v>
      </c>
      <c r="E10" s="66">
        <f>IFERROR(INDEX(Data!$A$6:$I$63,MATCH($B10&amp;RIGHT(E$7,2),Data!$A$6:$A$63,0),MATCH($B$4,Data!$A$6:$I$6,0)),"")</f>
        <v>0</v>
      </c>
      <c r="F10" s="66">
        <f>IFERROR(INDEX(Data!$A$6:$I$63,MATCH($B10&amp;RIGHT(F$7,2),Data!$A$6:$A$63,0),MATCH($B$4,Data!$A$6:$I$6,0)),"")</f>
        <v>0</v>
      </c>
      <c r="G10" s="66">
        <f>IFERROR(INDEX(Data!$A$6:$I$63,MATCH($B10&amp;RIGHT(G$7,2),Data!$A$6:$A$63,0),MATCH($B$4,Data!$A$6:$I$6,0)),"")</f>
        <v>0</v>
      </c>
      <c r="H10" s="71">
        <f t="shared" si="0"/>
        <v>0</v>
      </c>
      <c r="I10" s="71">
        <f>Allowance!H15</f>
        <v>0</v>
      </c>
      <c r="K10" s="69">
        <f>SUMIFS(Data!$E$8:$E$62,Data!$B$8:$B$62,$B10,Data!$C$8:$C$62,"&gt;=2021")</f>
        <v>1243.377</v>
      </c>
      <c r="L10" s="70">
        <f t="shared" si="1"/>
        <v>0</v>
      </c>
      <c r="M10" s="65"/>
      <c r="N10" s="80"/>
      <c r="O10" s="71"/>
      <c r="P10" s="40"/>
      <c r="Q10" s="88">
        <f t="shared" si="2"/>
        <v>0</v>
      </c>
    </row>
    <row r="11" spans="1:17" ht="26" x14ac:dyDescent="0.3">
      <c r="B11" s="65" t="s">
        <v>2</v>
      </c>
      <c r="C11" s="66">
        <f>IFERROR(INDEX(Data!$A$6:$I$63,MATCH($B11&amp;RIGHT(C$7,2),Data!$A$6:$A$63,0),MATCH($B$4,Data!$A$6:$I$6,0)),"")</f>
        <v>14.5301751480548</v>
      </c>
      <c r="D11" s="66">
        <f>IFERROR(INDEX(Data!$A$6:$I$63,MATCH($B11&amp;RIGHT(D$7,2),Data!$A$6:$A$63,0),MATCH($B$4,Data!$A$6:$I$6,0)),"")</f>
        <v>5.8796022255936</v>
      </c>
      <c r="E11" s="66">
        <f>IFERROR(INDEX(Data!$A$6:$I$63,MATCH($B11&amp;RIGHT(E$7,2),Data!$A$6:$A$63,0),MATCH($B$4,Data!$A$6:$I$6,0)),"")</f>
        <v>0.40791731250820001</v>
      </c>
      <c r="F11" s="66">
        <f>IFERROR(INDEX(Data!$A$6:$I$63,MATCH($B11&amp;RIGHT(F$7,2),Data!$A$6:$A$63,0),MATCH($B$4,Data!$A$6:$I$6,0)),"")</f>
        <v>0.34584000000019999</v>
      </c>
      <c r="G11" s="66">
        <f>IFERROR(INDEX(Data!$A$6:$I$63,MATCH($B11&amp;RIGHT(G$7,2),Data!$A$6:$A$63,0),MATCH($B$4,Data!$A$6:$I$6,0)),"")</f>
        <v>0.34584000000019999</v>
      </c>
      <c r="H11" s="71">
        <f t="shared" si="0"/>
        <v>21.509374686157003</v>
      </c>
      <c r="I11" s="71">
        <f>Allowance!H16</f>
        <v>21.509374686157003</v>
      </c>
      <c r="K11" s="69">
        <f>SUMIFS(Data!$E$8:$E$62,Data!$B$8:$B$62,$B11,Data!$C$8:$C$62,"&gt;=2021")</f>
        <v>3013.0588535929037</v>
      </c>
      <c r="L11" s="70">
        <f t="shared" si="1"/>
        <v>7.1387170750110904E-3</v>
      </c>
      <c r="M11" s="65" t="s">
        <v>13</v>
      </c>
      <c r="N11" s="80">
        <v>0</v>
      </c>
      <c r="O11" s="71">
        <f>I11*(1-N11)</f>
        <v>21.509374686157003</v>
      </c>
      <c r="P11" s="40"/>
      <c r="Q11" s="88">
        <f t="shared" si="2"/>
        <v>21.509374686157003</v>
      </c>
    </row>
    <row r="12" spans="1:17" x14ac:dyDescent="0.3">
      <c r="B12" s="65" t="s">
        <v>3</v>
      </c>
      <c r="C12" s="66">
        <f>IFERROR(INDEX(Data!$A$6:$I$63,MATCH($B12&amp;RIGHT(C$7,2),Data!$A$6:$A$63,0),MATCH($B$4,Data!$A$6:$I$6,0)),"")</f>
        <v>0</v>
      </c>
      <c r="D12" s="66">
        <f>IFERROR(INDEX(Data!$A$6:$I$63,MATCH($B12&amp;RIGHT(D$7,2),Data!$A$6:$A$63,0),MATCH($B$4,Data!$A$6:$I$6,0)),"")</f>
        <v>0</v>
      </c>
      <c r="E12" s="66">
        <f>IFERROR(INDEX(Data!$A$6:$I$63,MATCH($B12&amp;RIGHT(E$7,2),Data!$A$6:$A$63,0),MATCH($B$4,Data!$A$6:$I$6,0)),"")</f>
        <v>0</v>
      </c>
      <c r="F12" s="66">
        <f>IFERROR(INDEX(Data!$A$6:$I$63,MATCH($B12&amp;RIGHT(F$7,2),Data!$A$6:$A$63,0),MATCH($B$4,Data!$A$6:$I$6,0)),"")</f>
        <v>0</v>
      </c>
      <c r="G12" s="66">
        <f>IFERROR(INDEX(Data!$A$6:$I$63,MATCH($B12&amp;RIGHT(G$7,2),Data!$A$6:$A$63,0),MATCH($B$4,Data!$A$6:$I$6,0)),"")</f>
        <v>0</v>
      </c>
      <c r="H12" s="71">
        <f t="shared" si="0"/>
        <v>0</v>
      </c>
      <c r="I12" s="71">
        <f>Allowance!H17</f>
        <v>0</v>
      </c>
      <c r="K12" s="69">
        <f>SUMIFS(Data!$E$8:$E$62,Data!$B$8:$B$62,$B12,Data!$C$8:$C$62,"&gt;=2021")</f>
        <v>2609.462</v>
      </c>
      <c r="L12" s="70">
        <f t="shared" si="1"/>
        <v>0</v>
      </c>
      <c r="M12" s="65"/>
      <c r="N12" s="80"/>
      <c r="O12" s="71"/>
      <c r="P12" s="40"/>
      <c r="Q12" s="88">
        <f t="shared" si="2"/>
        <v>0</v>
      </c>
    </row>
    <row r="13" spans="1:17" ht="26" x14ac:dyDescent="0.3">
      <c r="B13" s="65" t="s">
        <v>59</v>
      </c>
      <c r="C13" s="66">
        <f>IFERROR(INDEX(Data!$A$6:$I$63,MATCH($B13&amp;RIGHT(C$7,2),Data!$A$6:$A$63,0),MATCH($B$4,Data!$A$6:$I$6,0)),"")</f>
        <v>1.046</v>
      </c>
      <c r="D13" s="66">
        <f>IFERROR(INDEX(Data!$A$6:$I$63,MATCH($B13&amp;RIGHT(D$7,2),Data!$A$6:$A$63,0),MATCH($B$4,Data!$A$6:$I$6,0)),"")</f>
        <v>1.079</v>
      </c>
      <c r="E13" s="66">
        <f>IFERROR(INDEX(Data!$A$6:$I$63,MATCH($B13&amp;RIGHT(E$7,2),Data!$A$6:$A$63,0),MATCH($B$4,Data!$A$6:$I$6,0)),"")</f>
        <v>1.2909999999999999</v>
      </c>
      <c r="F13" s="66">
        <f>IFERROR(INDEX(Data!$A$6:$I$63,MATCH($B13&amp;RIGHT(F$7,2),Data!$A$6:$A$63,0),MATCH($B$4,Data!$A$6:$I$6,0)),"")</f>
        <v>1.2509999999999999</v>
      </c>
      <c r="G13" s="66">
        <f>IFERROR(INDEX(Data!$A$6:$I$63,MATCH($B13&amp;RIGHT(G$7,2),Data!$A$6:$A$63,0),MATCH($B$4,Data!$A$6:$I$6,0)),"")</f>
        <v>1.099</v>
      </c>
      <c r="H13" s="71">
        <f t="shared" si="0"/>
        <v>5.766</v>
      </c>
      <c r="I13" s="71">
        <f>Allowance!H18</f>
        <v>5.766</v>
      </c>
      <c r="K13" s="69">
        <f>SUMIFS(Data!$E$8:$E$62,Data!$B$8:$B$62,$B13,Data!$C$8:$C$62,"&gt;=2021")</f>
        <v>2952.671035202944</v>
      </c>
      <c r="L13" s="70">
        <f t="shared" si="1"/>
        <v>1.9528081290653124E-3</v>
      </c>
      <c r="M13" s="65" t="s">
        <v>13</v>
      </c>
      <c r="N13" s="80">
        <v>0</v>
      </c>
      <c r="O13" s="71">
        <f>I13*(1-N13)</f>
        <v>5.766</v>
      </c>
      <c r="P13" s="40"/>
      <c r="Q13" s="88">
        <f t="shared" si="2"/>
        <v>5.766</v>
      </c>
    </row>
    <row r="14" spans="1:17" ht="26" x14ac:dyDescent="0.3">
      <c r="B14" s="65" t="s">
        <v>4</v>
      </c>
      <c r="C14" s="66">
        <f>IFERROR(INDEX(Data!$A$6:$I$63,MATCH($B14&amp;RIGHT(C$7,2),Data!$A$6:$A$63,0),MATCH($B$4,Data!$A$6:$I$6,0)),"")</f>
        <v>2.722</v>
      </c>
      <c r="D14" s="66">
        <f>IFERROR(INDEX(Data!$A$6:$I$63,MATCH($B14&amp;RIGHT(D$7,2),Data!$A$6:$A$63,0),MATCH($B$4,Data!$A$6:$I$6,0)),"")</f>
        <v>0.59199999999999997</v>
      </c>
      <c r="E14" s="66">
        <f>IFERROR(INDEX(Data!$A$6:$I$63,MATCH($B14&amp;RIGHT(E$7,2),Data!$A$6:$A$63,0),MATCH($B$4,Data!$A$6:$I$6,0)),"")</f>
        <v>0</v>
      </c>
      <c r="F14" s="66">
        <f>IFERROR(INDEX(Data!$A$6:$I$63,MATCH($B14&amp;RIGHT(F$7,2),Data!$A$6:$A$63,0),MATCH($B$4,Data!$A$6:$I$6,0)),"")</f>
        <v>0</v>
      </c>
      <c r="G14" s="66">
        <f>IFERROR(INDEX(Data!$A$6:$I$63,MATCH($B14&amp;RIGHT(G$7,2),Data!$A$6:$A$63,0),MATCH($B$4,Data!$A$6:$I$6,0)),"")</f>
        <v>0</v>
      </c>
      <c r="H14" s="71">
        <f t="shared" si="0"/>
        <v>3.3140000000000001</v>
      </c>
      <c r="I14" s="71">
        <f>Allowance!H19</f>
        <v>3.3140000000000001</v>
      </c>
      <c r="K14" s="69">
        <f>SUMIFS(Data!$E$8:$E$62,Data!$B$8:$B$62,$B14,Data!$C$8:$C$62,"&gt;=2021")</f>
        <v>951.08800000000008</v>
      </c>
      <c r="L14" s="70">
        <f t="shared" si="1"/>
        <v>3.4844304627962919E-3</v>
      </c>
      <c r="M14" s="65" t="s">
        <v>13</v>
      </c>
      <c r="N14" s="80">
        <v>0</v>
      </c>
      <c r="O14" s="71">
        <f t="shared" ref="O14:O17" si="3">I14*(1-N14)</f>
        <v>3.3140000000000001</v>
      </c>
      <c r="P14" s="40"/>
      <c r="Q14" s="88">
        <f t="shared" si="2"/>
        <v>3.3140000000000001</v>
      </c>
    </row>
    <row r="15" spans="1:17" ht="26" x14ac:dyDescent="0.3">
      <c r="B15" s="65" t="s">
        <v>5</v>
      </c>
      <c r="C15" s="66">
        <f>IFERROR(INDEX(Data!$A$6:$I$63,MATCH($B15&amp;RIGHT(C$7,2),Data!$A$6:$A$63,0),MATCH($B$4,Data!$A$6:$I$6,0)),"")</f>
        <v>4.0635054087000002</v>
      </c>
      <c r="D15" s="66">
        <f>IFERROR(INDEX(Data!$A$6:$I$63,MATCH($B15&amp;RIGHT(D$7,2),Data!$A$6:$A$63,0),MATCH($B$4,Data!$A$6:$I$6,0)),"")</f>
        <v>0</v>
      </c>
      <c r="E15" s="66">
        <f>IFERROR(INDEX(Data!$A$6:$I$63,MATCH($B15&amp;RIGHT(E$7,2),Data!$A$6:$A$63,0),MATCH($B$4,Data!$A$6:$I$6,0)),"")</f>
        <v>0</v>
      </c>
      <c r="F15" s="66">
        <f>IFERROR(INDEX(Data!$A$6:$I$63,MATCH($B15&amp;RIGHT(F$7,2),Data!$A$6:$A$63,0),MATCH($B$4,Data!$A$6:$I$6,0)),"")</f>
        <v>0</v>
      </c>
      <c r="G15" s="66">
        <f>IFERROR(INDEX(Data!$A$6:$I$63,MATCH($B15&amp;RIGHT(G$7,2),Data!$A$6:$A$63,0),MATCH($B$4,Data!$A$6:$I$6,0)),"")</f>
        <v>0</v>
      </c>
      <c r="H15" s="71">
        <f t="shared" si="0"/>
        <v>4.0635054087000002</v>
      </c>
      <c r="I15" s="71">
        <f>Allowance!H20</f>
        <v>4.0635054087000002</v>
      </c>
      <c r="K15" s="69">
        <f>SUMIFS(Data!$E$8:$E$62,Data!$B$8:$B$62,$B15,Data!$C$8:$C$62,"&gt;=2021")</f>
        <v>4997.1676900586726</v>
      </c>
      <c r="L15" s="70">
        <f t="shared" si="1"/>
        <v>8.1316170693729306E-4</v>
      </c>
      <c r="M15" s="65" t="s">
        <v>13</v>
      </c>
      <c r="N15" s="80">
        <v>0.15</v>
      </c>
      <c r="O15" s="71">
        <f t="shared" si="3"/>
        <v>3.453979597395</v>
      </c>
      <c r="P15" s="40"/>
      <c r="Q15" s="88">
        <f t="shared" si="2"/>
        <v>3.453979597395</v>
      </c>
    </row>
    <row r="16" spans="1:17" ht="26" x14ac:dyDescent="0.3">
      <c r="B16" s="65" t="s">
        <v>6</v>
      </c>
      <c r="C16" s="66">
        <f>IFERROR(INDEX(Data!$A$6:$I$63,MATCH($B16&amp;RIGHT(C$7,2),Data!$A$6:$A$63,0),MATCH($B$4,Data!$A$6:$I$6,0)),"")</f>
        <v>1.8839999999999999</v>
      </c>
      <c r="D16" s="66">
        <f>IFERROR(INDEX(Data!$A$6:$I$63,MATCH($B16&amp;RIGHT(D$7,2),Data!$A$6:$A$63,0),MATCH($B$4,Data!$A$6:$I$6,0)),"")</f>
        <v>1.863</v>
      </c>
      <c r="E16" s="66">
        <f>IFERROR(INDEX(Data!$A$6:$I$63,MATCH($B16&amp;RIGHT(E$7,2),Data!$A$6:$A$63,0),MATCH($B$4,Data!$A$6:$I$6,0)),"")</f>
        <v>1.319</v>
      </c>
      <c r="F16" s="66">
        <f>IFERROR(INDEX(Data!$A$6:$I$63,MATCH($B16&amp;RIGHT(F$7,2),Data!$A$6:$A$63,0),MATCH($B$4,Data!$A$6:$I$6,0)),"")</f>
        <v>0.78600000000000003</v>
      </c>
      <c r="G16" s="66">
        <f>IFERROR(INDEX(Data!$A$6:$I$63,MATCH($B16&amp;RIGHT(G$7,2),Data!$A$6:$A$63,0),MATCH($B$4,Data!$A$6:$I$6,0)),"")</f>
        <v>0.77700000000000002</v>
      </c>
      <c r="H16" s="71">
        <f t="shared" si="0"/>
        <v>6.6290000000000004</v>
      </c>
      <c r="I16" s="71">
        <f>Allowance!H21</f>
        <v>6.6290000000000004</v>
      </c>
      <c r="K16" s="69">
        <f>SUMIFS(Data!$E$8:$E$62,Data!$B$8:$B$62,$B16,Data!$C$8:$C$62,"&gt;=2021")</f>
        <v>1529.0949999999998</v>
      </c>
      <c r="L16" s="70">
        <f t="shared" si="1"/>
        <v>4.3352440495848859E-3</v>
      </c>
      <c r="M16" s="65" t="s">
        <v>13</v>
      </c>
      <c r="N16" s="80">
        <v>5.3222695394977662E-2</v>
      </c>
      <c r="O16" s="71">
        <f t="shared" si="3"/>
        <v>6.2761867522266934</v>
      </c>
      <c r="P16" s="40"/>
      <c r="Q16" s="88">
        <f t="shared" si="2"/>
        <v>6.2761867522266934</v>
      </c>
    </row>
    <row r="17" spans="2:21" ht="26" x14ac:dyDescent="0.3">
      <c r="B17" s="65" t="s">
        <v>7</v>
      </c>
      <c r="C17" s="66">
        <f>IFERROR(INDEX(Data!$A$6:$I$63,MATCH($B17&amp;RIGHT(C$7,2),Data!$A$6:$A$63,0),MATCH($B$4,Data!$A$6:$I$6,0)),"")</f>
        <v>9.8952355397538394</v>
      </c>
      <c r="D17" s="66">
        <f>IFERROR(INDEX(Data!$A$6:$I$63,MATCH($B17&amp;RIGHT(D$7,2),Data!$A$6:$A$63,0),MATCH($B$4,Data!$A$6:$I$6,0)),"")</f>
        <v>2.5866237705230799</v>
      </c>
      <c r="E17" s="66">
        <f>IFERROR(INDEX(Data!$A$6:$I$63,MATCH($B17&amp;RIGHT(E$7,2),Data!$A$6:$A$63,0),MATCH($B$4,Data!$A$6:$I$6,0)),"")</f>
        <v>0.56560696283076894</v>
      </c>
      <c r="F17" s="66">
        <f>IFERROR(INDEX(Data!$A$6:$I$63,MATCH($B17&amp;RIGHT(F$7,2),Data!$A$6:$A$63,0),MATCH($B$4,Data!$A$6:$I$6,0)),"")</f>
        <v>0.73588142436923099</v>
      </c>
      <c r="G17" s="66">
        <f>IFERROR(INDEX(Data!$A$6:$I$63,MATCH($B17&amp;RIGHT(G$7,2),Data!$A$6:$A$63,0),MATCH($B$4,Data!$A$6:$I$6,0)),"")</f>
        <v>0.18996427052307699</v>
      </c>
      <c r="H17" s="71">
        <f t="shared" si="0"/>
        <v>13.973311967999996</v>
      </c>
      <c r="I17" s="71">
        <f>Allowance!H22</f>
        <v>13.973311967999996</v>
      </c>
      <c r="K17" s="69">
        <f>SUMIFS(Data!$E$8:$E$62,Data!$B$8:$B$62,$B17,Data!$C$8:$C$62,"&gt;=2021")</f>
        <v>1573.2079316710249</v>
      </c>
      <c r="L17" s="70">
        <f t="shared" si="1"/>
        <v>8.8820502914435905E-3</v>
      </c>
      <c r="M17" s="65" t="s">
        <v>13</v>
      </c>
      <c r="N17" s="80">
        <v>3.4187573483386621E-2</v>
      </c>
      <c r="O17" s="71">
        <f t="shared" si="3"/>
        <v>13.49559833828771</v>
      </c>
      <c r="P17" s="40"/>
      <c r="Q17" s="88">
        <f t="shared" si="2"/>
        <v>13.49559833828771</v>
      </c>
    </row>
    <row r="18" spans="2:21" ht="26" x14ac:dyDescent="0.3">
      <c r="B18" s="65" t="s">
        <v>8</v>
      </c>
      <c r="C18" s="66">
        <f>IFERROR(INDEX(Data!$A$6:$I$63,MATCH($B18&amp;RIGHT(C$7,2),Data!$A$6:$A$63,0),MATCH($B$4,Data!$A$6:$I$6,0)),"")</f>
        <v>5.6390000000000002</v>
      </c>
      <c r="D18" s="66">
        <f>IFERROR(INDEX(Data!$A$6:$I$63,MATCH($B18&amp;RIGHT(D$7,2),Data!$A$6:$A$63,0),MATCH($B$4,Data!$A$6:$I$6,0)),"")</f>
        <v>1.9770000000000001</v>
      </c>
      <c r="E18" s="66">
        <f>IFERROR(INDEX(Data!$A$6:$I$63,MATCH($B18&amp;RIGHT(E$7,2),Data!$A$6:$A$63,0),MATCH($B$4,Data!$A$6:$I$6,0)),"")</f>
        <v>0.13600000000000001</v>
      </c>
      <c r="F18" s="66">
        <f>IFERROR(INDEX(Data!$A$6:$I$63,MATCH($B18&amp;RIGHT(F$7,2),Data!$A$6:$A$63,0),MATCH($B$4,Data!$A$6:$I$6,0)),"")</f>
        <v>0.13900000000000001</v>
      </c>
      <c r="G18" s="66">
        <f>IFERROR(INDEX(Data!$A$6:$I$63,MATCH($B18&amp;RIGHT(G$7,2),Data!$A$6:$A$63,0),MATCH($B$4,Data!$A$6:$I$6,0)),"")</f>
        <v>0.14000000000000001</v>
      </c>
      <c r="H18" s="71">
        <f t="shared" si="0"/>
        <v>8.0310000000000006</v>
      </c>
      <c r="I18" s="71">
        <f>Allowance!H23</f>
        <v>44.194000000000003</v>
      </c>
      <c r="K18" s="69">
        <f>SUMIFS(Data!$E$8:$E$62,Data!$B$8:$B$62,$B18,Data!$C$8:$C$62,"&gt;=2021")</f>
        <v>2894.0260000000003</v>
      </c>
      <c r="L18" s="70">
        <f t="shared" si="1"/>
        <v>1.5270768127169555E-2</v>
      </c>
      <c r="M18" s="65" t="s">
        <v>98</v>
      </c>
      <c r="N18" s="80"/>
      <c r="O18" s="71"/>
      <c r="P18" s="87">
        <f>'Deep dive_YKY'!C7</f>
        <v>35.769950000000001</v>
      </c>
      <c r="Q18" s="88">
        <f t="shared" si="2"/>
        <v>35.769950000000001</v>
      </c>
    </row>
    <row r="19" spans="2:21" x14ac:dyDescent="0.3">
      <c r="B19" s="59" t="s">
        <v>9</v>
      </c>
      <c r="C19" s="59">
        <f t="shared" ref="C19:G19" si="4">SUM(C8:C18)</f>
        <v>39.907772391223943</v>
      </c>
      <c r="D19" s="59">
        <f t="shared" si="4"/>
        <v>13.997119805392058</v>
      </c>
      <c r="E19" s="59">
        <f t="shared" si="4"/>
        <v>3.739418084614349</v>
      </c>
      <c r="F19" s="59">
        <f t="shared" si="4"/>
        <v>3.277615233644811</v>
      </c>
      <c r="G19" s="59">
        <f t="shared" si="4"/>
        <v>2.5716980797986571</v>
      </c>
      <c r="H19" s="58">
        <f>SUM(C19:G19)</f>
        <v>63.493623594673821</v>
      </c>
      <c r="I19" s="58">
        <f>SUM(C19:H19)</f>
        <v>126.98724718934764</v>
      </c>
      <c r="K19" s="60">
        <f>SUM(K8:K18)</f>
        <v>25116.794308156703</v>
      </c>
      <c r="L19" s="68">
        <f t="shared" si="1"/>
        <v>5.0558700139574902E-3</v>
      </c>
      <c r="M19" s="59"/>
      <c r="N19" s="81"/>
      <c r="O19" s="58">
        <f>SUM(O8:O18)</f>
        <v>54.897184456465396</v>
      </c>
      <c r="P19" s="40"/>
      <c r="Q19" s="88">
        <f t="shared" si="2"/>
        <v>54.897184456465396</v>
      </c>
    </row>
    <row r="20" spans="2:21" ht="14.5" x14ac:dyDescent="0.35">
      <c r="P20"/>
      <c r="T20" s="56"/>
      <c r="U20" s="56"/>
    </row>
    <row r="21" spans="2:21" ht="14.5" x14ac:dyDescent="0.35">
      <c r="P21"/>
      <c r="T21" s="56"/>
    </row>
    <row r="22" spans="2:21" ht="14.5" x14ac:dyDescent="0.35">
      <c r="P22"/>
      <c r="T22" s="56"/>
    </row>
    <row r="23" spans="2:21" ht="14.5" x14ac:dyDescent="0.35">
      <c r="B23"/>
      <c r="C23"/>
      <c r="D23"/>
      <c r="E23"/>
      <c r="F23"/>
      <c r="P23"/>
      <c r="T23" s="56"/>
    </row>
    <row r="24" spans="2:21" ht="14.5" x14ac:dyDescent="0.35">
      <c r="B24"/>
      <c r="C24"/>
      <c r="D24"/>
      <c r="E24"/>
      <c r="F24"/>
      <c r="P24"/>
      <c r="T24" s="56"/>
    </row>
    <row r="25" spans="2:21" ht="14.5" x14ac:dyDescent="0.35">
      <c r="B25"/>
      <c r="C25"/>
      <c r="D25"/>
      <c r="E25"/>
      <c r="F25"/>
      <c r="P25"/>
    </row>
    <row r="26" spans="2:21" ht="14.5" x14ac:dyDescent="0.35">
      <c r="B26"/>
      <c r="C26"/>
      <c r="D26"/>
      <c r="E26"/>
      <c r="F26"/>
      <c r="P26"/>
    </row>
    <row r="27" spans="2:21" ht="14.5" x14ac:dyDescent="0.35">
      <c r="B27"/>
      <c r="C27"/>
      <c r="D27"/>
      <c r="E27"/>
      <c r="F27"/>
    </row>
    <row r="28" spans="2:21" ht="14.5" x14ac:dyDescent="0.35">
      <c r="B28"/>
      <c r="C28"/>
      <c r="D28"/>
      <c r="E28"/>
      <c r="F28"/>
    </row>
    <row r="29" spans="2:21" ht="14.5" x14ac:dyDescent="0.35">
      <c r="B29"/>
      <c r="C29"/>
      <c r="D29"/>
      <c r="E29"/>
      <c r="F29"/>
    </row>
    <row r="30" spans="2:21" ht="14.5" x14ac:dyDescent="0.35">
      <c r="B30"/>
      <c r="C30"/>
      <c r="D30"/>
      <c r="E30"/>
      <c r="F30"/>
    </row>
    <row r="31" spans="2:21" ht="14.5" x14ac:dyDescent="0.35">
      <c r="B31"/>
      <c r="C31"/>
      <c r="D31"/>
      <c r="E31"/>
      <c r="F31"/>
    </row>
    <row r="32" spans="2:21" ht="14.5" x14ac:dyDescent="0.35">
      <c r="B32"/>
      <c r="C32"/>
      <c r="D32"/>
      <c r="E32"/>
      <c r="F32"/>
    </row>
    <row r="33" spans="2:12" ht="14.5" x14ac:dyDescent="0.35">
      <c r="B33"/>
      <c r="C33"/>
      <c r="D33"/>
      <c r="E33"/>
      <c r="F33"/>
    </row>
    <row r="34" spans="2:12" ht="14.5" x14ac:dyDescent="0.35">
      <c r="B34"/>
      <c r="C34"/>
      <c r="D34"/>
      <c r="E34"/>
      <c r="F34"/>
    </row>
    <row r="35" spans="2:12" ht="14.5" x14ac:dyDescent="0.35">
      <c r="B35"/>
      <c r="C35"/>
      <c r="D35"/>
      <c r="E35"/>
      <c r="F35"/>
    </row>
    <row r="36" spans="2:12" ht="14.5" x14ac:dyDescent="0.35">
      <c r="B36"/>
      <c r="C36"/>
      <c r="D36"/>
      <c r="E36"/>
      <c r="F36"/>
      <c r="G36"/>
      <c r="H36"/>
      <c r="I36"/>
      <c r="J36"/>
      <c r="K36"/>
      <c r="L36"/>
    </row>
    <row r="37" spans="2:12" ht="14.5" x14ac:dyDescent="0.35">
      <c r="B37"/>
      <c r="C37"/>
      <c r="D37"/>
      <c r="E37"/>
      <c r="F37"/>
      <c r="G37"/>
      <c r="H37"/>
      <c r="I37"/>
      <c r="J37"/>
      <c r="K37"/>
      <c r="L37"/>
    </row>
    <row r="38" spans="2:12" ht="14.5" x14ac:dyDescent="0.35">
      <c r="B38"/>
      <c r="C38"/>
      <c r="D38"/>
      <c r="E38"/>
      <c r="F38"/>
      <c r="G38"/>
      <c r="H38"/>
      <c r="I38"/>
      <c r="J38"/>
      <c r="K38"/>
      <c r="L38"/>
    </row>
    <row r="39" spans="2:12" ht="14.5" x14ac:dyDescent="0.35">
      <c r="B39"/>
      <c r="C39"/>
      <c r="D39"/>
      <c r="E39"/>
      <c r="F39"/>
      <c r="G39"/>
      <c r="H39"/>
      <c r="I39"/>
      <c r="J39"/>
      <c r="K39"/>
      <c r="L39"/>
    </row>
    <row r="40" spans="2:12" ht="14.5" x14ac:dyDescent="0.35">
      <c r="B40"/>
      <c r="C40"/>
      <c r="D40"/>
      <c r="E40"/>
      <c r="F40"/>
      <c r="G40"/>
      <c r="H40"/>
      <c r="I40"/>
      <c r="J40"/>
      <c r="K40"/>
      <c r="L40"/>
    </row>
    <row r="41" spans="2:12" ht="14.5" x14ac:dyDescent="0.35">
      <c r="B41"/>
      <c r="C41"/>
      <c r="D41"/>
      <c r="E41"/>
      <c r="F41"/>
      <c r="G41"/>
      <c r="H41"/>
      <c r="I41"/>
      <c r="J41"/>
      <c r="K41"/>
      <c r="L41"/>
    </row>
    <row r="42" spans="2:12" ht="14.5" x14ac:dyDescent="0.35">
      <c r="B42"/>
      <c r="C42"/>
      <c r="D42"/>
      <c r="E42"/>
      <c r="F42"/>
      <c r="G42"/>
      <c r="H42"/>
      <c r="I42"/>
      <c r="J42"/>
      <c r="K42"/>
      <c r="L42"/>
    </row>
    <row r="43" spans="2:12" ht="14.5" x14ac:dyDescent="0.35">
      <c r="G43"/>
      <c r="H43"/>
      <c r="I43"/>
      <c r="J43"/>
      <c r="K43"/>
      <c r="L43"/>
    </row>
    <row r="44" spans="2:12" ht="14.5" x14ac:dyDescent="0.35">
      <c r="G44"/>
      <c r="H44"/>
      <c r="I44"/>
      <c r="J44"/>
      <c r="K44"/>
      <c r="L44"/>
    </row>
    <row r="45" spans="2:12" ht="14.5" x14ac:dyDescent="0.35">
      <c r="G45"/>
      <c r="H45"/>
      <c r="I45"/>
      <c r="J45"/>
      <c r="K45"/>
      <c r="L45"/>
    </row>
    <row r="46" spans="2:12" ht="14.5" x14ac:dyDescent="0.35">
      <c r="G46"/>
      <c r="H46"/>
      <c r="I46"/>
      <c r="J46"/>
      <c r="K46"/>
      <c r="L46"/>
    </row>
    <row r="47" spans="2:12" ht="14.5" x14ac:dyDescent="0.35">
      <c r="G47"/>
      <c r="H47"/>
      <c r="I47"/>
      <c r="J47"/>
      <c r="K47"/>
      <c r="L47"/>
    </row>
    <row r="48" spans="2:12" ht="14.5" x14ac:dyDescent="0.35">
      <c r="G48"/>
      <c r="H48"/>
      <c r="I48"/>
      <c r="J48"/>
      <c r="K48"/>
      <c r="L48"/>
    </row>
    <row r="49" spans="7:12" ht="14.5" x14ac:dyDescent="0.35">
      <c r="G49"/>
      <c r="H49"/>
      <c r="I49"/>
      <c r="J49"/>
      <c r="K49"/>
      <c r="L49"/>
    </row>
  </sheetData>
  <conditionalFormatting sqref="T21:T24 I9:I19 B8:I8 B9:H18 B19:I19 T20:U20 K8:L19">
    <cfRule type="cellIs" dxfId="6" priority="258" operator="equal">
      <formula>0</formula>
    </cfRule>
  </conditionalFormatting>
  <conditionalFormatting sqref="M8 M10:M13 M15:M19">
    <cfRule type="cellIs" dxfId="5" priority="10" operator="equal">
      <formula>0</formula>
    </cfRule>
  </conditionalFormatting>
  <conditionalFormatting sqref="M14">
    <cfRule type="cellIs" dxfId="4" priority="8" operator="equal">
      <formula>0</formula>
    </cfRule>
  </conditionalFormatting>
  <conditionalFormatting sqref="N8:N18">
    <cfRule type="cellIs" dxfId="3" priority="6" operator="equal">
      <formula>0</formula>
    </cfRule>
  </conditionalFormatting>
  <conditionalFormatting sqref="O19">
    <cfRule type="cellIs" dxfId="2" priority="2" operator="equal">
      <formula>0</formula>
    </cfRule>
  </conditionalFormatting>
  <conditionalFormatting sqref="O8:O18">
    <cfRule type="cellIs" dxfId="1" priority="4" operator="equal">
      <formula>0</formula>
    </cfRule>
  </conditionalFormatting>
  <conditionalFormatting sqref="M9">
    <cfRule type="cellIs" dxfId="0" priority="1"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sheetPr>
  <dimension ref="B1:N44"/>
  <sheetViews>
    <sheetView showGridLines="0" zoomScale="80" zoomScaleNormal="80" workbookViewId="0"/>
  </sheetViews>
  <sheetFormatPr defaultColWidth="8.81640625" defaultRowHeight="13" x14ac:dyDescent="0.3"/>
  <cols>
    <col min="1" max="1" width="2" style="2" customWidth="1"/>
    <col min="2" max="2" width="37.7265625" style="2" customWidth="1"/>
    <col min="3" max="3" width="16.6328125" style="2" customWidth="1"/>
    <col min="4" max="4" width="14.7265625" style="2" customWidth="1"/>
    <col min="5" max="5" width="8.6328125" style="2" customWidth="1"/>
    <col min="6" max="6" width="26.6328125" style="2" customWidth="1"/>
    <col min="7" max="14" width="8.6328125" style="2" customWidth="1"/>
    <col min="15" max="16384" width="8.81640625" style="2"/>
  </cols>
  <sheetData>
    <row r="1" spans="2:9" s="46" customFormat="1" ht="18.5" x14ac:dyDescent="0.3">
      <c r="B1" s="1" t="s">
        <v>104</v>
      </c>
      <c r="C1" s="43"/>
      <c r="D1" s="43"/>
      <c r="E1" s="43"/>
      <c r="F1" s="43"/>
      <c r="G1" s="2"/>
      <c r="H1" s="44"/>
      <c r="I1" s="45"/>
    </row>
    <row r="2" spans="2:9" s="46" customFormat="1" x14ac:dyDescent="0.3">
      <c r="B2" s="9"/>
      <c r="C2" s="47"/>
      <c r="D2" s="47"/>
      <c r="E2" s="2"/>
      <c r="F2" s="2"/>
      <c r="G2" s="2"/>
      <c r="H2" s="44"/>
      <c r="I2" s="45"/>
    </row>
    <row r="3" spans="2:9" s="46" customFormat="1" x14ac:dyDescent="0.3">
      <c r="B3" s="9" t="s">
        <v>105</v>
      </c>
      <c r="C3" s="47"/>
      <c r="D3" s="47"/>
      <c r="E3" s="2"/>
      <c r="F3" s="2"/>
      <c r="G3" s="2"/>
      <c r="H3" s="44"/>
      <c r="I3" s="45"/>
    </row>
    <row r="4" spans="2:9" x14ac:dyDescent="0.3">
      <c r="B4" s="48" t="s">
        <v>10</v>
      </c>
      <c r="C4" s="49" t="s">
        <v>8</v>
      </c>
      <c r="D4" s="50"/>
    </row>
    <row r="5" spans="2:9" ht="26" x14ac:dyDescent="0.3">
      <c r="B5" s="48" t="s">
        <v>12</v>
      </c>
      <c r="C5" s="51" t="s">
        <v>66</v>
      </c>
      <c r="D5" s="50"/>
    </row>
    <row r="6" spans="2:9" x14ac:dyDescent="0.3">
      <c r="B6" s="48" t="s">
        <v>77</v>
      </c>
      <c r="C6" s="79">
        <f>Analysis!I18</f>
        <v>44.194000000000003</v>
      </c>
      <c r="D6" s="76">
        <v>35.899000000000001</v>
      </c>
      <c r="E6" s="76">
        <f>C6-D6</f>
        <v>8.2950000000000017</v>
      </c>
      <c r="F6" s="77" t="s">
        <v>110</v>
      </c>
    </row>
    <row r="7" spans="2:9" x14ac:dyDescent="0.3">
      <c r="B7" s="52" t="s">
        <v>90</v>
      </c>
      <c r="C7" s="76">
        <f>D7+E7</f>
        <v>35.769950000000001</v>
      </c>
      <c r="D7" s="76">
        <f>D6*80%</f>
        <v>28.719200000000001</v>
      </c>
      <c r="E7" s="76">
        <f>E6*(1-F7)</f>
        <v>7.0507500000000016</v>
      </c>
      <c r="F7" s="78">
        <v>0.15</v>
      </c>
    </row>
    <row r="8" spans="2:9" x14ac:dyDescent="0.3">
      <c r="B8" s="9"/>
    </row>
    <row r="9" spans="2:9" x14ac:dyDescent="0.3">
      <c r="B9" s="53" t="s">
        <v>78</v>
      </c>
      <c r="F9" s="9" t="s">
        <v>79</v>
      </c>
    </row>
    <row r="10" spans="2:9" x14ac:dyDescent="0.3">
      <c r="B10" s="48" t="s">
        <v>80</v>
      </c>
      <c r="C10" s="48" t="s">
        <v>81</v>
      </c>
      <c r="D10" s="54"/>
      <c r="F10" s="48" t="s">
        <v>82</v>
      </c>
    </row>
    <row r="11" spans="2:9" x14ac:dyDescent="0.3">
      <c r="B11" s="48" t="s">
        <v>83</v>
      </c>
      <c r="C11" s="48" t="s">
        <v>81</v>
      </c>
      <c r="D11" s="54"/>
      <c r="F11" s="48" t="s">
        <v>82</v>
      </c>
    </row>
    <row r="12" spans="2:9" x14ac:dyDescent="0.3">
      <c r="B12" s="48" t="s">
        <v>84</v>
      </c>
      <c r="C12" s="48" t="s">
        <v>81</v>
      </c>
      <c r="D12" s="48"/>
      <c r="F12" s="48" t="s">
        <v>82</v>
      </c>
    </row>
    <row r="13" spans="2:9" x14ac:dyDescent="0.3">
      <c r="B13" s="48" t="s">
        <v>85</v>
      </c>
      <c r="C13" s="48" t="s">
        <v>81</v>
      </c>
      <c r="D13" s="48"/>
      <c r="F13" s="48" t="s">
        <v>82</v>
      </c>
    </row>
    <row r="14" spans="2:9" x14ac:dyDescent="0.3">
      <c r="B14" s="48" t="s">
        <v>86</v>
      </c>
      <c r="C14" s="48" t="s">
        <v>81</v>
      </c>
      <c r="D14" s="48"/>
      <c r="F14" s="48" t="s">
        <v>82</v>
      </c>
    </row>
    <row r="15" spans="2:9" x14ac:dyDescent="0.3">
      <c r="B15" s="48" t="s">
        <v>87</v>
      </c>
      <c r="C15" s="48" t="s">
        <v>81</v>
      </c>
      <c r="D15" s="48"/>
      <c r="F15" s="48" t="s">
        <v>82</v>
      </c>
    </row>
    <row r="16" spans="2:9" x14ac:dyDescent="0.3">
      <c r="B16" s="48" t="s">
        <v>88</v>
      </c>
      <c r="C16" s="48" t="s">
        <v>81</v>
      </c>
      <c r="D16" s="48"/>
      <c r="F16" s="48" t="s">
        <v>82</v>
      </c>
    </row>
    <row r="17" spans="2:6" x14ac:dyDescent="0.3">
      <c r="B17" s="48" t="s">
        <v>89</v>
      </c>
      <c r="C17" s="48" t="s">
        <v>81</v>
      </c>
      <c r="D17" s="48"/>
      <c r="F17" s="48" t="s">
        <v>82</v>
      </c>
    </row>
    <row r="18" spans="2:6" x14ac:dyDescent="0.3">
      <c r="B18" s="55"/>
      <c r="C18" s="55"/>
      <c r="D18" s="55"/>
      <c r="F18" s="55"/>
    </row>
    <row r="19" spans="2:6" x14ac:dyDescent="0.3">
      <c r="B19" s="53"/>
      <c r="C19" s="55"/>
      <c r="D19" s="55"/>
      <c r="F19" s="55"/>
    </row>
    <row r="20" spans="2:6" x14ac:dyDescent="0.3">
      <c r="B20" s="55"/>
      <c r="C20" s="55"/>
      <c r="D20" s="55"/>
      <c r="F20" s="55"/>
    </row>
    <row r="21" spans="2:6" x14ac:dyDescent="0.3">
      <c r="B21" s="55"/>
      <c r="C21" s="55"/>
      <c r="D21" s="55"/>
      <c r="F21" s="55"/>
    </row>
    <row r="22" spans="2:6" x14ac:dyDescent="0.3">
      <c r="B22" s="55"/>
      <c r="C22" s="55"/>
      <c r="D22" s="55"/>
      <c r="F22" s="55"/>
    </row>
    <row r="23" spans="2:6" x14ac:dyDescent="0.3">
      <c r="B23" s="55"/>
      <c r="C23" s="55"/>
      <c r="D23" s="55"/>
      <c r="F23" s="55"/>
    </row>
    <row r="24" spans="2:6" x14ac:dyDescent="0.3">
      <c r="B24" s="55"/>
      <c r="C24" s="55"/>
      <c r="D24" s="55"/>
      <c r="F24" s="55"/>
    </row>
    <row r="25" spans="2:6" x14ac:dyDescent="0.3">
      <c r="B25" s="55"/>
      <c r="C25" s="55"/>
      <c r="D25" s="55"/>
      <c r="F25" s="55"/>
    </row>
    <row r="36" spans="2:14" x14ac:dyDescent="0.3">
      <c r="B36" s="9"/>
    </row>
    <row r="39" spans="2:14" x14ac:dyDescent="0.3">
      <c r="B39" s="9"/>
    </row>
    <row r="44" spans="2:14" x14ac:dyDescent="0.3">
      <c r="N44" s="44"/>
    </row>
  </sheetData>
  <dataValidations count="4">
    <dataValidation type="list" allowBlank="1" showInputMessage="1" showErrorMessage="1" sqref="C4">
      <formula1>"ANH,NES,NWT,SRN,SVE,SWB,TMS,WSH,WSX,YKY,AFW,BRL,HDD,PRT,SES,SEW,SSC"</formula1>
    </dataValidation>
    <dataValidation type="list" allowBlank="1" showInputMessage="1" showErrorMessage="1" sqref="C18:C19">
      <formula1>"Pass,Marginal pass, Partial pass, Fail, ,Not assessed, N/A"</formula1>
    </dataValidation>
    <dataValidation type="list" allowBlank="1" showInputMessage="1" showErrorMessage="1" sqref="C5">
      <formula1>"Wholesale water, Wholesale wastewater"</formula1>
    </dataValidation>
    <dataValidation type="list" allowBlank="1" showInputMessage="1" showErrorMessage="1" sqref="C10:C17">
      <formula1>"Pass, Partial pass, Fail, ,Not assessed, N/A"</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M25"/>
  <sheetViews>
    <sheetView showGridLines="0" zoomScale="80" zoomScaleNormal="80" workbookViewId="0">
      <selection activeCell="K12" sqref="K12"/>
    </sheetView>
  </sheetViews>
  <sheetFormatPr defaultColWidth="9.08984375" defaultRowHeight="13" x14ac:dyDescent="0.3"/>
  <cols>
    <col min="1" max="1" width="2.6328125" style="2" customWidth="1"/>
    <col min="2" max="2" width="2.7265625" style="2" customWidth="1"/>
    <col min="3" max="3" width="14.36328125" style="2" customWidth="1"/>
    <col min="4" max="4" width="17" style="2" customWidth="1"/>
    <col min="5" max="5" width="14.08984375" style="2" customWidth="1"/>
    <col min="6" max="6" width="14.6328125" style="2" customWidth="1"/>
    <col min="7" max="8" width="12.81640625" style="2" customWidth="1"/>
    <col min="9" max="9" width="11.6328125" style="2" customWidth="1"/>
    <col min="10" max="10" width="11.6328125" style="2" bestFit="1" customWidth="1"/>
    <col min="11" max="11" width="11.6328125" style="2" customWidth="1"/>
    <col min="12" max="12" width="11.1796875" style="2" bestFit="1" customWidth="1"/>
    <col min="13" max="13" width="12.7265625" style="2" customWidth="1"/>
    <col min="14" max="14" width="31.36328125" style="2" bestFit="1" customWidth="1"/>
    <col min="15" max="16384" width="9.08984375" style="2"/>
  </cols>
  <sheetData>
    <row r="1" spans="2:13" ht="18.5" x14ac:dyDescent="0.45">
      <c r="B1" s="8" t="s">
        <v>71</v>
      </c>
      <c r="C1" s="24"/>
      <c r="D1" s="24"/>
      <c r="E1" s="24"/>
      <c r="F1" s="24"/>
      <c r="G1" s="24"/>
      <c r="H1" s="24"/>
      <c r="I1" s="24"/>
      <c r="J1" s="24"/>
      <c r="K1" s="24"/>
      <c r="L1" s="24"/>
    </row>
    <row r="3" spans="2:13" x14ac:dyDescent="0.3">
      <c r="C3" s="25" t="s">
        <v>11</v>
      </c>
      <c r="D3" s="26" t="s">
        <v>118</v>
      </c>
      <c r="E3" s="27"/>
      <c r="F3" s="27"/>
      <c r="G3" s="27"/>
      <c r="H3" s="27"/>
      <c r="I3" s="27"/>
    </row>
    <row r="4" spans="2:13" x14ac:dyDescent="0.3">
      <c r="C4" s="25" t="s">
        <v>72</v>
      </c>
      <c r="D4" s="26" t="s">
        <v>115</v>
      </c>
      <c r="E4" s="27"/>
      <c r="F4" s="27"/>
      <c r="G4" s="27"/>
      <c r="H4" s="27"/>
      <c r="I4" s="27"/>
    </row>
    <row r="5" spans="2:13" x14ac:dyDescent="0.3">
      <c r="C5" s="25" t="s">
        <v>73</v>
      </c>
      <c r="D5" s="28" t="s">
        <v>63</v>
      </c>
      <c r="E5" s="29"/>
      <c r="F5" s="29"/>
      <c r="G5" s="29"/>
      <c r="H5" s="29"/>
      <c r="I5" s="30"/>
      <c r="J5" s="31"/>
      <c r="K5" s="31"/>
    </row>
    <row r="6" spans="2:13" x14ac:dyDescent="0.3">
      <c r="C6" s="25" t="s">
        <v>74</v>
      </c>
      <c r="D6" s="28" t="s">
        <v>64</v>
      </c>
      <c r="E6" s="29"/>
      <c r="F6" s="29"/>
      <c r="G6" s="29"/>
      <c r="H6" s="29"/>
      <c r="I6" s="32"/>
    </row>
    <row r="7" spans="2:13" x14ac:dyDescent="0.3">
      <c r="C7" s="33" t="s">
        <v>12</v>
      </c>
      <c r="D7" s="34" t="s">
        <v>66</v>
      </c>
      <c r="E7" s="27"/>
      <c r="F7" s="27"/>
      <c r="G7" s="27"/>
      <c r="H7" s="27"/>
      <c r="I7" s="27"/>
    </row>
    <row r="10" spans="2:13" ht="12.75" customHeight="1" x14ac:dyDescent="0.3">
      <c r="B10" s="9" t="s">
        <v>75</v>
      </c>
    </row>
    <row r="11" spans="2:13" ht="12.75" customHeight="1" x14ac:dyDescent="0.3">
      <c r="B11" s="31"/>
      <c r="C11" s="31"/>
      <c r="D11" s="31"/>
      <c r="E11" s="31"/>
      <c r="F11" s="31"/>
      <c r="G11" s="31"/>
      <c r="H11" s="31"/>
      <c r="I11" s="31"/>
      <c r="J11" s="35"/>
      <c r="K11" s="31"/>
    </row>
    <row r="12" spans="2:13" ht="52" x14ac:dyDescent="0.3">
      <c r="C12" s="10" t="s">
        <v>10</v>
      </c>
      <c r="D12" s="10" t="s">
        <v>91</v>
      </c>
      <c r="E12" s="10" t="s">
        <v>92</v>
      </c>
      <c r="F12" s="10" t="s">
        <v>93</v>
      </c>
      <c r="G12" s="10" t="s">
        <v>94</v>
      </c>
      <c r="H12" s="10" t="s">
        <v>116</v>
      </c>
      <c r="I12" s="11" t="s">
        <v>117</v>
      </c>
      <c r="J12" s="12" t="s">
        <v>95</v>
      </c>
      <c r="K12" s="10" t="s">
        <v>96</v>
      </c>
      <c r="L12" s="10" t="s">
        <v>97</v>
      </c>
      <c r="M12" s="10" t="s">
        <v>76</v>
      </c>
    </row>
    <row r="13" spans="2:13" x14ac:dyDescent="0.3">
      <c r="B13" s="36">
        <v>1</v>
      </c>
      <c r="C13" s="37" t="s">
        <v>0</v>
      </c>
      <c r="D13" s="38">
        <f>Analysis!H8</f>
        <v>0.10796248543992</v>
      </c>
      <c r="E13" s="38"/>
      <c r="F13" s="38">
        <f>SUM(E13,G13)</f>
        <v>1.0943098283367434</v>
      </c>
      <c r="G13" s="38">
        <v>1.0943098283367434</v>
      </c>
      <c r="H13" s="38">
        <f>D13+G13</f>
        <v>1.2022723137766633</v>
      </c>
      <c r="I13" s="38">
        <f>Analysis!O8</f>
        <v>1.0820450823989971</v>
      </c>
      <c r="J13" s="39">
        <f>MIN(H13,I13)</f>
        <v>1.0820450823989971</v>
      </c>
      <c r="K13" s="38">
        <v>0</v>
      </c>
      <c r="L13" s="38">
        <f>$J13*$K13</f>
        <v>0</v>
      </c>
      <c r="M13" s="38">
        <f>$J13*(1-$K13)</f>
        <v>1.0820450823989971</v>
      </c>
    </row>
    <row r="14" spans="2:13" x14ac:dyDescent="0.3">
      <c r="B14" s="36">
        <v>2</v>
      </c>
      <c r="C14" s="37" t="s">
        <v>60</v>
      </c>
      <c r="D14" s="38">
        <f>Analysis!H9</f>
        <v>9.9469046376899503E-2</v>
      </c>
      <c r="E14" s="38"/>
      <c r="F14" s="38">
        <f t="shared" ref="F14" si="0">SUM(E14,G14)</f>
        <v>0</v>
      </c>
      <c r="G14" s="38">
        <v>0</v>
      </c>
      <c r="H14" s="38">
        <f t="shared" ref="H14" si="1">D14+G14</f>
        <v>9.9469046376899503E-2</v>
      </c>
      <c r="I14" s="38">
        <f>Analysis!O9</f>
        <v>0</v>
      </c>
      <c r="J14" s="39">
        <f t="shared" ref="J14" si="2">MIN(H14,I14)</f>
        <v>0</v>
      </c>
      <c r="K14" s="38">
        <v>0</v>
      </c>
      <c r="L14" s="38">
        <f t="shared" ref="L14:L23" si="3">$J14*$K14</f>
        <v>0</v>
      </c>
      <c r="M14" s="38">
        <f t="shared" ref="M14:M23" si="4">$J14*(1-$K14)</f>
        <v>0</v>
      </c>
    </row>
    <row r="15" spans="2:13" x14ac:dyDescent="0.3">
      <c r="B15" s="36">
        <v>3</v>
      </c>
      <c r="C15" s="37" t="s">
        <v>1</v>
      </c>
      <c r="D15" s="38">
        <f>Analysis!H10</f>
        <v>0</v>
      </c>
      <c r="E15" s="38"/>
      <c r="F15" s="38">
        <f t="shared" ref="F15:F23" si="5">SUM(E15,G15)</f>
        <v>0</v>
      </c>
      <c r="G15" s="38">
        <v>0</v>
      </c>
      <c r="H15" s="38">
        <f t="shared" ref="H15:H23" si="6">D15+G15</f>
        <v>0</v>
      </c>
      <c r="I15" s="38">
        <f>Analysis!O10</f>
        <v>0</v>
      </c>
      <c r="J15" s="39">
        <f t="shared" ref="J15:J23" si="7">MIN(H15,I15)</f>
        <v>0</v>
      </c>
      <c r="K15" s="38">
        <v>0</v>
      </c>
      <c r="L15" s="38">
        <f t="shared" si="3"/>
        <v>0</v>
      </c>
      <c r="M15" s="38">
        <f t="shared" si="4"/>
        <v>0</v>
      </c>
    </row>
    <row r="16" spans="2:13" x14ac:dyDescent="0.3">
      <c r="B16" s="36">
        <v>4</v>
      </c>
      <c r="C16" s="37" t="s">
        <v>2</v>
      </c>
      <c r="D16" s="38">
        <f>Analysis!H11</f>
        <v>21.509374686157003</v>
      </c>
      <c r="E16" s="38"/>
      <c r="F16" s="38">
        <f t="shared" si="5"/>
        <v>0</v>
      </c>
      <c r="G16" s="38">
        <v>0</v>
      </c>
      <c r="H16" s="38">
        <f t="shared" si="6"/>
        <v>21.509374686157003</v>
      </c>
      <c r="I16" s="38">
        <f>Analysis!O11</f>
        <v>21.509374686157003</v>
      </c>
      <c r="J16" s="39">
        <f t="shared" si="7"/>
        <v>21.509374686157003</v>
      </c>
      <c r="K16" s="38">
        <v>0</v>
      </c>
      <c r="L16" s="38">
        <f t="shared" si="3"/>
        <v>0</v>
      </c>
      <c r="M16" s="38">
        <f t="shared" si="4"/>
        <v>21.509374686157003</v>
      </c>
    </row>
    <row r="17" spans="2:13" x14ac:dyDescent="0.3">
      <c r="B17" s="36">
        <v>5</v>
      </c>
      <c r="C17" s="37" t="s">
        <v>3</v>
      </c>
      <c r="D17" s="38">
        <f>Analysis!H12</f>
        <v>0</v>
      </c>
      <c r="E17" s="38"/>
      <c r="F17" s="38">
        <f t="shared" si="5"/>
        <v>0</v>
      </c>
      <c r="G17" s="38">
        <v>0</v>
      </c>
      <c r="H17" s="38">
        <f t="shared" si="6"/>
        <v>0</v>
      </c>
      <c r="I17" s="38">
        <f>Analysis!O12</f>
        <v>0</v>
      </c>
      <c r="J17" s="39">
        <f t="shared" si="7"/>
        <v>0</v>
      </c>
      <c r="K17" s="38">
        <v>0</v>
      </c>
      <c r="L17" s="38">
        <f t="shared" si="3"/>
        <v>0</v>
      </c>
      <c r="M17" s="38">
        <f t="shared" si="4"/>
        <v>0</v>
      </c>
    </row>
    <row r="18" spans="2:13" x14ac:dyDescent="0.3">
      <c r="B18" s="36">
        <v>6</v>
      </c>
      <c r="C18" s="37" t="s">
        <v>59</v>
      </c>
      <c r="D18" s="38">
        <f>Analysis!H13</f>
        <v>5.766</v>
      </c>
      <c r="E18" s="38"/>
      <c r="F18" s="38">
        <f t="shared" ref="F18" si="8">SUM(E18,G18)</f>
        <v>0</v>
      </c>
      <c r="G18" s="38">
        <v>0</v>
      </c>
      <c r="H18" s="38">
        <f t="shared" ref="H18" si="9">D18+G18</f>
        <v>5.766</v>
      </c>
      <c r="I18" s="38">
        <f>Analysis!O13</f>
        <v>5.766</v>
      </c>
      <c r="J18" s="39">
        <f t="shared" ref="J18" si="10">MIN(H18,I18)</f>
        <v>5.766</v>
      </c>
      <c r="K18" s="38">
        <v>0</v>
      </c>
      <c r="L18" s="38">
        <f t="shared" si="3"/>
        <v>0</v>
      </c>
      <c r="M18" s="38">
        <f t="shared" si="4"/>
        <v>5.766</v>
      </c>
    </row>
    <row r="19" spans="2:13" x14ac:dyDescent="0.3">
      <c r="B19" s="36">
        <v>7</v>
      </c>
      <c r="C19" s="37" t="s">
        <v>4</v>
      </c>
      <c r="D19" s="38">
        <f>Analysis!H14</f>
        <v>3.3140000000000001</v>
      </c>
      <c r="E19" s="38"/>
      <c r="F19" s="38">
        <f t="shared" si="5"/>
        <v>0</v>
      </c>
      <c r="G19" s="38">
        <v>0</v>
      </c>
      <c r="H19" s="38">
        <f t="shared" si="6"/>
        <v>3.3140000000000001</v>
      </c>
      <c r="I19" s="38">
        <f>Analysis!O14</f>
        <v>3.3140000000000001</v>
      </c>
      <c r="J19" s="39">
        <f t="shared" si="7"/>
        <v>3.3140000000000001</v>
      </c>
      <c r="K19" s="38">
        <v>0</v>
      </c>
      <c r="L19" s="38">
        <f t="shared" si="3"/>
        <v>0</v>
      </c>
      <c r="M19" s="38">
        <f t="shared" si="4"/>
        <v>3.3140000000000001</v>
      </c>
    </row>
    <row r="20" spans="2:13" x14ac:dyDescent="0.3">
      <c r="B20" s="36">
        <v>8</v>
      </c>
      <c r="C20" s="37" t="s">
        <v>5</v>
      </c>
      <c r="D20" s="38">
        <f>Analysis!H15</f>
        <v>4.0635054087000002</v>
      </c>
      <c r="E20" s="38"/>
      <c r="F20" s="38">
        <f t="shared" si="5"/>
        <v>0</v>
      </c>
      <c r="G20" s="38">
        <v>0</v>
      </c>
      <c r="H20" s="38">
        <f t="shared" si="6"/>
        <v>4.0635054087000002</v>
      </c>
      <c r="I20" s="38">
        <f>Analysis!O15</f>
        <v>3.453979597395</v>
      </c>
      <c r="J20" s="39">
        <f t="shared" si="7"/>
        <v>3.453979597395</v>
      </c>
      <c r="K20" s="38">
        <v>0</v>
      </c>
      <c r="L20" s="38">
        <f t="shared" si="3"/>
        <v>0</v>
      </c>
      <c r="M20" s="38">
        <f t="shared" si="4"/>
        <v>3.453979597395</v>
      </c>
    </row>
    <row r="21" spans="2:13" x14ac:dyDescent="0.3">
      <c r="B21" s="36">
        <v>9</v>
      </c>
      <c r="C21" s="37" t="s">
        <v>6</v>
      </c>
      <c r="D21" s="38">
        <f>Analysis!H16</f>
        <v>6.6290000000000004</v>
      </c>
      <c r="E21" s="38"/>
      <c r="F21" s="38">
        <f t="shared" si="5"/>
        <v>0</v>
      </c>
      <c r="G21" s="38">
        <v>0</v>
      </c>
      <c r="H21" s="38">
        <f t="shared" si="6"/>
        <v>6.6290000000000004</v>
      </c>
      <c r="I21" s="38">
        <f>Analysis!O16</f>
        <v>6.2761867522266934</v>
      </c>
      <c r="J21" s="39">
        <f t="shared" si="7"/>
        <v>6.2761867522266934</v>
      </c>
      <c r="K21" s="38">
        <v>0</v>
      </c>
      <c r="L21" s="38">
        <f t="shared" si="3"/>
        <v>0</v>
      </c>
      <c r="M21" s="38">
        <f t="shared" si="4"/>
        <v>6.2761867522266934</v>
      </c>
    </row>
    <row r="22" spans="2:13" x14ac:dyDescent="0.3">
      <c r="B22" s="36">
        <v>10</v>
      </c>
      <c r="C22" s="37" t="s">
        <v>7</v>
      </c>
      <c r="D22" s="38">
        <f>Analysis!H17</f>
        <v>13.973311967999996</v>
      </c>
      <c r="E22" s="38"/>
      <c r="F22" s="38">
        <f t="shared" si="5"/>
        <v>0</v>
      </c>
      <c r="G22" s="38">
        <v>0</v>
      </c>
      <c r="H22" s="38">
        <f t="shared" si="6"/>
        <v>13.973311967999996</v>
      </c>
      <c r="I22" s="38">
        <f>Analysis!O17</f>
        <v>13.49559833828771</v>
      </c>
      <c r="J22" s="39">
        <f t="shared" si="7"/>
        <v>13.49559833828771</v>
      </c>
      <c r="K22" s="38">
        <v>0</v>
      </c>
      <c r="L22" s="38">
        <f t="shared" si="3"/>
        <v>0</v>
      </c>
      <c r="M22" s="38">
        <f t="shared" si="4"/>
        <v>13.49559833828771</v>
      </c>
    </row>
    <row r="23" spans="2:13" x14ac:dyDescent="0.3">
      <c r="B23" s="36">
        <v>11</v>
      </c>
      <c r="C23" s="37" t="s">
        <v>8</v>
      </c>
      <c r="D23" s="38">
        <f>Analysis!H18</f>
        <v>8.0310000000000006</v>
      </c>
      <c r="E23" s="38"/>
      <c r="F23" s="38">
        <f t="shared" si="5"/>
        <v>36.163000000000004</v>
      </c>
      <c r="G23" s="38">
        <v>36.163000000000004</v>
      </c>
      <c r="H23" s="38">
        <f t="shared" si="6"/>
        <v>44.194000000000003</v>
      </c>
      <c r="I23" s="38">
        <f>'Deep dive_YKY'!C7</f>
        <v>35.769950000000001</v>
      </c>
      <c r="J23" s="39">
        <f t="shared" si="7"/>
        <v>35.769950000000001</v>
      </c>
      <c r="K23" s="38">
        <v>0</v>
      </c>
      <c r="L23" s="38">
        <f t="shared" si="3"/>
        <v>0</v>
      </c>
      <c r="M23" s="38">
        <f t="shared" si="4"/>
        <v>35.769950000000001</v>
      </c>
    </row>
    <row r="24" spans="2:13" x14ac:dyDescent="0.3">
      <c r="C24" s="41" t="s">
        <v>67</v>
      </c>
      <c r="D24" s="74">
        <f t="shared" ref="D24:I24" si="11">SUM(D13:D23)</f>
        <v>63.493623594673821</v>
      </c>
      <c r="E24" s="74">
        <f t="shared" si="11"/>
        <v>0</v>
      </c>
      <c r="F24" s="74">
        <f t="shared" si="11"/>
        <v>37.257309828336744</v>
      </c>
      <c r="G24" s="74">
        <f t="shared" si="11"/>
        <v>37.257309828336744</v>
      </c>
      <c r="H24" s="74">
        <f t="shared" si="11"/>
        <v>100.75093342301057</v>
      </c>
      <c r="I24" s="74">
        <f t="shared" si="11"/>
        <v>90.667134456465391</v>
      </c>
      <c r="J24" s="75">
        <f>SUM(J13:J23)</f>
        <v>90.667134456465391</v>
      </c>
      <c r="K24" s="74">
        <f>SUM(K13:K23)</f>
        <v>0</v>
      </c>
      <c r="L24" s="74">
        <f>SUM(L13:L23)</f>
        <v>0</v>
      </c>
      <c r="M24" s="74">
        <f>SUM(M13:M23)</f>
        <v>90.667134456465391</v>
      </c>
    </row>
    <row r="25" spans="2:13" x14ac:dyDescent="0.3">
      <c r="F25" s="42"/>
    </row>
  </sheetData>
  <dataValidations count="1">
    <dataValidation type="list" allowBlank="1" showInputMessage="1" showErrorMessage="1" sqref="D7:I7">
      <formula1>"Wholesale water, Wholesale wastewater"</formula1>
    </dataValidation>
  </dataValidations>
  <pageMargins left="0.25" right="0.25" top="0.75" bottom="0.75" header="0.3" footer="0.3"/>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5</vt:i4>
      </vt:variant>
    </vt:vector>
  </HeadingPairs>
  <TitlesOfParts>
    <vt:vector size="5" baseType="lpstr">
      <vt:lpstr>Cover</vt:lpstr>
      <vt:lpstr>Data</vt:lpstr>
      <vt:lpstr>Analysis</vt:lpstr>
      <vt:lpstr>Deep dive_YKY</vt:lpstr>
      <vt:lpstr>Allowance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2019-01-24T10:50:59Z</dcterms:created>
  <dcterms:modified xsi:type="dcterms:W3CDTF">2019-01-25T15:57:12Z</dcterms:modified>
  <cp:category/>
  <cp:contentStatus/>
</cp:coreProperties>
</file>