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3460" windowHeight="10920" tabRatio="471"/>
  </bookViews>
  <sheets>
    <sheet name="Cover" sheetId="22" r:id="rId1"/>
    <sheet name="Data" sheetId="41" r:id="rId2"/>
    <sheet name="Data tables" sheetId="91" r:id="rId3"/>
    <sheet name="Analysis" sheetId="86" r:id="rId4"/>
    <sheet name="Deep dive_SRN" sheetId="80" r:id="rId5"/>
    <sheet name="Deep dive_WSH" sheetId="83" r:id="rId6"/>
    <sheet name="Allowance" sheetId="90" r:id="rId7"/>
  </sheets>
  <calcPr calcId="152511"/>
</workbook>
</file>

<file path=xl/calcChain.xml><?xml version="1.0" encoding="utf-8"?>
<calcChain xmlns="http://schemas.openxmlformats.org/spreadsheetml/2006/main">
  <c r="C6" i="80" l="1"/>
  <c r="C6" i="83"/>
  <c r="D5" i="90" l="1"/>
  <c r="G14" i="90" l="1"/>
  <c r="G16" i="90"/>
  <c r="G15" i="90"/>
  <c r="G13" i="90"/>
  <c r="C37" i="86"/>
  <c r="C38" i="86"/>
  <c r="C39" i="86"/>
  <c r="C40" i="86"/>
  <c r="C41" i="86"/>
  <c r="C42" i="86"/>
  <c r="C43" i="86"/>
  <c r="C44" i="86"/>
  <c r="D44" i="86" s="1"/>
  <c r="C45" i="86"/>
  <c r="C46" i="86"/>
  <c r="C36" i="86"/>
  <c r="G17" i="90" l="1"/>
  <c r="G18" i="90"/>
  <c r="G19" i="90"/>
  <c r="G21" i="90"/>
  <c r="G22" i="90"/>
  <c r="G20" i="90"/>
  <c r="G23" i="90"/>
  <c r="F37" i="86"/>
  <c r="F38" i="86"/>
  <c r="F39" i="86"/>
  <c r="F40" i="86"/>
  <c r="F41" i="86"/>
  <c r="F42" i="86"/>
  <c r="F43" i="86"/>
  <c r="F45" i="86"/>
  <c r="F46" i="86"/>
  <c r="F36" i="86"/>
  <c r="B22" i="86"/>
  <c r="B37" i="86" s="1"/>
  <c r="B23" i="86"/>
  <c r="B38" i="86" s="1"/>
  <c r="B24" i="86"/>
  <c r="B39" i="86" s="1"/>
  <c r="B25" i="86"/>
  <c r="B40" i="86" s="1"/>
  <c r="B26" i="86"/>
  <c r="B41" i="86" s="1"/>
  <c r="B27" i="86"/>
  <c r="B42" i="86" s="1"/>
  <c r="B28" i="86"/>
  <c r="B43" i="86" s="1"/>
  <c r="B29" i="86"/>
  <c r="B44" i="86" s="1"/>
  <c r="B30" i="86"/>
  <c r="B31" i="86"/>
  <c r="B46" i="86" s="1"/>
  <c r="B21" i="86"/>
  <c r="B36" i="86" s="1"/>
  <c r="B45" i="86" l="1"/>
  <c r="I22" i="90" s="1"/>
  <c r="I14" i="90"/>
  <c r="I18" i="90"/>
  <c r="I23" i="90"/>
  <c r="I15" i="90"/>
  <c r="I19" i="90"/>
  <c r="I13" i="90"/>
  <c r="I16" i="90"/>
  <c r="I20" i="90"/>
  <c r="I17" i="90"/>
  <c r="B20" i="91" l="1"/>
  <c r="B19" i="91"/>
  <c r="B5" i="91" l="1"/>
  <c r="B4" i="91"/>
  <c r="K24" i="90" l="1"/>
  <c r="E24" i="90" l="1"/>
  <c r="G17" i="91" l="1"/>
  <c r="C17" i="91"/>
  <c r="D16" i="91"/>
  <c r="E15" i="91"/>
  <c r="F14" i="91"/>
  <c r="G13" i="91"/>
  <c r="C13" i="91"/>
  <c r="F17" i="91"/>
  <c r="G16" i="91"/>
  <c r="C16" i="91"/>
  <c r="D15" i="91"/>
  <c r="C15" i="91"/>
  <c r="E14" i="91"/>
  <c r="D13" i="91"/>
  <c r="E11" i="91"/>
  <c r="G9" i="91"/>
  <c r="C9" i="91"/>
  <c r="D7" i="91"/>
  <c r="G7" i="91"/>
  <c r="D17" i="91"/>
  <c r="G14" i="91"/>
  <c r="D14" i="91"/>
  <c r="D11" i="91"/>
  <c r="F9" i="91"/>
  <c r="C7" i="91"/>
  <c r="E16" i="91"/>
  <c r="E17" i="91"/>
  <c r="F16" i="91"/>
  <c r="G15" i="91"/>
  <c r="C14" i="91"/>
  <c r="F13" i="91"/>
  <c r="G11" i="91"/>
  <c r="C11" i="91"/>
  <c r="D10" i="91"/>
  <c r="E9" i="91"/>
  <c r="F7" i="91"/>
  <c r="F15" i="91"/>
  <c r="E13" i="91"/>
  <c r="G10" i="91"/>
  <c r="C10" i="91"/>
  <c r="E7" i="91"/>
  <c r="F11" i="91"/>
  <c r="D9" i="91"/>
  <c r="C12" i="91"/>
  <c r="C8" i="91"/>
  <c r="D12" i="91"/>
  <c r="D8" i="91"/>
  <c r="E12" i="91"/>
  <c r="E8" i="91"/>
  <c r="F12" i="91"/>
  <c r="G12" i="91"/>
  <c r="F8" i="91"/>
  <c r="G8" i="91"/>
  <c r="G23" i="91"/>
  <c r="F23" i="91"/>
  <c r="F27" i="91"/>
  <c r="D27" i="91"/>
  <c r="E32" i="91"/>
  <c r="E23" i="91"/>
  <c r="D23" i="91"/>
  <c r="C23" i="91"/>
  <c r="G27" i="91"/>
  <c r="E27" i="91"/>
  <c r="C27" i="91"/>
  <c r="F32" i="91"/>
  <c r="C32" i="91"/>
  <c r="G32" i="91"/>
  <c r="D32" i="91"/>
  <c r="G31" i="91"/>
  <c r="C31" i="91"/>
  <c r="G30" i="91"/>
  <c r="E30" i="91"/>
  <c r="E29" i="91"/>
  <c r="F28" i="91"/>
  <c r="D28" i="91"/>
  <c r="G26" i="91"/>
  <c r="C26" i="91"/>
  <c r="F24" i="91"/>
  <c r="D22" i="91"/>
  <c r="F26" i="91"/>
  <c r="E24" i="91"/>
  <c r="E22" i="91"/>
  <c r="F31" i="91"/>
  <c r="D31" i="91"/>
  <c r="D30" i="91"/>
  <c r="F29" i="91"/>
  <c r="C29" i="91"/>
  <c r="E28" i="91"/>
  <c r="C28" i="91"/>
  <c r="D26" i="91"/>
  <c r="D24" i="91"/>
  <c r="F22" i="91"/>
  <c r="C22" i="91"/>
  <c r="E31" i="91"/>
  <c r="F30" i="91"/>
  <c r="C30" i="91"/>
  <c r="G29" i="91"/>
  <c r="D29" i="91"/>
  <c r="G28" i="91"/>
  <c r="E26" i="91"/>
  <c r="F25" i="91"/>
  <c r="G24" i="91"/>
  <c r="C24" i="91"/>
  <c r="G22" i="91"/>
  <c r="E25" i="91" l="1"/>
  <c r="E10" i="91"/>
  <c r="F10" i="91"/>
  <c r="C25" i="91"/>
  <c r="G25" i="91"/>
  <c r="D25" i="91"/>
  <c r="J15" i="91"/>
  <c r="J17" i="91"/>
  <c r="J11" i="91"/>
  <c r="J9" i="91"/>
  <c r="J10" i="91"/>
  <c r="J14" i="91"/>
  <c r="J12" i="91"/>
  <c r="J7" i="91"/>
  <c r="J16" i="91"/>
  <c r="J13" i="91"/>
  <c r="J8" i="91"/>
  <c r="H22" i="91"/>
  <c r="H26" i="91"/>
  <c r="H28" i="91"/>
  <c r="H24" i="91"/>
  <c r="H23" i="91"/>
  <c r="H31" i="91"/>
  <c r="H32" i="91"/>
  <c r="H30" i="91"/>
  <c r="H29" i="91"/>
  <c r="H27" i="91"/>
  <c r="H8" i="91"/>
  <c r="H9" i="91"/>
  <c r="H12" i="91"/>
  <c r="H7" i="91"/>
  <c r="H15" i="91"/>
  <c r="H11" i="91"/>
  <c r="H14" i="91"/>
  <c r="H16" i="91"/>
  <c r="H13" i="91"/>
  <c r="H17" i="91"/>
  <c r="H10" i="91" l="1"/>
  <c r="H25" i="91"/>
  <c r="K11" i="91"/>
  <c r="K9" i="91"/>
  <c r="K12" i="91"/>
  <c r="K15" i="91"/>
  <c r="K14" i="91"/>
  <c r="K17" i="91"/>
  <c r="K16" i="91"/>
  <c r="K13" i="91"/>
  <c r="K8" i="91"/>
  <c r="C6" i="86"/>
  <c r="C21" i="86" s="1"/>
  <c r="K7" i="91"/>
  <c r="C13" i="86"/>
  <c r="C16" i="86"/>
  <c r="C31" i="86" s="1"/>
  <c r="C10" i="86"/>
  <c r="C25" i="86" s="1"/>
  <c r="C12" i="86"/>
  <c r="C15" i="86"/>
  <c r="C30" i="86" s="1"/>
  <c r="C14" i="86"/>
  <c r="E44" i="86" s="1"/>
  <c r="C8" i="86"/>
  <c r="C23" i="86" s="1"/>
  <c r="D18" i="90"/>
  <c r="H18" i="90" s="1"/>
  <c r="J18" i="90" s="1"/>
  <c r="C11" i="86"/>
  <c r="C26" i="86" s="1"/>
  <c r="D14" i="90"/>
  <c r="H14" i="90" s="1"/>
  <c r="J14" i="90" s="1"/>
  <c r="C7" i="86"/>
  <c r="D20" i="90"/>
  <c r="H20" i="90" s="1"/>
  <c r="D13" i="90"/>
  <c r="H13" i="90" s="1"/>
  <c r="D23" i="90"/>
  <c r="H23" i="90" s="1"/>
  <c r="D17" i="90"/>
  <c r="H17" i="90" s="1"/>
  <c r="C5" i="80" s="1"/>
  <c r="D16" i="90"/>
  <c r="H16" i="90" s="1"/>
  <c r="D19" i="90"/>
  <c r="D22" i="90"/>
  <c r="H22" i="90" s="1"/>
  <c r="D21" i="90"/>
  <c r="H21" i="90" s="1"/>
  <c r="C5" i="83" s="1"/>
  <c r="D15" i="90"/>
  <c r="H15" i="90" s="1"/>
  <c r="K10" i="91" l="1"/>
  <c r="C9" i="86"/>
  <c r="C24" i="86" s="1"/>
  <c r="D39" i="86" s="1"/>
  <c r="F44" i="86"/>
  <c r="I21" i="90" s="1"/>
  <c r="D41" i="86"/>
  <c r="D45" i="86"/>
  <c r="D46" i="86"/>
  <c r="D38" i="86"/>
  <c r="D40" i="86"/>
  <c r="D36" i="86"/>
  <c r="M18" i="90"/>
  <c r="L18" i="90"/>
  <c r="L14" i="90"/>
  <c r="M14" i="90"/>
  <c r="J20" i="90"/>
  <c r="D24" i="90"/>
  <c r="J13" i="90" l="1"/>
  <c r="M13" i="90" l="1"/>
  <c r="L13" i="90"/>
  <c r="J15" i="90"/>
  <c r="J17" i="90"/>
  <c r="J22" i="90"/>
  <c r="M20" i="90"/>
  <c r="J16" i="90"/>
  <c r="J23" i="90"/>
  <c r="M17" i="90" l="1"/>
  <c r="M16" i="90"/>
  <c r="M22" i="90"/>
  <c r="L15" i="90"/>
  <c r="M15" i="90"/>
  <c r="L22" i="90"/>
  <c r="L17" i="90"/>
  <c r="L23" i="90"/>
  <c r="L20" i="90"/>
  <c r="M23" i="90"/>
  <c r="L16" i="90"/>
  <c r="J21" i="90" l="1"/>
  <c r="L21" i="90" l="1"/>
  <c r="M21" i="90"/>
  <c r="I24" i="90"/>
  <c r="C27" i="86" l="1"/>
  <c r="D42" i="86" s="1"/>
  <c r="D49" i="86" s="1"/>
  <c r="H19" i="90"/>
  <c r="G24" i="90"/>
  <c r="H24" i="90" l="1"/>
  <c r="J19" i="90"/>
  <c r="J24" i="90" s="1"/>
  <c r="F24" i="90"/>
  <c r="M19" i="90" l="1"/>
  <c r="M24" i="90" s="1"/>
  <c r="L19" i="90"/>
  <c r="L24" i="90" s="1"/>
</calcChain>
</file>

<file path=xl/sharedStrings.xml><?xml version="1.0" encoding="utf-8"?>
<sst xmlns="http://schemas.openxmlformats.org/spreadsheetml/2006/main" count="321" uniqueCount="167">
  <si>
    <t>codecombine</t>
  </si>
  <si>
    <t>companycode</t>
  </si>
  <si>
    <t>financialyear</t>
  </si>
  <si>
    <t>ANH</t>
  </si>
  <si>
    <t>NES</t>
  </si>
  <si>
    <t>NWT</t>
  </si>
  <si>
    <t>SRN</t>
  </si>
  <si>
    <t>SVT</t>
  </si>
  <si>
    <t>SWT</t>
  </si>
  <si>
    <t>SWB</t>
  </si>
  <si>
    <t>TMS</t>
  </si>
  <si>
    <t>WSH</t>
  </si>
  <si>
    <t>WSX</t>
  </si>
  <si>
    <t>YKY</t>
  </si>
  <si>
    <t>Company</t>
  </si>
  <si>
    <t>Assessor's name</t>
  </si>
  <si>
    <t>Control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</si>
  <si>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</si>
  <si>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</si>
  <si>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</si>
  <si>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</si>
  <si>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</si>
  <si>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</si>
  <si>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</si>
  <si>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</si>
  <si>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</si>
  <si>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</si>
  <si>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Pass</t>
  </si>
  <si>
    <t>Ofwat view of allowance for AMP7 (£m)</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</si>
  <si>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</si>
  <si>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</si>
  <si>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</si>
  <si>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</si>
  <si>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</si>
  <si>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</si>
  <si>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</si>
  <si>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</si>
  <si>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</si>
  <si>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</si>
  <si>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</si>
  <si>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</si>
  <si>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</si>
  <si>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</si>
  <si>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</si>
  <si>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</si>
  <si>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</si>
  <si>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</si>
  <si>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</si>
  <si>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</si>
  <si>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</si>
  <si>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</si>
  <si>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</si>
  <si>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</si>
  <si>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</si>
  <si>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SWT21</t>
  </si>
  <si>
    <t>SWT22</t>
  </si>
  <si>
    <t>SWT23</t>
  </si>
  <si>
    <t>SWT24</t>
  </si>
  <si>
    <t>SWT25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</si>
  <si>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</si>
  <si>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</si>
  <si>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</si>
  <si>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</si>
  <si>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</si>
  <si>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</si>
  <si>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</si>
  <si>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</si>
  <si>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</si>
  <si>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</si>
  <si>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</si>
  <si>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</si>
  <si>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</si>
  <si>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</si>
  <si>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</si>
  <si>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</si>
  <si>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</si>
  <si>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</si>
  <si>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</si>
  <si>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</si>
  <si>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</si>
  <si>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</si>
  <si>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</si>
  <si>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</si>
  <si>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</si>
  <si>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</si>
  <si>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</si>
  <si>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Capex carried through deep dive AMP7  (£m)</t>
  </si>
  <si>
    <t>Cover sheet</t>
  </si>
  <si>
    <t>S3040TCAS</t>
  </si>
  <si>
    <t>WWS2004CAS</t>
  </si>
  <si>
    <t>WWS4001</t>
  </si>
  <si>
    <t>realWWS2004CAS</t>
  </si>
  <si>
    <t>Wholesale wastewater</t>
  </si>
  <si>
    <t>Volume of new or additional storage provided in the sewerage network</t>
  </si>
  <si>
    <t>Number of sites in network at which new or additional storage is provided</t>
  </si>
  <si>
    <t>Comments</t>
  </si>
  <si>
    <t>Investment driven by WINEP programme.</t>
  </si>
  <si>
    <t>see above</t>
  </si>
  <si>
    <t>(1.) WRef 5.8P PR19: Wastewater NEP September 2018</t>
  </si>
  <si>
    <t>Data</t>
  </si>
  <si>
    <t xml:space="preserve">Allowed costs </t>
  </si>
  <si>
    <t>Peer review (initials, date)</t>
  </si>
  <si>
    <t>BoN code</t>
  </si>
  <si>
    <t>Enhancement line</t>
  </si>
  <si>
    <t>Cost allowance for AMP7 (£m)</t>
  </si>
  <si>
    <t>Capex allowed - network plus</t>
  </si>
  <si>
    <t>Total</t>
  </si>
  <si>
    <t>Capex allowed - wholesale wastewater</t>
  </si>
  <si>
    <t>Capex in business plan - wholesale wastewater</t>
  </si>
  <si>
    <t>Capex reallocated out to other lines</t>
  </si>
  <si>
    <t>Capex reallocated in to this line</t>
  </si>
  <si>
    <t>Net Capex reallocated in</t>
  </si>
  <si>
    <t>Proportion of Bioresources</t>
  </si>
  <si>
    <t>Capex allowed - Bioresources</t>
  </si>
  <si>
    <t>Data tables</t>
  </si>
  <si>
    <t>Materiality</t>
  </si>
  <si>
    <t>Deep dive sheet - Southern Water</t>
  </si>
  <si>
    <t>WWS4003</t>
  </si>
  <si>
    <t>Storage schemes in the network to reduce spill frequency at CSOs</t>
  </si>
  <si>
    <t>Code</t>
  </si>
  <si>
    <t>Wholesale wastewater totex (£m)</t>
  </si>
  <si>
    <t>Volume of storage provided at CSOs, storm tanks, etc to meet spill frequency objectives (m3)</t>
  </si>
  <si>
    <t>Summary</t>
  </si>
  <si>
    <t>Deep dive sheet - Welsh Water</t>
  </si>
  <si>
    <t>MG</t>
  </si>
  <si>
    <t>Vol adjusted see Deep dive tab</t>
  </si>
  <si>
    <t>Investment allocated into line</t>
  </si>
  <si>
    <t>Add-back capex</t>
  </si>
  <si>
    <t>Applied efficiency challenge (judgement based on model accuracy)</t>
  </si>
  <si>
    <t>Modelling analysis and determination of cost allowance</t>
  </si>
  <si>
    <t>Wholesale totex</t>
  </si>
  <si>
    <t>Storage schemes capex plus reallocations</t>
  </si>
  <si>
    <t>Efficiency score</t>
  </si>
  <si>
    <t>Upper quartile efficiency score</t>
  </si>
  <si>
    <t>Storage schemes in the network to reduce spill frequency at CSOs, etc. - capex, 2020/21 to 24/25</t>
  </si>
  <si>
    <t>Determination of modelled costs and efficient allowance</t>
  </si>
  <si>
    <t>Business Plan data</t>
  </si>
  <si>
    <t>Adjusted Business Plan data</t>
  </si>
  <si>
    <t>Financial data in £m at 2017-18 prices</t>
  </si>
  <si>
    <t>Year ending 31 March</t>
  </si>
  <si>
    <t>Storage schemes in the network to reduce spill frequency at CSOs, etc - capex (£m)</t>
  </si>
  <si>
    <t>(1.) Wholesale Wastewater TA.12. WW06 Business Case - Wastewater Environmental Programme
(2.) SRN PR19 Business Plan Data Tables supporting commentary September 2018
(3.) WINEP3 - Environment Agency, March 2018</t>
  </si>
  <si>
    <t>The Need for investment is driven by the WINEP programme. However, the driver is listed by the Environment Agency as ‘WATER COMPANY SCALE’ and no site specific requirements are detailed.</t>
  </si>
  <si>
    <t>Investment adjusted to correspond to forecast output - see Deep dive tab</t>
  </si>
  <si>
    <t>SVE21</t>
  </si>
  <si>
    <t>SVE22</t>
  </si>
  <si>
    <t>SVE23</t>
  </si>
  <si>
    <t>SVE24</t>
  </si>
  <si>
    <t>SVE25</t>
  </si>
  <si>
    <t>HDD21</t>
  </si>
  <si>
    <t>HDD22</t>
  </si>
  <si>
    <t>HDD23</t>
  </si>
  <si>
    <t>HDD24</t>
  </si>
  <si>
    <t>HDD25</t>
  </si>
  <si>
    <t/>
  </si>
  <si>
    <t>Capex after reallocations</t>
  </si>
  <si>
    <t>Modelled allowance</t>
  </si>
  <si>
    <t>N/A</t>
  </si>
  <si>
    <t>Partial pass</t>
  </si>
  <si>
    <t>KR 22/01/2019</t>
  </si>
  <si>
    <t>Volume of new or additional storage provided in the sewerage network (WWS4003)</t>
  </si>
  <si>
    <t>Number of sewage treatment works at which new or additional storage is provided</t>
  </si>
  <si>
    <t>Predicted Efficient Cost, £m</t>
  </si>
  <si>
    <t>Predicted cost, £m</t>
  </si>
  <si>
    <t>Southern Water used the Water UK Storm Overflow Assessment Framework (SOAF) methodology to assess the schemes.  Solutions include:
- 10% reduction in surface water contributing area
- 40% reduction in surface water contributing area
- Network storage
- Infiltration reduction by sewer rehabilitation
SUDS were also considered as part of the first two points.</t>
  </si>
  <si>
    <t>The Welsh Water programme consists of work to reduce spills at the Menai Strait for shellfish waters (3,000m3 @ £15.5m) and CSO spill identified under SOAF (£39.501m) (1. - pg. 24) - costs are pre-efficiency.  The cost reported in the business plan (post-efficiency) is £48.02m for both programmes. We use these figures to split the costs between Menai Strait (48.02*(15.5/(15.5+39.501))=£13.5m), and the remainder of the programme for which we could not find a cost driver (£34.5m).</t>
  </si>
  <si>
    <t xml:space="preserve">For the IAP stage we determine costs using the econometric model.
Southern Water is an outlier on costs - having a very low unit cost and this appears to be due to a mismatch between costs stated in Table WWS2 and scheme numbers and storage volumes stated in Table WWS4. SRN only claims to have one scheme under the U_IMP4 driver (Ditton Polegate Road) and the associated output of 94m3 claimed in 2024-25 is assumed to relate to the capex of £0.441m spread evenly over 2021-22 and 2022-23. The additional 1,646m3 of storage reported on line 11 in 2021-22 appears to be associated with 3 schemes with shellfish water drivers (Blechynden Terrace Southampton, Ensign Park Hamble, Downes Park Totton) the costs of which (£6.425m according to Appendix 1 of the business case (p70)) are not reported in line 11. (These costs are included in Table WWS2 Line 4 - Conservation drivers.) We therefore exclude this volume from our analysis of U_IMP4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</si>
</sst>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quot;£&quot;* #,##0.00_);_(&quot;£&quot;* \(#,##0.00\);_(&quot;£&quot;* &quot;-&quot;??_);_(@_)"/>
    <numFmt numFmtId="166" formatCode="0.000"/>
    <numFmt numFmtId="167" formatCode="#,##0_);\(#,##0\);&quot;-  &quot;;&quot; &quot;@&quot; &quot;"/>
    <numFmt numFmtId="168" formatCode="0.0%"/>
    <numFmt numFmtId="169" formatCode="_-&quot;£&quot;* #,##0.000_-;\-&quot;£&quot;* #,##0.000_-;_-&quot;£&quot;* &quot;-&quot;??_-;_-@_-"/>
    <numFmt numFmtId="170" formatCode="_(* #,##0.0_);_(* \(#,##0.0\);_(* &quot;-&quot;??_);_(@_)"/>
    <numFmt numFmtId="171" formatCode="_(* #,##0_);_(* \(#,##0\);_(* &quot;-&quot;??_);_(@_)"/>
    <numFmt numFmtId="172" formatCode="_(* #,##0.000_);_(* \(#,##0.000\);_(* &quot;-&quot;??_);_(@_)"/>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Gill Sans MT"/>
      <family val="2"/>
    </font>
    <font>
      <sz val="10"/>
      <color theme="1"/>
      <name val="Calibri"/>
      <family val="2"/>
      <scheme val="minor"/>
    </font>
    <font>
      <sz val="9"/>
      <color theme="1"/>
      <name val="Gill Sans MT"/>
      <family val="2"/>
    </font>
    <font>
      <b/>
      <sz val="9"/>
      <color theme="1"/>
      <name val="Gill Sans MT"/>
      <family val="2"/>
    </font>
    <font>
      <sz val="9"/>
      <name val="Gill Sans MT"/>
      <family val="2"/>
    </font>
    <font>
      <sz val="11"/>
      <color theme="1"/>
      <name val="Gill Sans MT"/>
      <family val="2"/>
    </font>
    <font>
      <i/>
      <sz val="11"/>
      <color rgb="FF7F7F7F"/>
      <name val="Arial"/>
      <family val="2"/>
    </font>
    <font>
      <b/>
      <sz val="10"/>
      <color theme="1"/>
      <name val="Calibri"/>
      <family val="2"/>
      <scheme val="minor"/>
    </font>
    <font>
      <sz val="10"/>
      <color theme="1"/>
      <name val="Arial"/>
      <family val="2"/>
    </font>
    <font>
      <i/>
      <sz val="10"/>
      <color rgb="FF7F7F7F"/>
      <name val="Arial"/>
      <family val="2"/>
    </font>
    <font>
      <b/>
      <sz val="10"/>
      <color theme="1"/>
      <name val="Arial"/>
      <family val="2"/>
    </font>
    <font>
      <b/>
      <sz val="9"/>
      <name val="Gill Sans MT"/>
      <family val="2"/>
    </font>
    <font>
      <sz val="14"/>
      <color theme="3"/>
      <name val="Calibri"/>
      <family val="2"/>
      <scheme val="minor"/>
    </font>
    <font>
      <sz val="10"/>
      <color indexed="8"/>
      <name val="Calibri"/>
      <family val="2"/>
      <scheme val="minor"/>
    </font>
    <font>
      <sz val="12"/>
      <color theme="3"/>
      <name val="Calibri"/>
      <family val="2"/>
      <scheme val="minor"/>
    </font>
    <font>
      <b/>
      <sz val="10"/>
      <name val="Calibri"/>
      <family val="2"/>
      <scheme val="minor"/>
    </font>
    <font>
      <sz val="10"/>
      <name val="Calibri"/>
      <family val="2"/>
      <scheme val="minor"/>
    </font>
    <font>
      <b/>
      <i/>
      <sz val="10"/>
      <color theme="1"/>
      <name val="Calibri"/>
      <family val="2"/>
      <scheme val="minor"/>
    </font>
    <font>
      <b/>
      <sz val="10"/>
      <color theme="3"/>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857362"/>
      </left>
      <right style="thin">
        <color rgb="FF857362"/>
      </right>
      <top style="thin">
        <color rgb="FF857362"/>
      </top>
      <bottom/>
      <diagonal/>
    </border>
    <border>
      <left style="thin">
        <color indexed="64"/>
      </left>
      <right style="thin">
        <color indexed="64"/>
      </right>
      <top style="thin">
        <color indexed="64"/>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5">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167"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2" fillId="0" borderId="0"/>
    <xf numFmtId="0" fontId="21"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13" fillId="3" borderId="0" xfId="10" applyFont="1" applyFill="1" applyAlignment="1">
      <alignment vertical="center"/>
    </xf>
    <xf numFmtId="0" fontId="16" fillId="0" borderId="0" xfId="0" applyFont="1"/>
    <xf numFmtId="0" fontId="15" fillId="5" borderId="1" xfId="0" applyFont="1" applyFill="1" applyBorder="1" applyAlignment="1">
      <alignment horizontal="left"/>
    </xf>
    <xf numFmtId="0" fontId="15" fillId="0" borderId="0" xfId="0" applyFont="1" applyBorder="1"/>
    <xf numFmtId="0" fontId="15" fillId="0" borderId="1" xfId="0" applyFont="1" applyBorder="1" applyAlignment="1"/>
    <xf numFmtId="0" fontId="14" fillId="3" borderId="2" xfId="10" applyFont="1" applyFill="1" applyBorder="1"/>
    <xf numFmtId="0" fontId="19" fillId="3" borderId="3" xfId="1" applyFont="1" applyFill="1" applyBorder="1"/>
    <xf numFmtId="0" fontId="20" fillId="0" borderId="0" xfId="0" applyFont="1"/>
    <xf numFmtId="0" fontId="20" fillId="0" borderId="0" xfId="0" applyFont="1" applyAlignment="1">
      <alignment horizontal="center" vertical="center"/>
    </xf>
    <xf numFmtId="0" fontId="15" fillId="0" borderId="0" xfId="0" applyFont="1" applyBorder="1" applyAlignment="1"/>
    <xf numFmtId="0" fontId="13" fillId="3" borderId="0" xfId="0" applyFont="1" applyFill="1"/>
    <xf numFmtId="0" fontId="17" fillId="0" borderId="1" xfId="22" applyFont="1" applyBorder="1"/>
    <xf numFmtId="0" fontId="23" fillId="0" borderId="0" xfId="0" applyFont="1"/>
    <xf numFmtId="0" fontId="15" fillId="0" borderId="0" xfId="0" applyFont="1" applyBorder="1" applyAlignment="1" applyProtection="1">
      <alignment horizontal="left"/>
      <protection locked="0"/>
    </xf>
    <xf numFmtId="0" fontId="24" fillId="0" borderId="0" xfId="21" applyFont="1"/>
    <xf numFmtId="14" fontId="15" fillId="0" borderId="0" xfId="0" applyNumberFormat="1" applyFont="1" applyBorder="1" applyAlignment="1" applyProtection="1">
      <alignment horizontal="left"/>
      <protection locked="0"/>
    </xf>
    <xf numFmtId="0" fontId="15" fillId="0" borderId="5" xfId="0" applyFont="1" applyBorder="1" applyAlignment="1">
      <alignment vertical="top"/>
    </xf>
    <xf numFmtId="0" fontId="15" fillId="0" borderId="5" xfId="0" applyFont="1" applyBorder="1" applyAlignment="1"/>
    <xf numFmtId="0" fontId="25" fillId="0" borderId="0" xfId="0" applyFont="1"/>
    <xf numFmtId="0" fontId="22" fillId="2" borderId="1" xfId="0" applyFont="1" applyFill="1" applyBorder="1" applyAlignment="1">
      <alignment horizontal="left" wrapText="1"/>
    </xf>
    <xf numFmtId="0" fontId="22" fillId="2" borderId="1" xfId="0" quotePrefix="1" applyFont="1" applyFill="1" applyBorder="1" applyAlignment="1">
      <alignment horizontal="left" wrapText="1"/>
    </xf>
    <xf numFmtId="0" fontId="17" fillId="0" borderId="1" xfId="22" applyFont="1" applyBorder="1" applyAlignment="1">
      <alignment horizontal="center"/>
    </xf>
    <xf numFmtId="0" fontId="18" fillId="0" borderId="1" xfId="22" applyFont="1" applyBorder="1"/>
    <xf numFmtId="14" fontId="15" fillId="0" borderId="1" xfId="0" applyNumberFormat="1" applyFont="1" applyBorder="1"/>
    <xf numFmtId="0" fontId="22" fillId="6" borderId="1" xfId="0" applyFont="1" applyFill="1" applyBorder="1" applyAlignment="1">
      <alignment horizontal="left" wrapText="1"/>
    </xf>
    <xf numFmtId="0" fontId="16" fillId="0" borderId="0" xfId="0" applyFont="1" applyAlignment="1">
      <alignment vertical="center"/>
    </xf>
    <xf numFmtId="2" fontId="16" fillId="0" borderId="1" xfId="0" applyNumberFormat="1" applyFont="1" applyFill="1" applyBorder="1" applyAlignment="1">
      <alignment vertical="center"/>
    </xf>
    <xf numFmtId="2" fontId="16" fillId="0" borderId="1" xfId="0" applyNumberFormat="1" applyFont="1" applyBorder="1" applyAlignment="1">
      <alignment vertical="center"/>
    </xf>
    <xf numFmtId="2" fontId="16" fillId="0" borderId="1" xfId="16" applyNumberFormat="1" applyFont="1" applyFill="1" applyBorder="1" applyAlignment="1">
      <alignment vertical="center"/>
    </xf>
    <xf numFmtId="0" fontId="16" fillId="0" borderId="1" xfId="0" applyFont="1" applyFill="1" applyBorder="1" applyAlignment="1">
      <alignment vertical="center"/>
    </xf>
    <xf numFmtId="2" fontId="16" fillId="0" borderId="0" xfId="0" applyNumberFormat="1" applyFont="1"/>
    <xf numFmtId="0" fontId="16" fillId="0" borderId="0" xfId="0" applyFont="1" applyAlignment="1">
      <alignment horizontal="right"/>
    </xf>
    <xf numFmtId="0" fontId="27" fillId="0" borderId="0" xfId="0" applyFont="1" applyAlignment="1">
      <alignment vertical="center"/>
    </xf>
    <xf numFmtId="0" fontId="22" fillId="0" borderId="0" xfId="0" applyFont="1"/>
    <xf numFmtId="0" fontId="22" fillId="2" borderId="1" xfId="0" applyNumberFormat="1" applyFont="1" applyFill="1" applyBorder="1" applyAlignment="1">
      <alignment horizontal="center"/>
    </xf>
    <xf numFmtId="166" fontId="16" fillId="0" borderId="1" xfId="0" applyNumberFormat="1" applyFont="1" applyBorder="1" applyAlignment="1">
      <alignment vertical="center" wrapText="1"/>
    </xf>
    <xf numFmtId="170" fontId="16" fillId="0" borderId="1" xfId="6" applyNumberFormat="1" applyFont="1" applyBorder="1"/>
    <xf numFmtId="168" fontId="16" fillId="0" borderId="1" xfId="7" applyNumberFormat="1" applyFont="1" applyBorder="1"/>
    <xf numFmtId="171" fontId="16" fillId="0" borderId="1" xfId="6" applyNumberFormat="1" applyFont="1" applyBorder="1"/>
    <xf numFmtId="171" fontId="22" fillId="0" borderId="1" xfId="6" applyNumberFormat="1" applyFont="1" applyBorder="1"/>
    <xf numFmtId="164" fontId="22" fillId="0" borderId="1" xfId="6" applyNumberFormat="1" applyFont="1" applyBorder="1"/>
    <xf numFmtId="0" fontId="16" fillId="0" borderId="1" xfId="0" applyFont="1" applyBorder="1"/>
    <xf numFmtId="0" fontId="28" fillId="0" borderId="4" xfId="1" applyFont="1" applyFill="1" applyBorder="1" applyAlignment="1">
      <alignment vertical="center" wrapText="1"/>
    </xf>
    <xf numFmtId="0" fontId="28" fillId="0" borderId="1" xfId="1" applyFont="1" applyFill="1" applyBorder="1" applyAlignment="1">
      <alignment vertical="center" wrapText="1"/>
    </xf>
    <xf numFmtId="0" fontId="28" fillId="0" borderId="0" xfId="1" applyFont="1" applyFill="1" applyBorder="1" applyAlignment="1">
      <alignment vertical="center" wrapText="1"/>
    </xf>
    <xf numFmtId="0" fontId="22" fillId="0" borderId="0" xfId="17" applyFont="1"/>
    <xf numFmtId="0" fontId="16" fillId="0" borderId="0" xfId="17" applyFont="1"/>
    <xf numFmtId="0" fontId="16" fillId="0" borderId="1" xfId="17" applyFont="1" applyBorder="1"/>
    <xf numFmtId="0" fontId="16" fillId="0" borderId="0" xfId="17" applyFont="1" applyBorder="1"/>
    <xf numFmtId="165" fontId="16" fillId="0" borderId="0" xfId="17" applyNumberFormat="1" applyFont="1"/>
    <xf numFmtId="0" fontId="29" fillId="0" borderId="0" xfId="0" applyFont="1" applyAlignment="1">
      <alignment vertical="center"/>
    </xf>
    <xf numFmtId="0" fontId="16" fillId="0" borderId="1" xfId="0" applyFont="1" applyBorder="1" applyAlignment="1">
      <alignment vertical="top" wrapText="1"/>
    </xf>
    <xf numFmtId="0" fontId="16" fillId="4" borderId="1" xfId="0" applyFont="1" applyFill="1" applyBorder="1" applyAlignment="1">
      <alignment vertical="top" wrapText="1"/>
    </xf>
    <xf numFmtId="0" fontId="30" fillId="0" borderId="0" xfId="0" applyFont="1"/>
    <xf numFmtId="0" fontId="31" fillId="0" borderId="0" xfId="1" applyFont="1"/>
    <xf numFmtId="0" fontId="31" fillId="0" borderId="0" xfId="0" applyFont="1"/>
    <xf numFmtId="0" fontId="13" fillId="0" borderId="0" xfId="10" applyFont="1" applyAlignment="1">
      <alignment vertical="center"/>
    </xf>
    <xf numFmtId="0" fontId="16" fillId="0" borderId="1" xfId="0" applyFont="1" applyBorder="1" applyAlignment="1">
      <alignment vertical="top"/>
    </xf>
    <xf numFmtId="0" fontId="16" fillId="0" borderId="1" xfId="0" applyFont="1" applyBorder="1" applyAlignment="1">
      <alignment horizontal="left" wrapText="1"/>
    </xf>
    <xf numFmtId="0" fontId="16" fillId="0" borderId="0" xfId="0" applyFont="1" applyAlignment="1">
      <alignment horizontal="left" wrapText="1"/>
    </xf>
    <xf numFmtId="0" fontId="32" fillId="0" borderId="0" xfId="0" applyFont="1" applyAlignment="1">
      <alignment horizontal="left" indent="1"/>
    </xf>
    <xf numFmtId="0" fontId="16" fillId="0" borderId="0" xfId="0" applyFont="1" applyBorder="1" applyAlignment="1">
      <alignment vertical="top"/>
    </xf>
    <xf numFmtId="0" fontId="0" fillId="0" borderId="0" xfId="0" applyFont="1"/>
    <xf numFmtId="164" fontId="16" fillId="0" borderId="1" xfId="6" applyFont="1" applyBorder="1"/>
    <xf numFmtId="0" fontId="16" fillId="0" borderId="1" xfId="17" applyFont="1" applyBorder="1" applyAlignment="1">
      <alignment wrapText="1"/>
    </xf>
    <xf numFmtId="0" fontId="16" fillId="0" borderId="0" xfId="17" applyFont="1" applyFill="1"/>
    <xf numFmtId="169" fontId="16" fillId="0" borderId="0" xfId="18" applyNumberFormat="1" applyFont="1" applyBorder="1"/>
    <xf numFmtId="0" fontId="16" fillId="0" borderId="0" xfId="17" applyFont="1" applyFill="1" applyBorder="1"/>
    <xf numFmtId="0" fontId="29" fillId="0" borderId="0" xfId="17" applyFont="1"/>
    <xf numFmtId="0" fontId="16" fillId="0" borderId="0" xfId="17" applyFont="1" applyAlignment="1">
      <alignment wrapText="1"/>
    </xf>
    <xf numFmtId="169" fontId="16" fillId="0" borderId="1" xfId="18" applyNumberFormat="1" applyFont="1" applyBorder="1" applyAlignment="1">
      <alignment wrapText="1"/>
    </xf>
    <xf numFmtId="0" fontId="16" fillId="0" borderId="0" xfId="17" applyFont="1" applyAlignment="1">
      <alignment horizontal="center" wrapText="1"/>
    </xf>
    <xf numFmtId="9" fontId="16" fillId="0" borderId="0" xfId="19" applyFont="1" applyAlignment="1">
      <alignment horizontal="center" wrapText="1"/>
    </xf>
    <xf numFmtId="0" fontId="16" fillId="0" borderId="1" xfId="17" applyFont="1" applyBorder="1" applyAlignment="1">
      <alignment horizontal="left" wrapText="1"/>
    </xf>
    <xf numFmtId="0" fontId="22" fillId="2" borderId="1" xfId="0" applyNumberFormat="1" applyFont="1" applyFill="1" applyBorder="1" applyAlignment="1">
      <alignment horizontal="center" wrapText="1"/>
    </xf>
    <xf numFmtId="0" fontId="16" fillId="0" borderId="6" xfId="17" applyFont="1" applyBorder="1" applyAlignment="1"/>
    <xf numFmtId="0" fontId="16" fillId="0" borderId="7" xfId="17" applyFont="1" applyBorder="1"/>
    <xf numFmtId="9" fontId="16" fillId="0" borderId="8" xfId="7" applyFont="1" applyBorder="1" applyAlignment="1">
      <alignment wrapText="1"/>
    </xf>
    <xf numFmtId="9" fontId="16" fillId="0" borderId="11" xfId="19" applyFont="1" applyBorder="1" applyAlignment="1">
      <alignment horizontal="right" wrapText="1"/>
    </xf>
    <xf numFmtId="9" fontId="16" fillId="0" borderId="1" xfId="19" applyFont="1" applyBorder="1"/>
    <xf numFmtId="0" fontId="33" fillId="0" borderId="0" xfId="17" applyFont="1"/>
    <xf numFmtId="0" fontId="16" fillId="0" borderId="1" xfId="0" applyFont="1" applyFill="1" applyBorder="1" applyAlignment="1">
      <alignment vertical="top" wrapText="1"/>
    </xf>
    <xf numFmtId="0" fontId="16" fillId="0" borderId="0" xfId="0" applyFont="1" applyFill="1" applyAlignment="1">
      <alignment vertical="top" wrapText="1"/>
    </xf>
    <xf numFmtId="0" fontId="16" fillId="0" borderId="1" xfId="0" applyFont="1" applyFill="1" applyBorder="1" applyAlignment="1">
      <alignment horizontal="right" vertical="center"/>
    </xf>
    <xf numFmtId="171" fontId="16" fillId="0" borderId="1" xfId="6" applyNumberFormat="1" applyFont="1" applyBorder="1" applyAlignment="1">
      <alignment vertical="center"/>
    </xf>
    <xf numFmtId="171" fontId="16" fillId="0" borderId="0" xfId="6" applyNumberFormat="1" applyFont="1"/>
    <xf numFmtId="0" fontId="16" fillId="0" borderId="1" xfId="17" applyFont="1" applyBorder="1" applyAlignment="1">
      <alignment vertical="center" wrapText="1"/>
    </xf>
    <xf numFmtId="0" fontId="16" fillId="0" borderId="1" xfId="17" applyFont="1" applyBorder="1" applyAlignment="1">
      <alignment horizontal="left" vertical="center" wrapText="1"/>
    </xf>
    <xf numFmtId="164" fontId="16" fillId="0" borderId="0" xfId="17" applyNumberFormat="1" applyFont="1"/>
    <xf numFmtId="164" fontId="16" fillId="0" borderId="1" xfId="6" applyNumberFormat="1" applyFont="1" applyBorder="1"/>
    <xf numFmtId="172" fontId="16" fillId="0" borderId="1" xfId="6" applyNumberFormat="1" applyFont="1" applyBorder="1"/>
    <xf numFmtId="172" fontId="17" fillId="0" borderId="1" xfId="6" applyNumberFormat="1" applyFont="1" applyBorder="1"/>
    <xf numFmtId="172" fontId="16" fillId="0" borderId="1" xfId="11" applyNumberFormat="1" applyFont="1" applyBorder="1"/>
    <xf numFmtId="172" fontId="16" fillId="0" borderId="1" xfId="11" applyNumberFormat="1" applyFont="1" applyFill="1" applyBorder="1"/>
    <xf numFmtId="172" fontId="17" fillId="6" borderId="1" xfId="6" applyNumberFormat="1" applyFont="1" applyFill="1" applyBorder="1"/>
    <xf numFmtId="172" fontId="26" fillId="0" borderId="1" xfId="6" applyNumberFormat="1" applyFont="1" applyBorder="1"/>
    <xf numFmtId="172" fontId="18" fillId="6" borderId="1" xfId="6" applyNumberFormat="1" applyFont="1" applyFill="1" applyBorder="1"/>
    <xf numFmtId="0" fontId="16" fillId="0" borderId="9" xfId="17" applyFont="1" applyBorder="1" applyAlignment="1">
      <alignment horizontal="left" wrapText="1"/>
    </xf>
    <xf numFmtId="0" fontId="16" fillId="0" borderId="10" xfId="17" applyFont="1" applyBorder="1" applyAlignment="1">
      <alignment horizontal="left" wrapText="1"/>
    </xf>
  </cellXfs>
  <cellStyles count="25">
    <cellStyle name="Comma" xfId="6" builtinId="3"/>
    <cellStyle name="Comma 2" xfId="11"/>
    <cellStyle name="Comma 3" xfId="15"/>
    <cellStyle name="Comma 4 2" xfId="23"/>
    <cellStyle name="Currency 2" xfId="18"/>
    <cellStyle name="Explanatory Text" xfId="21"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22"/>
    <cellStyle name="Normal 6" xfId="17"/>
    <cellStyle name="Normal 7" xfId="20"/>
    <cellStyle name="Normal 9" xfId="3"/>
    <cellStyle name="Percent" xfId="7" builtinId="5"/>
    <cellStyle name="Percent 2" xfId="19"/>
    <cellStyle name="Percent 2 2" xfId="24"/>
  </cellStyles>
  <dxfs count="8">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6"/>
      </font>
      <fill>
        <patternFill>
          <bgColor theme="6" tint="0.59996337778862885"/>
        </patternFill>
      </fill>
    </dxf>
    <dxf>
      <font>
        <color theme="6"/>
      </font>
      <fill>
        <patternFill>
          <bgColor theme="6" tint="0.59996337778862885"/>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568277EC-AD50-440A-AE95-22F21DDF0EB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fld id="{E0FF42C6-2BC2-461E-A695-E6775F107EF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918228D9-3739-4C08-B76C-3364CB127E5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40099E5E-5175-43B2-AA6A-CE8C0CD908F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4D941B85-D66B-4F4B-ACDD-B883EAFEEDA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046155E3-3199-4265-9E74-7AD32BFBFC9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fld id="{EDAF0007-B77B-4165-A5CD-046C6A378F9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57DB32D2-C418-41A5-9EE3-B0A27AD507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79CC6EBD-B78B-4C8E-A813-EBBECEB3D05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powe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Analysis!$D$21:$D$31</c:f>
              <c:numCache>
                <c:formatCode>_(* #,##0_);_(* \(#,##0\);_(* "-"??_);_(@_)</c:formatCode>
                <c:ptCount val="11"/>
                <c:pt idx="0">
                  <c:v>2522</c:v>
                </c:pt>
                <c:pt idx="2">
                  <c:v>10000</c:v>
                </c:pt>
                <c:pt idx="3">
                  <c:v>43360</c:v>
                </c:pt>
                <c:pt idx="4">
                  <c:v>94</c:v>
                </c:pt>
                <c:pt idx="5">
                  <c:v>23234</c:v>
                </c:pt>
                <c:pt idx="6">
                  <c:v>30889</c:v>
                </c:pt>
                <c:pt idx="8">
                  <c:v>3089</c:v>
                </c:pt>
                <c:pt idx="9">
                  <c:v>10450</c:v>
                </c:pt>
                <c:pt idx="10">
                  <c:v>44000</c:v>
                </c:pt>
              </c:numCache>
            </c:numRef>
          </c:xVal>
          <c:yVal>
            <c:numRef>
              <c:f>Analysis!$C$21:$C$31</c:f>
              <c:numCache>
                <c:formatCode>_(* #,##0.00_);_(* \(#,##0.00\);_(* "-"??_);_(@_)</c:formatCode>
                <c:ptCount val="11"/>
                <c:pt idx="0">
                  <c:v>8.3662703223815793</c:v>
                </c:pt>
                <c:pt idx="2">
                  <c:v>12.586</c:v>
                </c:pt>
                <c:pt idx="3">
                  <c:v>65.933792933765986</c:v>
                </c:pt>
                <c:pt idx="4">
                  <c:v>0.44</c:v>
                </c:pt>
                <c:pt idx="5">
                  <c:v>30.461999999999996</c:v>
                </c:pt>
                <c:pt idx="6">
                  <c:v>38.621999999999993</c:v>
                </c:pt>
                <c:pt idx="8">
                  <c:v>13.5</c:v>
                </c:pt>
                <c:pt idx="9">
                  <c:v>23.229773653846138</c:v>
                </c:pt>
                <c:pt idx="10">
                  <c:v>60.835000000000001</c:v>
                </c:pt>
              </c:numCache>
            </c:numRef>
          </c:yVal>
          <c:smooth val="0"/>
          <c:extLst>
            <c:ext xmlns:c15="http://schemas.microsoft.com/office/drawing/2012/chart" uri="{02D57815-91ED-43cb-92C2-25804820EDAC}">
              <c15:datalabelsRange>
                <c15:f>Analysis!$B$21:$B$31</c15:f>
                <c15:dlblRangeCache>
                  <c:ptCount val="11"/>
                  <c:pt idx="0">
                    <c:v>ANH</c:v>
                  </c:pt>
                  <c:pt idx="1">
                    <c:v>HDD</c:v>
                  </c:pt>
                  <c:pt idx="2">
                    <c:v>NES</c:v>
                  </c:pt>
                  <c:pt idx="3">
                    <c:v>NWT</c:v>
                  </c:pt>
                  <c:pt idx="4">
                    <c:v>SRN</c:v>
                  </c:pt>
                  <c:pt idx="5">
                    <c:v>SVE</c:v>
                  </c:pt>
                  <c:pt idx="6">
                    <c:v>SWB</c:v>
                  </c:pt>
                  <c:pt idx="7">
                    <c:v>TMS</c:v>
                  </c:pt>
                  <c:pt idx="8">
                    <c:v>WSH</c:v>
                  </c:pt>
                  <c:pt idx="9">
                    <c:v>WSX</c:v>
                  </c:pt>
                  <c:pt idx="10">
                    <c:v>YKY</c:v>
                  </c:pt>
                </c15:dlblRangeCache>
              </c15:datalabelsRange>
            </c:ext>
          </c:extLst>
        </c:ser>
        <c:dLbls>
          <c:showLegendKey val="0"/>
          <c:showVal val="0"/>
          <c:showCatName val="0"/>
          <c:showSerName val="0"/>
          <c:showPercent val="0"/>
          <c:showBubbleSize val="0"/>
        </c:dLbls>
        <c:axId val="603952600"/>
        <c:axId val="603952992"/>
      </c:scatterChart>
      <c:valAx>
        <c:axId val="6039526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of storage (m3)</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952992"/>
        <c:crosses val="autoZero"/>
        <c:crossBetween val="midCat"/>
      </c:valAx>
      <c:valAx>
        <c:axId val="603952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Capex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952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57151</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76200" y="476250"/>
          <a:ext cx="6026150" cy="2905126"/>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i="0" u="sng">
              <a:solidFill>
                <a:schemeClr val="dk1"/>
              </a:solidFill>
              <a:effectLst/>
              <a:latin typeface="+mn-lt"/>
              <a:ea typeface="+mn-ea"/>
              <a:cs typeface="+mn-cs"/>
            </a:rPr>
            <a:t>Spill frequency enhancement feeder model</a:t>
          </a:r>
          <a:endParaRPr lang="en-GB" sz="1000" b="1" i="0" u="sng" baseline="0">
            <a:solidFill>
              <a:schemeClr val="dk1"/>
            </a:solidFill>
            <a:effectLst/>
            <a:latin typeface="+mn-lt"/>
            <a:ea typeface="+mn-ea"/>
            <a:cs typeface="+mn-cs"/>
          </a:endParaRPr>
        </a:p>
        <a:p>
          <a:endParaRPr lang="en-GB" sz="1000">
            <a:effectLst/>
          </a:endParaRPr>
        </a:p>
        <a:p>
          <a:r>
            <a:rPr lang="en-GB" sz="1000" b="1" baseline="0">
              <a:solidFill>
                <a:schemeClr val="dk1"/>
              </a:solidFill>
              <a:effectLst/>
              <a:latin typeface="+mn-lt"/>
              <a:ea typeface="+mn-ea"/>
              <a:cs typeface="+mn-cs"/>
            </a:rPr>
            <a:t>Objective</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To assess enhancement expenditure related to spill frequency as submitted by companies in their PR19 business plans.</a:t>
          </a:r>
        </a:p>
        <a:p>
          <a:endParaRPr lang="en-GB" sz="100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Approach</a:t>
          </a:r>
        </a:p>
        <a:p>
          <a:endParaRPr lang="en-GB"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 assess the investment for this line by using a model which estimates expected capex based on the company requested capex and volume of storage each company is planning to construct. We use the model to estimate our expected costs and apply an efficiency challenge to these estimates. The efficiency challenge is informed by the potential level of efficiency indicated in our model.  Where a company’s requested investment level is less than our determination we use the company’s business plan costs.</a:t>
          </a:r>
        </a:p>
        <a:p>
          <a:endParaRPr lang="en-GB" sz="10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285749</xdr:colOff>
      <xdr:row>4</xdr:row>
      <xdr:rowOff>357187</xdr:rowOff>
    </xdr:from>
    <xdr:to>
      <xdr:col>7</xdr:col>
      <xdr:colOff>255983</xdr:colOff>
      <xdr:row>8</xdr:row>
      <xdr:rowOff>142874</xdr:rowOff>
    </xdr:to>
    <xdr:sp macro="" textlink="">
      <xdr:nvSpPr>
        <xdr:cNvPr id="2" name="Rectangular Callout 1"/>
        <xdr:cNvSpPr/>
      </xdr:nvSpPr>
      <xdr:spPr>
        <a:xfrm>
          <a:off x="6149578" y="726281"/>
          <a:ext cx="1684734" cy="1012031"/>
        </a:xfrm>
        <a:prstGeom prst="wedgeRectCallout">
          <a:avLst>
            <a:gd name="adj1" fmla="val -78205"/>
            <a:gd name="adj2" fmla="val -3724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No. of sites variable was not seen as significant in multiple linear regression model.</a:t>
          </a:r>
        </a:p>
      </xdr:txBody>
    </xdr:sp>
    <xdr:clientData/>
  </xdr:twoCellAnchor>
  <xdr:twoCellAnchor>
    <xdr:from>
      <xdr:col>5</xdr:col>
      <xdr:colOff>285751</xdr:colOff>
      <xdr:row>18</xdr:row>
      <xdr:rowOff>143470</xdr:rowOff>
    </xdr:from>
    <xdr:to>
      <xdr:col>12</xdr:col>
      <xdr:colOff>53578</xdr:colOff>
      <xdr:row>31</xdr:row>
      <xdr:rowOff>23812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38</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38</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24050</xdr:colOff>
      <xdr:row>18</xdr:row>
      <xdr:rowOff>34767</xdr:rowOff>
    </xdr:from>
    <xdr:ext cx="7453076" cy="781240"/>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61633" y="4606767"/>
          <a:ext cx="7453076"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a:t>
          </a:r>
        </a:p>
        <a:p>
          <a:r>
            <a:rPr lang="en-GB" sz="1100" baseline="0"/>
            <a:t>Information provided by WSH for Menai Strait project used in cost modelling and the derived efficiency applied to the remainder of their programme as the company did not appear to estimate an output that we could use</a:t>
          </a:r>
        </a:p>
        <a:p>
          <a:r>
            <a:rPr lang="en-GB" sz="1100" baseline="0"/>
            <a:t> as a cost driver.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zoomScaleNormal="100" workbookViewId="0"/>
  </sheetViews>
  <sheetFormatPr defaultColWidth="8.7265625" defaultRowHeight="16.5" x14ac:dyDescent="0.5"/>
  <cols>
    <col min="1" max="1" width="1.08984375" style="8" customWidth="1"/>
    <col min="2" max="2" width="11.08984375" style="8" customWidth="1"/>
    <col min="3" max="3" width="61.08984375" style="8" customWidth="1"/>
    <col min="4" max="4" width="18" style="9" customWidth="1"/>
    <col min="5" max="16384" width="8.7265625" style="8"/>
  </cols>
  <sheetData>
    <row r="1" spans="2:4" ht="20.25" customHeight="1" x14ac:dyDescent="0.6">
      <c r="B1" s="6" t="s">
        <v>87</v>
      </c>
      <c r="C1" s="7"/>
      <c r="D1" s="7"/>
    </row>
    <row r="2" spans="2:4" ht="17.25" customHeight="1" x14ac:dyDescent="0.5"/>
    <row r="3" spans="2:4" ht="17.25" customHeight="1" x14ac:dyDescent="0.5"/>
    <row r="4" spans="2:4" ht="17.25" customHeight="1" x14ac:dyDescent="0.5"/>
    <row r="5" spans="2:4" ht="17.25" customHeight="1" x14ac:dyDescent="0.5"/>
    <row r="6" spans="2:4" ht="17.25" customHeight="1" x14ac:dyDescent="0.5"/>
    <row r="7" spans="2:4" ht="17.25" customHeight="1" x14ac:dyDescent="0.5"/>
    <row r="8" spans="2:4" ht="17.25" customHeight="1" x14ac:dyDescent="0.5"/>
    <row r="9" spans="2:4" ht="17.25" customHeight="1" x14ac:dyDescent="0.5"/>
    <row r="10" spans="2:4" ht="17.25" customHeight="1" x14ac:dyDescent="0.5"/>
    <row r="11" spans="2:4" ht="17.25" customHeight="1" x14ac:dyDescent="0.5"/>
    <row r="12" spans="2:4" ht="17.25" customHeight="1" x14ac:dyDescent="0.5"/>
    <row r="13" spans="2:4" ht="17.25" customHeight="1" x14ac:dyDescent="0.5"/>
    <row r="14" spans="2:4" ht="17.25" customHeight="1" x14ac:dyDescent="0.5"/>
    <row r="15" spans="2:4" ht="17.25" customHeight="1" x14ac:dyDescent="0.5"/>
    <row r="16" spans="2:4"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73"/>
  <sheetViews>
    <sheetView showGridLines="0" zoomScale="80" zoomScaleNormal="80" workbookViewId="0">
      <pane xSplit="3" ySplit="5" topLeftCell="D6" activePane="bottomRight" state="frozen"/>
      <selection pane="topRight" activeCell="D1" sqref="D1"/>
      <selection pane="bottomLeft" activeCell="A8" sqref="A8"/>
      <selection pane="bottomRight"/>
    </sheetView>
  </sheetViews>
  <sheetFormatPr defaultColWidth="8.6328125" defaultRowHeight="13" x14ac:dyDescent="0.3"/>
  <cols>
    <col min="1" max="1" width="12.26953125" style="26" customWidth="1"/>
    <col min="2" max="2" width="12.81640625" style="26" customWidth="1"/>
    <col min="3" max="3" width="12.36328125" style="26" customWidth="1"/>
    <col min="4" max="4" width="16" style="2" customWidth="1"/>
    <col min="5" max="8" width="13.7265625" style="2" customWidth="1"/>
    <col min="9" max="16384" width="8.6328125" style="2"/>
  </cols>
  <sheetData>
    <row r="1" spans="1:8" ht="15.5" x14ac:dyDescent="0.3">
      <c r="A1" s="51" t="s">
        <v>99</v>
      </c>
    </row>
    <row r="2" spans="1:8" ht="15.5" x14ac:dyDescent="0.3">
      <c r="A2" s="51" t="s">
        <v>138</v>
      </c>
    </row>
    <row r="4" spans="1:8" s="83" customFormat="1" x14ac:dyDescent="0.35">
      <c r="A4" s="82" t="s">
        <v>0</v>
      </c>
      <c r="B4" s="82" t="s">
        <v>1</v>
      </c>
      <c r="C4" s="82" t="s">
        <v>2</v>
      </c>
      <c r="D4" s="82" t="s">
        <v>91</v>
      </c>
      <c r="E4" s="82" t="s">
        <v>89</v>
      </c>
      <c r="F4" s="82" t="s">
        <v>88</v>
      </c>
      <c r="G4" s="82" t="s">
        <v>90</v>
      </c>
      <c r="H4" s="82" t="s">
        <v>117</v>
      </c>
    </row>
    <row r="5" spans="1:8" ht="114" customHeight="1" x14ac:dyDescent="0.3">
      <c r="A5" s="53" t="s">
        <v>119</v>
      </c>
      <c r="B5" s="53" t="s">
        <v>14</v>
      </c>
      <c r="C5" s="53" t="s">
        <v>139</v>
      </c>
      <c r="D5" s="53" t="s">
        <v>140</v>
      </c>
      <c r="E5" s="53" t="s">
        <v>140</v>
      </c>
      <c r="F5" s="53" t="s">
        <v>120</v>
      </c>
      <c r="G5" s="53" t="s">
        <v>121</v>
      </c>
      <c r="H5" s="53" t="s">
        <v>161</v>
      </c>
    </row>
    <row r="6" spans="1:8" x14ac:dyDescent="0.3">
      <c r="A6" s="29" t="s">
        <v>29</v>
      </c>
      <c r="B6" s="30" t="s">
        <v>3</v>
      </c>
      <c r="C6" s="84">
        <v>2021</v>
      </c>
      <c r="D6" s="27">
        <v>1.6010521667414099</v>
      </c>
      <c r="E6" s="27">
        <v>1.6010521667414099</v>
      </c>
      <c r="F6" s="28">
        <v>551.50375405476098</v>
      </c>
      <c r="G6" s="85">
        <v>1966</v>
      </c>
      <c r="H6" s="85">
        <v>21</v>
      </c>
    </row>
    <row r="7" spans="1:8" x14ac:dyDescent="0.3">
      <c r="A7" s="29" t="s">
        <v>30</v>
      </c>
      <c r="B7" s="30" t="s">
        <v>3</v>
      </c>
      <c r="C7" s="84">
        <v>2022</v>
      </c>
      <c r="D7" s="27">
        <v>5.0383635589497597</v>
      </c>
      <c r="E7" s="27">
        <v>5.0383635589497597</v>
      </c>
      <c r="F7" s="28">
        <v>653.12795659695598</v>
      </c>
      <c r="G7" s="85">
        <v>1249</v>
      </c>
      <c r="H7" s="85">
        <v>15</v>
      </c>
    </row>
    <row r="8" spans="1:8" x14ac:dyDescent="0.3">
      <c r="A8" s="29" t="s">
        <v>31</v>
      </c>
      <c r="B8" s="30" t="s">
        <v>3</v>
      </c>
      <c r="C8" s="84">
        <v>2023</v>
      </c>
      <c r="D8" s="27">
        <v>1.7268545966904101</v>
      </c>
      <c r="E8" s="27">
        <v>1.7268545966904101</v>
      </c>
      <c r="F8" s="28">
        <v>659.79125581432402</v>
      </c>
      <c r="G8" s="85">
        <v>2323</v>
      </c>
      <c r="H8" s="85">
        <v>43</v>
      </c>
    </row>
    <row r="9" spans="1:8" x14ac:dyDescent="0.3">
      <c r="A9" s="29" t="s">
        <v>32</v>
      </c>
      <c r="B9" s="30" t="s">
        <v>3</v>
      </c>
      <c r="C9" s="84">
        <v>2024</v>
      </c>
      <c r="D9" s="27">
        <v>0</v>
      </c>
      <c r="E9" s="27">
        <v>0</v>
      </c>
      <c r="F9" s="28">
        <v>762.56025220065897</v>
      </c>
      <c r="G9" s="85">
        <v>4971</v>
      </c>
      <c r="H9" s="85">
        <v>38</v>
      </c>
    </row>
    <row r="10" spans="1:8" x14ac:dyDescent="0.3">
      <c r="A10" s="29" t="s">
        <v>33</v>
      </c>
      <c r="B10" s="30" t="s">
        <v>3</v>
      </c>
      <c r="C10" s="84">
        <v>2025</v>
      </c>
      <c r="D10" s="27">
        <v>0</v>
      </c>
      <c r="E10" s="27">
        <v>0</v>
      </c>
      <c r="F10" s="28">
        <v>701.76121450352298</v>
      </c>
      <c r="G10" s="85">
        <v>37211</v>
      </c>
      <c r="H10" s="85">
        <v>34</v>
      </c>
    </row>
    <row r="11" spans="1:8" x14ac:dyDescent="0.3">
      <c r="A11" s="29" t="s">
        <v>34</v>
      </c>
      <c r="B11" s="30" t="s">
        <v>4</v>
      </c>
      <c r="C11" s="84">
        <v>2021</v>
      </c>
      <c r="D11" s="27">
        <v>4.3410000000000002</v>
      </c>
      <c r="E11" s="27">
        <v>4.3410000000000002</v>
      </c>
      <c r="F11" s="28">
        <v>194.71899999999999</v>
      </c>
      <c r="G11" s="85">
        <v>0</v>
      </c>
      <c r="H11" s="85">
        <v>0</v>
      </c>
    </row>
    <row r="12" spans="1:8" x14ac:dyDescent="0.3">
      <c r="A12" s="29" t="s">
        <v>35</v>
      </c>
      <c r="B12" s="30" t="s">
        <v>4</v>
      </c>
      <c r="C12" s="84">
        <v>2022</v>
      </c>
      <c r="D12" s="27">
        <v>4.3419999999999996</v>
      </c>
      <c r="E12" s="27">
        <v>4.3419999999999996</v>
      </c>
      <c r="F12" s="28">
        <v>225.87200000000001</v>
      </c>
      <c r="G12" s="85">
        <v>0</v>
      </c>
      <c r="H12" s="85">
        <v>0</v>
      </c>
    </row>
    <row r="13" spans="1:8" x14ac:dyDescent="0.3">
      <c r="A13" s="29" t="s">
        <v>36</v>
      </c>
      <c r="B13" s="30" t="s">
        <v>4</v>
      </c>
      <c r="C13" s="84">
        <v>2023</v>
      </c>
      <c r="D13" s="27">
        <v>1.3009999999999999</v>
      </c>
      <c r="E13" s="27">
        <v>1.3009999999999999</v>
      </c>
      <c r="F13" s="28">
        <v>250.01400000000001</v>
      </c>
      <c r="G13" s="85">
        <v>15</v>
      </c>
      <c r="H13" s="85">
        <v>1</v>
      </c>
    </row>
    <row r="14" spans="1:8" x14ac:dyDescent="0.3">
      <c r="A14" s="29" t="s">
        <v>37</v>
      </c>
      <c r="B14" s="30" t="s">
        <v>4</v>
      </c>
      <c r="C14" s="84">
        <v>2024</v>
      </c>
      <c r="D14" s="27">
        <v>1.3009999999999999</v>
      </c>
      <c r="E14" s="27">
        <v>1.3009999999999999</v>
      </c>
      <c r="F14" s="28">
        <v>314.52300000000002</v>
      </c>
      <c r="G14" s="85">
        <v>59</v>
      </c>
      <c r="H14" s="85">
        <v>3</v>
      </c>
    </row>
    <row r="15" spans="1:8" x14ac:dyDescent="0.3">
      <c r="A15" s="29" t="s">
        <v>38</v>
      </c>
      <c r="B15" s="30" t="s">
        <v>4</v>
      </c>
      <c r="C15" s="84">
        <v>2025</v>
      </c>
      <c r="D15" s="27">
        <v>1.3009999999999999</v>
      </c>
      <c r="E15" s="27">
        <v>1.3009999999999999</v>
      </c>
      <c r="F15" s="28">
        <v>258.24900000000002</v>
      </c>
      <c r="G15" s="85">
        <v>192</v>
      </c>
      <c r="H15" s="85">
        <v>3</v>
      </c>
    </row>
    <row r="16" spans="1:8" x14ac:dyDescent="0.3">
      <c r="A16" s="29" t="s">
        <v>39</v>
      </c>
      <c r="B16" s="30" t="s">
        <v>5</v>
      </c>
      <c r="C16" s="84">
        <v>2021</v>
      </c>
      <c r="D16" s="27">
        <v>0.36173679304177098</v>
      </c>
      <c r="E16" s="27">
        <v>0.36173679304177098</v>
      </c>
      <c r="F16" s="28">
        <v>557.40503234329799</v>
      </c>
      <c r="G16" s="85">
        <v>0</v>
      </c>
      <c r="H16" s="85">
        <v>0</v>
      </c>
    </row>
    <row r="17" spans="1:8" x14ac:dyDescent="0.3">
      <c r="A17" s="29" t="s">
        <v>40</v>
      </c>
      <c r="B17" s="30" t="s">
        <v>5</v>
      </c>
      <c r="C17" s="84">
        <v>2022</v>
      </c>
      <c r="D17" s="27">
        <v>1.8569298299308801</v>
      </c>
      <c r="E17" s="27">
        <v>1.8569298299308801</v>
      </c>
      <c r="F17" s="28">
        <v>584.41680129680901</v>
      </c>
      <c r="G17" s="85">
        <v>43850</v>
      </c>
      <c r="H17" s="85">
        <v>2</v>
      </c>
    </row>
    <row r="18" spans="1:8" x14ac:dyDescent="0.3">
      <c r="A18" s="29" t="s">
        <v>41</v>
      </c>
      <c r="B18" s="30" t="s">
        <v>5</v>
      </c>
      <c r="C18" s="84">
        <v>2023</v>
      </c>
      <c r="D18" s="27">
        <v>3.66298818288554</v>
      </c>
      <c r="E18" s="27">
        <v>3.66298818288554</v>
      </c>
      <c r="F18" s="28">
        <v>527.23793476313404</v>
      </c>
      <c r="G18" s="85">
        <v>14511</v>
      </c>
      <c r="H18" s="85">
        <v>7</v>
      </c>
    </row>
    <row r="19" spans="1:8" x14ac:dyDescent="0.3">
      <c r="A19" s="29" t="s">
        <v>42</v>
      </c>
      <c r="B19" s="30" t="s">
        <v>5</v>
      </c>
      <c r="C19" s="84">
        <v>2024</v>
      </c>
      <c r="D19" s="27">
        <v>21.4210995900097</v>
      </c>
      <c r="E19" s="27">
        <v>21.4210995900097</v>
      </c>
      <c r="F19" s="28">
        <v>706.99058633935101</v>
      </c>
      <c r="G19" s="85">
        <v>345</v>
      </c>
      <c r="H19" s="85">
        <v>1</v>
      </c>
    </row>
    <row r="20" spans="1:8" x14ac:dyDescent="0.3">
      <c r="A20" s="29" t="s">
        <v>43</v>
      </c>
      <c r="B20" s="30" t="s">
        <v>5</v>
      </c>
      <c r="C20" s="84">
        <v>2025</v>
      </c>
      <c r="D20" s="27">
        <v>38.6310385378981</v>
      </c>
      <c r="E20" s="27">
        <v>38.6310385378981</v>
      </c>
      <c r="F20" s="28">
        <v>637.00849885031198</v>
      </c>
      <c r="G20" s="85">
        <v>45508</v>
      </c>
      <c r="H20" s="85">
        <v>8</v>
      </c>
    </row>
    <row r="21" spans="1:8" x14ac:dyDescent="0.3">
      <c r="A21" s="29" t="s">
        <v>44</v>
      </c>
      <c r="B21" s="30" t="s">
        <v>6</v>
      </c>
      <c r="C21" s="84">
        <v>2021</v>
      </c>
      <c r="D21" s="27">
        <v>0</v>
      </c>
      <c r="E21" s="27">
        <v>0</v>
      </c>
      <c r="F21" s="28">
        <v>462.08100000000002</v>
      </c>
      <c r="G21" s="85">
        <v>10495</v>
      </c>
      <c r="H21" s="85">
        <v>9</v>
      </c>
    </row>
    <row r="22" spans="1:8" x14ac:dyDescent="0.3">
      <c r="A22" s="29" t="s">
        <v>45</v>
      </c>
      <c r="B22" s="30" t="s">
        <v>6</v>
      </c>
      <c r="C22" s="84">
        <v>2022</v>
      </c>
      <c r="D22" s="27">
        <v>0.22</v>
      </c>
      <c r="E22" s="27">
        <v>0.22</v>
      </c>
      <c r="F22" s="28">
        <v>610.50400000000002</v>
      </c>
      <c r="G22" s="85">
        <v>10495</v>
      </c>
      <c r="H22" s="85">
        <v>9</v>
      </c>
    </row>
    <row r="23" spans="1:8" x14ac:dyDescent="0.3">
      <c r="A23" s="29" t="s">
        <v>46</v>
      </c>
      <c r="B23" s="30" t="s">
        <v>6</v>
      </c>
      <c r="C23" s="84">
        <v>2023</v>
      </c>
      <c r="D23" s="27">
        <v>0.22</v>
      </c>
      <c r="E23" s="27">
        <v>0.22</v>
      </c>
      <c r="F23" s="28">
        <v>633.11300000000006</v>
      </c>
      <c r="G23" s="85">
        <v>10495</v>
      </c>
      <c r="H23" s="85">
        <v>9</v>
      </c>
    </row>
    <row r="24" spans="1:8" x14ac:dyDescent="0.3">
      <c r="A24" s="29" t="s">
        <v>47</v>
      </c>
      <c r="B24" s="30" t="s">
        <v>6</v>
      </c>
      <c r="C24" s="84">
        <v>2024</v>
      </c>
      <c r="D24" s="27">
        <v>0</v>
      </c>
      <c r="E24" s="27">
        <v>0</v>
      </c>
      <c r="F24" s="28">
        <v>495.7</v>
      </c>
      <c r="G24" s="85">
        <v>10495</v>
      </c>
      <c r="H24" s="85">
        <v>9</v>
      </c>
    </row>
    <row r="25" spans="1:8" x14ac:dyDescent="0.3">
      <c r="A25" s="29" t="s">
        <v>48</v>
      </c>
      <c r="B25" s="30" t="s">
        <v>6</v>
      </c>
      <c r="C25" s="84">
        <v>2025</v>
      </c>
      <c r="D25" s="27">
        <v>0</v>
      </c>
      <c r="E25" s="27">
        <v>0</v>
      </c>
      <c r="F25" s="28">
        <v>408.06400000000002</v>
      </c>
      <c r="G25" s="85">
        <v>10495</v>
      </c>
      <c r="H25" s="85">
        <v>9</v>
      </c>
    </row>
    <row r="26" spans="1:8" x14ac:dyDescent="0.3">
      <c r="A26" s="29" t="s">
        <v>49</v>
      </c>
      <c r="B26" s="30" t="s">
        <v>7</v>
      </c>
      <c r="C26" s="84">
        <v>2021</v>
      </c>
      <c r="D26" s="27">
        <v>0</v>
      </c>
      <c r="E26" s="27">
        <v>0</v>
      </c>
      <c r="F26" s="28">
        <v>0</v>
      </c>
      <c r="G26" s="85">
        <v>0</v>
      </c>
      <c r="H26" s="85">
        <v>0</v>
      </c>
    </row>
    <row r="27" spans="1:8" x14ac:dyDescent="0.3">
      <c r="A27" s="29" t="s">
        <v>50</v>
      </c>
      <c r="B27" s="30" t="s">
        <v>7</v>
      </c>
      <c r="C27" s="84">
        <v>2022</v>
      </c>
      <c r="D27" s="27">
        <v>0</v>
      </c>
      <c r="E27" s="27">
        <v>0</v>
      </c>
      <c r="F27" s="28">
        <v>0</v>
      </c>
      <c r="G27" s="85">
        <v>0</v>
      </c>
      <c r="H27" s="85">
        <v>0</v>
      </c>
    </row>
    <row r="28" spans="1:8" x14ac:dyDescent="0.3">
      <c r="A28" s="29" t="s">
        <v>51</v>
      </c>
      <c r="B28" s="30" t="s">
        <v>7</v>
      </c>
      <c r="C28" s="84">
        <v>2023</v>
      </c>
      <c r="D28" s="27">
        <v>0</v>
      </c>
      <c r="E28" s="27">
        <v>0</v>
      </c>
      <c r="F28" s="28">
        <v>0</v>
      </c>
      <c r="G28" s="85">
        <v>0</v>
      </c>
      <c r="H28" s="85">
        <v>0</v>
      </c>
    </row>
    <row r="29" spans="1:8" x14ac:dyDescent="0.3">
      <c r="A29" s="29" t="s">
        <v>52</v>
      </c>
      <c r="B29" s="30" t="s">
        <v>7</v>
      </c>
      <c r="C29" s="84">
        <v>2024</v>
      </c>
      <c r="D29" s="27">
        <v>0</v>
      </c>
      <c r="E29" s="27">
        <v>0</v>
      </c>
      <c r="F29" s="28">
        <v>0</v>
      </c>
      <c r="G29" s="85">
        <v>0</v>
      </c>
      <c r="H29" s="85">
        <v>0</v>
      </c>
    </row>
    <row r="30" spans="1:8" x14ac:dyDescent="0.3">
      <c r="A30" s="29" t="s">
        <v>53</v>
      </c>
      <c r="B30" s="30" t="s">
        <v>7</v>
      </c>
      <c r="C30" s="84">
        <v>2025</v>
      </c>
      <c r="D30" s="27">
        <v>0</v>
      </c>
      <c r="E30" s="27">
        <v>0</v>
      </c>
      <c r="F30" s="28">
        <v>0</v>
      </c>
      <c r="G30" s="85">
        <v>0</v>
      </c>
      <c r="H30" s="85">
        <v>0</v>
      </c>
    </row>
    <row r="31" spans="1:8" x14ac:dyDescent="0.3">
      <c r="A31" s="29" t="s">
        <v>54</v>
      </c>
      <c r="B31" s="30" t="s">
        <v>8</v>
      </c>
      <c r="C31" s="84">
        <v>2021</v>
      </c>
      <c r="D31" s="27" t="s">
        <v>154</v>
      </c>
      <c r="E31" s="27" t="s">
        <v>154</v>
      </c>
      <c r="F31" s="28" t="s">
        <v>154</v>
      </c>
      <c r="G31" s="85" t="s">
        <v>154</v>
      </c>
      <c r="H31" s="85">
        <v>0</v>
      </c>
    </row>
    <row r="32" spans="1:8" x14ac:dyDescent="0.3">
      <c r="A32" s="29" t="s">
        <v>55</v>
      </c>
      <c r="B32" s="30" t="s">
        <v>8</v>
      </c>
      <c r="C32" s="84">
        <v>2022</v>
      </c>
      <c r="D32" s="27" t="s">
        <v>154</v>
      </c>
      <c r="E32" s="27" t="s">
        <v>154</v>
      </c>
      <c r="F32" s="28" t="s">
        <v>154</v>
      </c>
      <c r="G32" s="85" t="s">
        <v>154</v>
      </c>
      <c r="H32" s="85">
        <v>0</v>
      </c>
    </row>
    <row r="33" spans="1:8" x14ac:dyDescent="0.3">
      <c r="A33" s="29" t="s">
        <v>56</v>
      </c>
      <c r="B33" s="30" t="s">
        <v>8</v>
      </c>
      <c r="C33" s="84">
        <v>2023</v>
      </c>
      <c r="D33" s="27" t="s">
        <v>154</v>
      </c>
      <c r="E33" s="27" t="s">
        <v>154</v>
      </c>
      <c r="F33" s="28" t="s">
        <v>154</v>
      </c>
      <c r="G33" s="85" t="s">
        <v>154</v>
      </c>
      <c r="H33" s="85">
        <v>0</v>
      </c>
    </row>
    <row r="34" spans="1:8" x14ac:dyDescent="0.3">
      <c r="A34" s="29" t="s">
        <v>57</v>
      </c>
      <c r="B34" s="30" t="s">
        <v>8</v>
      </c>
      <c r="C34" s="84">
        <v>2024</v>
      </c>
      <c r="D34" s="27" t="s">
        <v>154</v>
      </c>
      <c r="E34" s="27" t="s">
        <v>154</v>
      </c>
      <c r="F34" s="28" t="s">
        <v>154</v>
      </c>
      <c r="G34" s="85" t="s">
        <v>154</v>
      </c>
      <c r="H34" s="85">
        <v>0</v>
      </c>
    </row>
    <row r="35" spans="1:8" x14ac:dyDescent="0.3">
      <c r="A35" s="29" t="s">
        <v>58</v>
      </c>
      <c r="B35" s="30" t="s">
        <v>8</v>
      </c>
      <c r="C35" s="84">
        <v>2025</v>
      </c>
      <c r="D35" s="27" t="s">
        <v>154</v>
      </c>
      <c r="E35" s="27" t="s">
        <v>154</v>
      </c>
      <c r="F35" s="28" t="s">
        <v>154</v>
      </c>
      <c r="G35" s="85" t="s">
        <v>154</v>
      </c>
      <c r="H35" s="85">
        <v>0</v>
      </c>
    </row>
    <row r="36" spans="1:8" x14ac:dyDescent="0.3">
      <c r="A36" s="29" t="s">
        <v>59</v>
      </c>
      <c r="B36" s="30" t="s">
        <v>9</v>
      </c>
      <c r="C36" s="84">
        <v>2021</v>
      </c>
      <c r="D36" s="27">
        <v>10.484</v>
      </c>
      <c r="E36" s="27">
        <v>10.484</v>
      </c>
      <c r="F36" s="28">
        <v>209.88399999999999</v>
      </c>
      <c r="G36" s="85">
        <v>764</v>
      </c>
      <c r="H36" s="85">
        <v>16</v>
      </c>
    </row>
    <row r="37" spans="1:8" x14ac:dyDescent="0.3">
      <c r="A37" s="29" t="s">
        <v>60</v>
      </c>
      <c r="B37" s="30" t="s">
        <v>9</v>
      </c>
      <c r="C37" s="84">
        <v>2022</v>
      </c>
      <c r="D37" s="27">
        <v>10.422000000000001</v>
      </c>
      <c r="E37" s="27">
        <v>10.422000000000001</v>
      </c>
      <c r="F37" s="28">
        <v>205.41800000000001</v>
      </c>
      <c r="G37" s="85">
        <v>584</v>
      </c>
      <c r="H37" s="85">
        <v>13</v>
      </c>
    </row>
    <row r="38" spans="1:8" x14ac:dyDescent="0.3">
      <c r="A38" s="29" t="s">
        <v>61</v>
      </c>
      <c r="B38" s="30" t="s">
        <v>9</v>
      </c>
      <c r="C38" s="84">
        <v>2023</v>
      </c>
      <c r="D38" s="27">
        <v>2.1480000000000001</v>
      </c>
      <c r="E38" s="27">
        <v>2.1480000000000001</v>
      </c>
      <c r="F38" s="28">
        <v>184.16300000000001</v>
      </c>
      <c r="G38" s="85">
        <v>783</v>
      </c>
      <c r="H38" s="85">
        <v>16</v>
      </c>
    </row>
    <row r="39" spans="1:8" x14ac:dyDescent="0.3">
      <c r="A39" s="29" t="s">
        <v>62</v>
      </c>
      <c r="B39" s="30" t="s">
        <v>9</v>
      </c>
      <c r="C39" s="84">
        <v>2024</v>
      </c>
      <c r="D39" s="27">
        <v>6.9530000000000003</v>
      </c>
      <c r="E39" s="27">
        <v>6.9530000000000003</v>
      </c>
      <c r="F39" s="28">
        <v>182.45099999999999</v>
      </c>
      <c r="G39" s="85">
        <v>2249</v>
      </c>
      <c r="H39" s="85">
        <v>7</v>
      </c>
    </row>
    <row r="40" spans="1:8" x14ac:dyDescent="0.3">
      <c r="A40" s="29" t="s">
        <v>63</v>
      </c>
      <c r="B40" s="30" t="s">
        <v>9</v>
      </c>
      <c r="C40" s="84">
        <v>2025</v>
      </c>
      <c r="D40" s="27">
        <v>6.6020000000000003</v>
      </c>
      <c r="E40" s="27">
        <v>6.6020000000000003</v>
      </c>
      <c r="F40" s="28">
        <v>169.172</v>
      </c>
      <c r="G40" s="85">
        <v>849</v>
      </c>
      <c r="H40" s="85">
        <v>7</v>
      </c>
    </row>
    <row r="41" spans="1:8" x14ac:dyDescent="0.3">
      <c r="A41" s="29" t="s">
        <v>64</v>
      </c>
      <c r="B41" s="30" t="s">
        <v>10</v>
      </c>
      <c r="C41" s="84">
        <v>2021</v>
      </c>
      <c r="D41" s="27">
        <v>0</v>
      </c>
      <c r="E41" s="27">
        <v>0</v>
      </c>
      <c r="F41" s="28">
        <v>943.20508384003995</v>
      </c>
      <c r="G41" s="85">
        <v>0</v>
      </c>
      <c r="H41" s="85">
        <v>0</v>
      </c>
    </row>
    <row r="42" spans="1:8" x14ac:dyDescent="0.3">
      <c r="A42" s="29" t="s">
        <v>65</v>
      </c>
      <c r="B42" s="30" t="s">
        <v>10</v>
      </c>
      <c r="C42" s="84">
        <v>2022</v>
      </c>
      <c r="D42" s="27">
        <v>0</v>
      </c>
      <c r="E42" s="27">
        <v>0</v>
      </c>
      <c r="F42" s="28">
        <v>1059.5585860040801</v>
      </c>
      <c r="G42" s="85">
        <v>0</v>
      </c>
      <c r="H42" s="85">
        <v>0</v>
      </c>
    </row>
    <row r="43" spans="1:8" x14ac:dyDescent="0.3">
      <c r="A43" s="29" t="s">
        <v>66</v>
      </c>
      <c r="B43" s="30" t="s">
        <v>10</v>
      </c>
      <c r="C43" s="84">
        <v>2023</v>
      </c>
      <c r="D43" s="27">
        <v>0</v>
      </c>
      <c r="E43" s="27">
        <v>0</v>
      </c>
      <c r="F43" s="28">
        <v>1043.6785429854101</v>
      </c>
      <c r="G43" s="85">
        <v>6023.6668794263196</v>
      </c>
      <c r="H43" s="85">
        <v>9</v>
      </c>
    </row>
    <row r="44" spans="1:8" x14ac:dyDescent="0.3">
      <c r="A44" s="29" t="s">
        <v>67</v>
      </c>
      <c r="B44" s="30" t="s">
        <v>10</v>
      </c>
      <c r="C44" s="84">
        <v>2024</v>
      </c>
      <c r="D44" s="27">
        <v>0</v>
      </c>
      <c r="E44" s="27">
        <v>0</v>
      </c>
      <c r="F44" s="28">
        <v>989.85067441146896</v>
      </c>
      <c r="G44" s="85">
        <v>1581.5422426346499</v>
      </c>
      <c r="H44" s="85">
        <v>9</v>
      </c>
    </row>
    <row r="45" spans="1:8" x14ac:dyDescent="0.3">
      <c r="A45" s="29" t="s">
        <v>68</v>
      </c>
      <c r="B45" s="30" t="s">
        <v>10</v>
      </c>
      <c r="C45" s="84">
        <v>2025</v>
      </c>
      <c r="D45" s="27">
        <v>0</v>
      </c>
      <c r="E45" s="27">
        <v>0</v>
      </c>
      <c r="F45" s="28">
        <v>960.87480281767398</v>
      </c>
      <c r="G45" s="85">
        <v>26626.486518641199</v>
      </c>
      <c r="H45" s="85">
        <v>16</v>
      </c>
    </row>
    <row r="46" spans="1:8" x14ac:dyDescent="0.3">
      <c r="A46" s="29" t="s">
        <v>69</v>
      </c>
      <c r="B46" s="30" t="s">
        <v>11</v>
      </c>
      <c r="C46" s="84">
        <v>2021</v>
      </c>
      <c r="D46" s="27">
        <v>9.8369999999999997</v>
      </c>
      <c r="E46" s="27">
        <v>9.8369999999999997</v>
      </c>
      <c r="F46" s="28">
        <v>358.459</v>
      </c>
      <c r="G46" s="85">
        <v>0</v>
      </c>
      <c r="H46" s="85">
        <v>0</v>
      </c>
    </row>
    <row r="47" spans="1:8" x14ac:dyDescent="0.3">
      <c r="A47" s="29" t="s">
        <v>70</v>
      </c>
      <c r="B47" s="30" t="s">
        <v>11</v>
      </c>
      <c r="C47" s="84">
        <v>2022</v>
      </c>
      <c r="D47" s="27">
        <v>9.7210000000000001</v>
      </c>
      <c r="E47" s="27">
        <v>9.7210000000000001</v>
      </c>
      <c r="F47" s="28">
        <v>291.94099999999997</v>
      </c>
      <c r="G47" s="85">
        <v>0</v>
      </c>
      <c r="H47" s="85">
        <v>0</v>
      </c>
    </row>
    <row r="48" spans="1:8" x14ac:dyDescent="0.3">
      <c r="A48" s="29" t="s">
        <v>71</v>
      </c>
      <c r="B48" s="30" t="s">
        <v>11</v>
      </c>
      <c r="C48" s="84">
        <v>2023</v>
      </c>
      <c r="D48" s="27">
        <v>9.6069999999999993</v>
      </c>
      <c r="E48" s="27">
        <v>9.6069999999999993</v>
      </c>
      <c r="F48" s="28">
        <v>301.45100000000002</v>
      </c>
      <c r="G48" s="85">
        <v>0</v>
      </c>
      <c r="H48" s="85">
        <v>0</v>
      </c>
    </row>
    <row r="49" spans="1:8" x14ac:dyDescent="0.3">
      <c r="A49" s="29" t="s">
        <v>72</v>
      </c>
      <c r="B49" s="30" t="s">
        <v>11</v>
      </c>
      <c r="C49" s="84">
        <v>2024</v>
      </c>
      <c r="D49" s="27">
        <v>9.4819999999999993</v>
      </c>
      <c r="E49" s="27">
        <v>9.4819999999999993</v>
      </c>
      <c r="F49" s="28">
        <v>290.19</v>
      </c>
      <c r="G49" s="85">
        <v>0</v>
      </c>
      <c r="H49" s="85">
        <v>0</v>
      </c>
    </row>
    <row r="50" spans="1:8" x14ac:dyDescent="0.3">
      <c r="A50" s="29" t="s">
        <v>73</v>
      </c>
      <c r="B50" s="30" t="s">
        <v>11</v>
      </c>
      <c r="C50" s="84">
        <v>2025</v>
      </c>
      <c r="D50" s="27">
        <v>9.3729999999999993</v>
      </c>
      <c r="E50" s="27">
        <v>9.3729999999999993</v>
      </c>
      <c r="F50" s="28">
        <v>287.05399999999997</v>
      </c>
      <c r="G50" s="85">
        <v>4953</v>
      </c>
      <c r="H50" s="85">
        <v>13</v>
      </c>
    </row>
    <row r="51" spans="1:8" x14ac:dyDescent="0.3">
      <c r="A51" s="29" t="s">
        <v>74</v>
      </c>
      <c r="B51" s="30" t="s">
        <v>12</v>
      </c>
      <c r="C51" s="84">
        <v>2021</v>
      </c>
      <c r="D51" s="27">
        <v>6.1083534807692299</v>
      </c>
      <c r="E51" s="27">
        <v>6.1083534807692299</v>
      </c>
      <c r="F51" s="28">
        <v>334.40990139956699</v>
      </c>
      <c r="G51" s="85">
        <v>0</v>
      </c>
      <c r="H51" s="85">
        <v>0</v>
      </c>
    </row>
    <row r="52" spans="1:8" x14ac:dyDescent="0.3">
      <c r="A52" s="29" t="s">
        <v>75</v>
      </c>
      <c r="B52" s="30" t="s">
        <v>12</v>
      </c>
      <c r="C52" s="84">
        <v>2022</v>
      </c>
      <c r="D52" s="27">
        <v>5.20062421153846</v>
      </c>
      <c r="E52" s="27">
        <v>5.20062421153846</v>
      </c>
      <c r="F52" s="28">
        <v>310.35824991875199</v>
      </c>
      <c r="G52" s="85">
        <v>0</v>
      </c>
      <c r="H52" s="85">
        <v>0</v>
      </c>
    </row>
    <row r="53" spans="1:8" x14ac:dyDescent="0.3">
      <c r="A53" s="29" t="s">
        <v>76</v>
      </c>
      <c r="B53" s="30" t="s">
        <v>12</v>
      </c>
      <c r="C53" s="84">
        <v>2023</v>
      </c>
      <c r="D53" s="27">
        <v>4.5688941346153804</v>
      </c>
      <c r="E53" s="27">
        <v>4.5688941346153804</v>
      </c>
      <c r="F53" s="28">
        <v>316.21891660017798</v>
      </c>
      <c r="G53" s="85">
        <v>309</v>
      </c>
      <c r="H53" s="85">
        <v>5</v>
      </c>
    </row>
    <row r="54" spans="1:8" x14ac:dyDescent="0.3">
      <c r="A54" s="29" t="s">
        <v>77</v>
      </c>
      <c r="B54" s="30" t="s">
        <v>12</v>
      </c>
      <c r="C54" s="84">
        <v>2024</v>
      </c>
      <c r="D54" s="27">
        <v>5.4805086346153802</v>
      </c>
      <c r="E54" s="27">
        <v>5.4805086346153802</v>
      </c>
      <c r="F54" s="28">
        <v>314.555053101689</v>
      </c>
      <c r="G54" s="85">
        <v>1559</v>
      </c>
      <c r="H54" s="85">
        <v>7</v>
      </c>
    </row>
    <row r="55" spans="1:8" x14ac:dyDescent="0.3">
      <c r="A55" s="29" t="s">
        <v>78</v>
      </c>
      <c r="B55" s="30" t="s">
        <v>12</v>
      </c>
      <c r="C55" s="84">
        <v>2025</v>
      </c>
      <c r="D55" s="27">
        <v>1.8713931923076901</v>
      </c>
      <c r="E55" s="27">
        <v>1.8713931923076901</v>
      </c>
      <c r="F55" s="28">
        <v>297.66581065083898</v>
      </c>
      <c r="G55" s="85">
        <v>12127</v>
      </c>
      <c r="H55" s="85">
        <v>7</v>
      </c>
    </row>
    <row r="56" spans="1:8" x14ac:dyDescent="0.3">
      <c r="A56" s="29" t="s">
        <v>79</v>
      </c>
      <c r="B56" s="30" t="s">
        <v>13</v>
      </c>
      <c r="C56" s="84">
        <v>2021</v>
      </c>
      <c r="D56" s="27">
        <v>20.564</v>
      </c>
      <c r="E56" s="27">
        <v>20.564</v>
      </c>
      <c r="F56" s="28">
        <v>707.06500000000005</v>
      </c>
      <c r="G56" s="85">
        <v>0</v>
      </c>
      <c r="H56" s="85">
        <v>0</v>
      </c>
    </row>
    <row r="57" spans="1:8" x14ac:dyDescent="0.3">
      <c r="A57" s="29" t="s">
        <v>80</v>
      </c>
      <c r="B57" s="30" t="s">
        <v>13</v>
      </c>
      <c r="C57" s="84">
        <v>2022</v>
      </c>
      <c r="D57" s="27">
        <v>14.353</v>
      </c>
      <c r="E57" s="27">
        <v>14.353</v>
      </c>
      <c r="F57" s="28">
        <v>713.04899999999998</v>
      </c>
      <c r="G57" s="85">
        <v>0</v>
      </c>
      <c r="H57" s="85">
        <v>0</v>
      </c>
    </row>
    <row r="58" spans="1:8" x14ac:dyDescent="0.3">
      <c r="A58" s="29" t="s">
        <v>81</v>
      </c>
      <c r="B58" s="30" t="s">
        <v>13</v>
      </c>
      <c r="C58" s="84">
        <v>2023</v>
      </c>
      <c r="D58" s="27">
        <v>10.646000000000001</v>
      </c>
      <c r="E58" s="27">
        <v>10.646000000000001</v>
      </c>
      <c r="F58" s="28">
        <v>603.85599999999999</v>
      </c>
      <c r="G58" s="85">
        <v>8824</v>
      </c>
      <c r="H58" s="85">
        <v>21</v>
      </c>
    </row>
    <row r="59" spans="1:8" x14ac:dyDescent="0.3">
      <c r="A59" s="29" t="s">
        <v>82</v>
      </c>
      <c r="B59" s="30" t="s">
        <v>13</v>
      </c>
      <c r="C59" s="84">
        <v>2024</v>
      </c>
      <c r="D59" s="27">
        <v>9.5280000000000005</v>
      </c>
      <c r="E59" s="27">
        <v>9.5280000000000005</v>
      </c>
      <c r="F59" s="28">
        <v>488.68900000000002</v>
      </c>
      <c r="G59" s="85">
        <v>8824</v>
      </c>
      <c r="H59" s="85">
        <v>21</v>
      </c>
    </row>
    <row r="60" spans="1:8" x14ac:dyDescent="0.3">
      <c r="A60" s="29" t="s">
        <v>83</v>
      </c>
      <c r="B60" s="30" t="s">
        <v>13</v>
      </c>
      <c r="C60" s="84">
        <v>2025</v>
      </c>
      <c r="D60" s="27">
        <v>5.7439999999999998</v>
      </c>
      <c r="E60" s="27">
        <v>5.7439999999999998</v>
      </c>
      <c r="F60" s="28">
        <v>381.36700000000002</v>
      </c>
      <c r="G60" s="85">
        <v>8824</v>
      </c>
      <c r="H60" s="85">
        <v>21</v>
      </c>
    </row>
    <row r="61" spans="1:8" x14ac:dyDescent="0.3">
      <c r="A61" s="29" t="s">
        <v>144</v>
      </c>
      <c r="B61" s="30" t="s">
        <v>84</v>
      </c>
      <c r="C61" s="84">
        <v>2021</v>
      </c>
      <c r="D61" s="27">
        <v>3.0459999999999998</v>
      </c>
      <c r="E61" s="27">
        <v>3.0459999999999998</v>
      </c>
      <c r="F61" s="28">
        <v>560.93585269017797</v>
      </c>
      <c r="G61" s="85">
        <v>0</v>
      </c>
      <c r="H61" s="85">
        <v>0</v>
      </c>
    </row>
    <row r="62" spans="1:8" x14ac:dyDescent="0.3">
      <c r="A62" s="29" t="s">
        <v>145</v>
      </c>
      <c r="B62" s="30" t="s">
        <v>84</v>
      </c>
      <c r="C62" s="84">
        <v>2022</v>
      </c>
      <c r="D62" s="27">
        <v>3.0459999999999998</v>
      </c>
      <c r="E62" s="27">
        <v>3.0459999999999998</v>
      </c>
      <c r="F62" s="28">
        <v>614.47872550832301</v>
      </c>
      <c r="G62" s="85">
        <v>0</v>
      </c>
      <c r="H62" s="85">
        <v>0</v>
      </c>
    </row>
    <row r="63" spans="1:8" x14ac:dyDescent="0.3">
      <c r="A63" s="29" t="s">
        <v>146</v>
      </c>
      <c r="B63" s="30" t="s">
        <v>84</v>
      </c>
      <c r="C63" s="84">
        <v>2023</v>
      </c>
      <c r="D63" s="27">
        <v>9.1389999999999993</v>
      </c>
      <c r="E63" s="27">
        <v>9.1389999999999993</v>
      </c>
      <c r="F63" s="28">
        <v>621.22299129652799</v>
      </c>
      <c r="G63" s="85">
        <v>571.18399999999997</v>
      </c>
      <c r="H63" s="85">
        <v>8</v>
      </c>
    </row>
    <row r="64" spans="1:8" x14ac:dyDescent="0.3">
      <c r="A64" s="29" t="s">
        <v>147</v>
      </c>
      <c r="B64" s="30" t="s">
        <v>84</v>
      </c>
      <c r="C64" s="84">
        <v>2024</v>
      </c>
      <c r="D64" s="27">
        <v>9.1389999999999993</v>
      </c>
      <c r="E64" s="27">
        <v>9.1389999999999993</v>
      </c>
      <c r="F64" s="28">
        <v>610.59658027129899</v>
      </c>
      <c r="G64" s="85">
        <v>662.71199999999999</v>
      </c>
      <c r="H64" s="85">
        <v>9</v>
      </c>
    </row>
    <row r="65" spans="1:8" x14ac:dyDescent="0.3">
      <c r="A65" s="29" t="s">
        <v>148</v>
      </c>
      <c r="B65" s="30" t="s">
        <v>84</v>
      </c>
      <c r="C65" s="84">
        <v>2025</v>
      </c>
      <c r="D65" s="27">
        <v>6.0919999999999996</v>
      </c>
      <c r="E65" s="27">
        <v>6.0919999999999996</v>
      </c>
      <c r="F65" s="28">
        <v>545.43688543661597</v>
      </c>
      <c r="G65" s="85">
        <v>1873.6679999999999</v>
      </c>
      <c r="H65" s="85">
        <v>9</v>
      </c>
    </row>
    <row r="66" spans="1:8" x14ac:dyDescent="0.3">
      <c r="A66" s="29" t="s">
        <v>149</v>
      </c>
      <c r="B66" s="30" t="s">
        <v>85</v>
      </c>
      <c r="C66" s="84">
        <v>2021</v>
      </c>
      <c r="D66" s="27">
        <v>0</v>
      </c>
      <c r="E66" s="27">
        <v>0</v>
      </c>
      <c r="F66" s="28">
        <v>4.3490774731552699</v>
      </c>
      <c r="G66" s="85">
        <v>0</v>
      </c>
      <c r="H66" s="85">
        <v>0</v>
      </c>
    </row>
    <row r="67" spans="1:8" x14ac:dyDescent="0.3">
      <c r="A67" s="29" t="s">
        <v>150</v>
      </c>
      <c r="B67" s="30" t="s">
        <v>85</v>
      </c>
      <c r="C67" s="84">
        <v>2022</v>
      </c>
      <c r="D67" s="27">
        <v>0</v>
      </c>
      <c r="E67" s="27">
        <v>0</v>
      </c>
      <c r="F67" s="28">
        <v>4.8159413760622201</v>
      </c>
      <c r="G67" s="85">
        <v>0</v>
      </c>
      <c r="H67" s="85">
        <v>0</v>
      </c>
    </row>
    <row r="68" spans="1:8" x14ac:dyDescent="0.3">
      <c r="A68" s="29" t="s">
        <v>151</v>
      </c>
      <c r="B68" s="30" t="s">
        <v>85</v>
      </c>
      <c r="C68" s="84">
        <v>2023</v>
      </c>
      <c r="D68" s="27">
        <v>0</v>
      </c>
      <c r="E68" s="27">
        <v>0</v>
      </c>
      <c r="F68" s="28">
        <v>5.0266953078384402</v>
      </c>
      <c r="G68" s="85">
        <v>0</v>
      </c>
      <c r="H68" s="85">
        <v>0</v>
      </c>
    </row>
    <row r="69" spans="1:8" x14ac:dyDescent="0.3">
      <c r="A69" s="29" t="s">
        <v>152</v>
      </c>
      <c r="B69" s="30" t="s">
        <v>85</v>
      </c>
      <c r="C69" s="84">
        <v>2024</v>
      </c>
      <c r="D69" s="27">
        <v>0</v>
      </c>
      <c r="E69" s="27">
        <v>0</v>
      </c>
      <c r="F69" s="28">
        <v>6.13945027329786</v>
      </c>
      <c r="G69" s="85">
        <v>0</v>
      </c>
      <c r="H69" s="85">
        <v>0</v>
      </c>
    </row>
    <row r="70" spans="1:8" x14ac:dyDescent="0.3">
      <c r="A70" s="29" t="s">
        <v>153</v>
      </c>
      <c r="B70" s="30" t="s">
        <v>85</v>
      </c>
      <c r="C70" s="84">
        <v>2025</v>
      </c>
      <c r="D70" s="27">
        <v>0</v>
      </c>
      <c r="E70" s="27">
        <v>0</v>
      </c>
      <c r="F70" s="28">
        <v>4.5652000305771701</v>
      </c>
      <c r="G70" s="85">
        <v>20</v>
      </c>
      <c r="H70" s="85">
        <v>1</v>
      </c>
    </row>
    <row r="71" spans="1:8" x14ac:dyDescent="0.3">
      <c r="D71" s="31"/>
      <c r="E71" s="31"/>
      <c r="G71" s="86"/>
    </row>
    <row r="72" spans="1:8" x14ac:dyDescent="0.3">
      <c r="D72" s="31"/>
      <c r="E72" s="31"/>
    </row>
    <row r="73" spans="1:8" x14ac:dyDescent="0.3">
      <c r="D73" s="32"/>
      <c r="E73" s="32"/>
    </row>
  </sheetData>
  <conditionalFormatting sqref="E73">
    <cfRule type="cellIs" dxfId="7" priority="2" operator="equal">
      <formula>TRUE</formula>
    </cfRule>
  </conditionalFormatting>
  <conditionalFormatting sqref="D73">
    <cfRule type="cellIs" dxfId="6" priority="1" operator="equal">
      <formula>TRUE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32"/>
  <sheetViews>
    <sheetView showGridLines="0" zoomScale="80" zoomScaleNormal="80" workbookViewId="0">
      <selection activeCell="J6" sqref="J6"/>
    </sheetView>
  </sheetViews>
  <sheetFormatPr defaultColWidth="9" defaultRowHeight="13" x14ac:dyDescent="0.3"/>
  <cols>
    <col min="1" max="1" width="3" style="2" customWidth="1"/>
    <col min="2" max="9" width="9" style="2"/>
    <col min="10" max="10" width="10.36328125" style="2" customWidth="1"/>
    <col min="11" max="11" width="10.08984375" style="2" customWidth="1"/>
    <col min="12" max="16384" width="9" style="2"/>
  </cols>
  <sheetData>
    <row r="1" spans="2:11" ht="18.5" x14ac:dyDescent="0.3">
      <c r="B1" s="33" t="s">
        <v>114</v>
      </c>
    </row>
    <row r="4" spans="2:11" x14ac:dyDescent="0.3">
      <c r="B4" s="2" t="str">
        <f>Data!$D4</f>
        <v>realWWS2004CAS</v>
      </c>
    </row>
    <row r="5" spans="2:11" x14ac:dyDescent="0.3">
      <c r="B5" s="34" t="str">
        <f>Data!$D5</f>
        <v>Storage schemes in the network to reduce spill frequency at CSOs, etc - capex (£m)</v>
      </c>
    </row>
    <row r="6" spans="2:11" ht="26" x14ac:dyDescent="0.3">
      <c r="C6" s="35">
        <v>2021</v>
      </c>
      <c r="D6" s="35">
        <v>2022</v>
      </c>
      <c r="E6" s="35">
        <v>2023</v>
      </c>
      <c r="F6" s="35">
        <v>2024</v>
      </c>
      <c r="G6" s="35">
        <v>2025</v>
      </c>
      <c r="H6" s="35" t="s">
        <v>106</v>
      </c>
      <c r="J6" s="75" t="s">
        <v>130</v>
      </c>
      <c r="K6" s="35" t="s">
        <v>115</v>
      </c>
    </row>
    <row r="7" spans="2:11" x14ac:dyDescent="0.3">
      <c r="B7" s="36" t="s">
        <v>3</v>
      </c>
      <c r="C7" s="37">
        <f>INDEX(Data!$A$4:$H$70,MATCH($B7&amp;RIGHT(C$6,2),Data!$A$4:$A$70,0),MATCH($B$4,Data!$A$4:$H$4,0))</f>
        <v>1.6010521667414099</v>
      </c>
      <c r="D7" s="37">
        <f>INDEX(Data!$A$4:$H$70,MATCH($B7&amp;RIGHT(D$6,2),Data!$A$4:$A$70,0),MATCH($B$4,Data!$A$4:$H$4,0))</f>
        <v>5.0383635589497597</v>
      </c>
      <c r="E7" s="37">
        <f>INDEX(Data!$A$4:$H$70,MATCH($B7&amp;RIGHT(E$6,2),Data!$A$4:$A$70,0),MATCH($B$4,Data!$A$4:$H$4,0))</f>
        <v>1.7268545966904101</v>
      </c>
      <c r="F7" s="37">
        <f>INDEX(Data!$A$4:$H$70,MATCH($B7&amp;RIGHT(F$6,2),Data!$A$4:$A$70,0),MATCH($B$4,Data!$A$4:$H$4,0))</f>
        <v>0</v>
      </c>
      <c r="G7" s="37">
        <f>INDEX(Data!$A$4:$H$70,MATCH($B7&amp;RIGHT(G$6,2),Data!$A$4:$A$70,0),MATCH($B$4,Data!$A$4:$H$4,0))</f>
        <v>0</v>
      </c>
      <c r="H7" s="41">
        <f>SUM(C7:G7)</f>
        <v>8.3662703223815793</v>
      </c>
      <c r="J7" s="39">
        <f>SUMIFS(Data!$F$6:$F$70,Data!$B$6:$B$70,$B7,Data!$C$6:$C$70,"&gt;=2021")</f>
        <v>3328.7444331702227</v>
      </c>
      <c r="K7" s="38">
        <f t="shared" ref="K7:K17" si="0">H7/J7</f>
        <v>2.5133411381821607E-3</v>
      </c>
    </row>
    <row r="8" spans="2:11" x14ac:dyDescent="0.3">
      <c r="B8" s="36" t="s">
        <v>85</v>
      </c>
      <c r="C8" s="37">
        <f>INDEX(Data!$A$4:$H$70,MATCH($B8&amp;RIGHT(C$6,2),Data!$A$4:$A$70,0),MATCH($B$4,Data!$A$4:$H$4,0))</f>
        <v>0</v>
      </c>
      <c r="D8" s="37">
        <f>INDEX(Data!$A$4:$H$70,MATCH($B8&amp;RIGHT(D$6,2),Data!$A$4:$A$70,0),MATCH($B$4,Data!$A$4:$H$4,0))</f>
        <v>0</v>
      </c>
      <c r="E8" s="37">
        <f>INDEX(Data!$A$4:$H$70,MATCH($B8&amp;RIGHT(E$6,2),Data!$A$4:$A$70,0),MATCH($B$4,Data!$A$4:$H$4,0))</f>
        <v>0</v>
      </c>
      <c r="F8" s="37">
        <f>INDEX(Data!$A$4:$H$70,MATCH($B8&amp;RIGHT(F$6,2),Data!$A$4:$A$70,0),MATCH($B$4,Data!$A$4:$H$4,0))</f>
        <v>0</v>
      </c>
      <c r="G8" s="37">
        <f>INDEX(Data!$A$4:$H$70,MATCH($B8&amp;RIGHT(G$6,2),Data!$A$4:$A$70,0),MATCH($B$4,Data!$A$4:$H$4,0))</f>
        <v>0</v>
      </c>
      <c r="H8" s="41">
        <f t="shared" ref="H8:H17" si="1">SUM(C8:G8)</f>
        <v>0</v>
      </c>
      <c r="J8" s="39">
        <f>SUMIFS(Data!$F$6:$F$70,Data!$B$6:$B$70,$B8,Data!$C$6:$C$70,"&gt;=2021")</f>
        <v>24.896364460930961</v>
      </c>
      <c r="K8" s="38">
        <f t="shared" si="0"/>
        <v>0</v>
      </c>
    </row>
    <row r="9" spans="2:11" x14ac:dyDescent="0.3">
      <c r="B9" s="36" t="s">
        <v>4</v>
      </c>
      <c r="C9" s="37">
        <f>INDEX(Data!$A$4:$H$70,MATCH($B9&amp;RIGHT(C$6,2),Data!$A$4:$A$70,0),MATCH($B$4,Data!$A$4:$H$4,0))</f>
        <v>4.3410000000000002</v>
      </c>
      <c r="D9" s="37">
        <f>INDEX(Data!$A$4:$H$70,MATCH($B9&amp;RIGHT(D$6,2),Data!$A$4:$A$70,0),MATCH($B$4,Data!$A$4:$H$4,0))</f>
        <v>4.3419999999999996</v>
      </c>
      <c r="E9" s="37">
        <f>INDEX(Data!$A$4:$H$70,MATCH($B9&amp;RIGHT(E$6,2),Data!$A$4:$A$70,0),MATCH($B$4,Data!$A$4:$H$4,0))</f>
        <v>1.3009999999999999</v>
      </c>
      <c r="F9" s="37">
        <f>INDEX(Data!$A$4:$H$70,MATCH($B9&amp;RIGHT(F$6,2),Data!$A$4:$A$70,0),MATCH($B$4,Data!$A$4:$H$4,0))</f>
        <v>1.3009999999999999</v>
      </c>
      <c r="G9" s="37">
        <f>INDEX(Data!$A$4:$H$70,MATCH($B9&amp;RIGHT(G$6,2),Data!$A$4:$A$70,0),MATCH($B$4,Data!$A$4:$H$4,0))</f>
        <v>1.3009999999999999</v>
      </c>
      <c r="H9" s="41">
        <f t="shared" si="1"/>
        <v>12.586</v>
      </c>
      <c r="J9" s="39">
        <f>SUMIFS(Data!$F$6:$F$70,Data!$B$6:$B$70,$B9,Data!$C$6:$C$70,"&gt;=2021")</f>
        <v>1243.377</v>
      </c>
      <c r="K9" s="38">
        <f t="shared" si="0"/>
        <v>1.0122432697403925E-2</v>
      </c>
    </row>
    <row r="10" spans="2:11" x14ac:dyDescent="0.3">
      <c r="B10" s="36" t="s">
        <v>5</v>
      </c>
      <c r="C10" s="37">
        <f>INDEX(Data!$A$4:$H$70,MATCH($B10&amp;RIGHT(C$6,2),Data!$A$4:$A$70,0),MATCH($B$4,Data!$A$4:$H$4,0))</f>
        <v>0.36173679304177098</v>
      </c>
      <c r="D10" s="37">
        <f>INDEX(Data!$A$4:$H$70,MATCH($B10&amp;RIGHT(D$6,2),Data!$A$4:$A$70,0),MATCH($B$4,Data!$A$4:$H$4,0))</f>
        <v>1.8569298299308801</v>
      </c>
      <c r="E10" s="37">
        <f>INDEX(Data!$A$4:$H$70,MATCH($B10&amp;RIGHT(E$6,2),Data!$A$4:$A$70,0),MATCH($B$4,Data!$A$4:$H$4,0))</f>
        <v>3.66298818288554</v>
      </c>
      <c r="F10" s="37">
        <f>INDEX(Data!$A$4:$H$70,MATCH($B10&amp;RIGHT(F$6,2),Data!$A$4:$A$70,0),MATCH($B$4,Data!$A$4:$H$4,0))</f>
        <v>21.4210995900097</v>
      </c>
      <c r="G10" s="37">
        <f>INDEX(Data!$A$4:$H$70,MATCH($B10&amp;RIGHT(G$6,2),Data!$A$4:$A$70,0),MATCH($B$4,Data!$A$4:$H$4,0))</f>
        <v>38.6310385378981</v>
      </c>
      <c r="H10" s="41">
        <f t="shared" si="1"/>
        <v>65.933792933765986</v>
      </c>
      <c r="J10" s="39">
        <f>SUMIFS(Data!$F$6:$F$70,Data!$B$6:$B$70,$B10,Data!$C$6:$C$70,"&gt;=2021")</f>
        <v>3013.0588535929037</v>
      </c>
      <c r="K10" s="38">
        <f t="shared" si="0"/>
        <v>2.1882676753938488E-2</v>
      </c>
    </row>
    <row r="11" spans="2:11" x14ac:dyDescent="0.3">
      <c r="B11" s="36" t="s">
        <v>6</v>
      </c>
      <c r="C11" s="37">
        <f>INDEX(Data!$A$4:$H$70,MATCH($B11&amp;RIGHT(C$6,2),Data!$A$4:$A$70,0),MATCH($B$4,Data!$A$4:$H$4,0))</f>
        <v>0</v>
      </c>
      <c r="D11" s="37">
        <f>INDEX(Data!$A$4:$H$70,MATCH($B11&amp;RIGHT(D$6,2),Data!$A$4:$A$70,0),MATCH($B$4,Data!$A$4:$H$4,0))</f>
        <v>0.22</v>
      </c>
      <c r="E11" s="37">
        <f>INDEX(Data!$A$4:$H$70,MATCH($B11&amp;RIGHT(E$6,2),Data!$A$4:$A$70,0),MATCH($B$4,Data!$A$4:$H$4,0))</f>
        <v>0.22</v>
      </c>
      <c r="F11" s="37">
        <f>INDEX(Data!$A$4:$H$70,MATCH($B11&amp;RIGHT(F$6,2),Data!$A$4:$A$70,0),MATCH($B$4,Data!$A$4:$H$4,0))</f>
        <v>0</v>
      </c>
      <c r="G11" s="37">
        <f>INDEX(Data!$A$4:$H$70,MATCH($B11&amp;RIGHT(G$6,2),Data!$A$4:$A$70,0),MATCH($B$4,Data!$A$4:$H$4,0))</f>
        <v>0</v>
      </c>
      <c r="H11" s="41">
        <f t="shared" si="1"/>
        <v>0.44</v>
      </c>
      <c r="J11" s="39">
        <f>SUMIFS(Data!$F$6:$F$70,Data!$B$6:$B$70,$B11,Data!$C$6:$C$70,"&gt;=2021")</f>
        <v>2609.462</v>
      </c>
      <c r="K11" s="38">
        <f t="shared" si="0"/>
        <v>1.686171325736876E-4</v>
      </c>
    </row>
    <row r="12" spans="2:11" x14ac:dyDescent="0.3">
      <c r="B12" s="36" t="s">
        <v>84</v>
      </c>
      <c r="C12" s="37">
        <f>INDEX(Data!$A$4:$H$70,MATCH($B12&amp;RIGHT(C$6,2),Data!$A$4:$A$70,0),MATCH($B$4,Data!$A$4:$H$4,0))</f>
        <v>3.0459999999999998</v>
      </c>
      <c r="D12" s="37">
        <f>INDEX(Data!$A$4:$H$70,MATCH($B12&amp;RIGHT(D$6,2),Data!$A$4:$A$70,0),MATCH($B$4,Data!$A$4:$H$4,0))</f>
        <v>3.0459999999999998</v>
      </c>
      <c r="E12" s="37">
        <f>INDEX(Data!$A$4:$H$70,MATCH($B12&amp;RIGHT(E$6,2),Data!$A$4:$A$70,0),MATCH($B$4,Data!$A$4:$H$4,0))</f>
        <v>9.1389999999999993</v>
      </c>
      <c r="F12" s="37">
        <f>INDEX(Data!$A$4:$H$70,MATCH($B12&amp;RIGHT(F$6,2),Data!$A$4:$A$70,0),MATCH($B$4,Data!$A$4:$H$4,0))</f>
        <v>9.1389999999999993</v>
      </c>
      <c r="G12" s="37">
        <f>INDEX(Data!$A$4:$H$70,MATCH($B12&amp;RIGHT(G$6,2),Data!$A$4:$A$70,0),MATCH($B$4,Data!$A$4:$H$4,0))</f>
        <v>6.0919999999999996</v>
      </c>
      <c r="H12" s="41">
        <f t="shared" si="1"/>
        <v>30.461999999999996</v>
      </c>
      <c r="J12" s="39">
        <f>SUMIFS(Data!$F$6:$F$70,Data!$B$6:$B$70,$B12,Data!$C$6:$C$70,"&gt;=2021")</f>
        <v>2952.671035202944</v>
      </c>
      <c r="K12" s="38">
        <f t="shared" si="0"/>
        <v>1.03167605320131E-2</v>
      </c>
    </row>
    <row r="13" spans="2:11" x14ac:dyDescent="0.3">
      <c r="B13" s="36" t="s">
        <v>9</v>
      </c>
      <c r="C13" s="37">
        <f>INDEX(Data!$A$4:$H$70,MATCH($B13&amp;RIGHT(C$6,2),Data!$A$4:$A$70,0),MATCH($B$4,Data!$A$4:$H$4,0))</f>
        <v>10.484</v>
      </c>
      <c r="D13" s="37">
        <f>INDEX(Data!$A$4:$H$70,MATCH($B13&amp;RIGHT(D$6,2),Data!$A$4:$A$70,0),MATCH($B$4,Data!$A$4:$H$4,0))</f>
        <v>10.422000000000001</v>
      </c>
      <c r="E13" s="37">
        <f>INDEX(Data!$A$4:$H$70,MATCH($B13&amp;RIGHT(E$6,2),Data!$A$4:$A$70,0),MATCH($B$4,Data!$A$4:$H$4,0))</f>
        <v>2.1480000000000001</v>
      </c>
      <c r="F13" s="37">
        <f>INDEX(Data!$A$4:$H$70,MATCH($B13&amp;RIGHT(F$6,2),Data!$A$4:$A$70,0),MATCH($B$4,Data!$A$4:$H$4,0))</f>
        <v>6.9530000000000003</v>
      </c>
      <c r="G13" s="37">
        <f>INDEX(Data!$A$4:$H$70,MATCH($B13&amp;RIGHT(G$6,2),Data!$A$4:$A$70,0),MATCH($B$4,Data!$A$4:$H$4,0))</f>
        <v>6.6020000000000003</v>
      </c>
      <c r="H13" s="41">
        <f t="shared" si="1"/>
        <v>36.608999999999995</v>
      </c>
      <c r="J13" s="39">
        <f>SUMIFS(Data!$F$6:$F$70,Data!$B$6:$B$70,$B13,Data!$C$6:$C$70,"&gt;=2021")</f>
        <v>951.08800000000008</v>
      </c>
      <c r="K13" s="38">
        <f t="shared" si="0"/>
        <v>3.8491706340527891E-2</v>
      </c>
    </row>
    <row r="14" spans="2:11" x14ac:dyDescent="0.3">
      <c r="B14" s="36" t="s">
        <v>10</v>
      </c>
      <c r="C14" s="37">
        <f>INDEX(Data!$A$4:$H$70,MATCH($B14&amp;RIGHT(C$6,2),Data!$A$4:$A$70,0),MATCH($B$4,Data!$A$4:$H$4,0))</f>
        <v>0</v>
      </c>
      <c r="D14" s="37">
        <f>INDEX(Data!$A$4:$H$70,MATCH($B14&amp;RIGHT(D$6,2),Data!$A$4:$A$70,0),MATCH($B$4,Data!$A$4:$H$4,0))</f>
        <v>0</v>
      </c>
      <c r="E14" s="37">
        <f>INDEX(Data!$A$4:$H$70,MATCH($B14&amp;RIGHT(E$6,2),Data!$A$4:$A$70,0),MATCH($B$4,Data!$A$4:$H$4,0))</f>
        <v>0</v>
      </c>
      <c r="F14" s="37">
        <f>INDEX(Data!$A$4:$H$70,MATCH($B14&amp;RIGHT(F$6,2),Data!$A$4:$A$70,0),MATCH($B$4,Data!$A$4:$H$4,0))</f>
        <v>0</v>
      </c>
      <c r="G14" s="37">
        <f>INDEX(Data!$A$4:$H$70,MATCH($B14&amp;RIGHT(G$6,2),Data!$A$4:$A$70,0),MATCH($B$4,Data!$A$4:$H$4,0))</f>
        <v>0</v>
      </c>
      <c r="H14" s="41">
        <f t="shared" si="1"/>
        <v>0</v>
      </c>
      <c r="J14" s="39">
        <f>SUMIFS(Data!$F$6:$F$70,Data!$B$6:$B$70,$B14,Data!$C$6:$C$70,"&gt;=2021")</f>
        <v>4997.1676900586726</v>
      </c>
      <c r="K14" s="38">
        <f t="shared" si="0"/>
        <v>0</v>
      </c>
    </row>
    <row r="15" spans="2:11" x14ac:dyDescent="0.3">
      <c r="B15" s="36" t="s">
        <v>11</v>
      </c>
      <c r="C15" s="37">
        <f>INDEX(Data!$A$4:$H$70,MATCH($B15&amp;RIGHT(C$6,2),Data!$A$4:$A$70,0),MATCH($B$4,Data!$A$4:$H$4,0))</f>
        <v>9.8369999999999997</v>
      </c>
      <c r="D15" s="37">
        <f>INDEX(Data!$A$4:$H$70,MATCH($B15&amp;RIGHT(D$6,2),Data!$A$4:$A$70,0),MATCH($B$4,Data!$A$4:$H$4,0))</f>
        <v>9.7210000000000001</v>
      </c>
      <c r="E15" s="37">
        <f>INDEX(Data!$A$4:$H$70,MATCH($B15&amp;RIGHT(E$6,2),Data!$A$4:$A$70,0),MATCH($B$4,Data!$A$4:$H$4,0))</f>
        <v>9.6069999999999993</v>
      </c>
      <c r="F15" s="37">
        <f>INDEX(Data!$A$4:$H$70,MATCH($B15&amp;RIGHT(F$6,2),Data!$A$4:$A$70,0),MATCH($B$4,Data!$A$4:$H$4,0))</f>
        <v>9.4819999999999993</v>
      </c>
      <c r="G15" s="37">
        <f>INDEX(Data!$A$4:$H$70,MATCH($B15&amp;RIGHT(G$6,2),Data!$A$4:$A$70,0),MATCH($B$4,Data!$A$4:$H$4,0))</f>
        <v>9.3729999999999993</v>
      </c>
      <c r="H15" s="41">
        <f t="shared" si="1"/>
        <v>48.019999999999996</v>
      </c>
      <c r="J15" s="39">
        <f>SUMIFS(Data!$F$6:$F$70,Data!$B$6:$B$70,$B15,Data!$C$6:$C$70,"&gt;=2021")</f>
        <v>1529.0949999999998</v>
      </c>
      <c r="K15" s="38">
        <f t="shared" si="0"/>
        <v>3.1404196599949648E-2</v>
      </c>
    </row>
    <row r="16" spans="2:11" x14ac:dyDescent="0.3">
      <c r="B16" s="36" t="s">
        <v>12</v>
      </c>
      <c r="C16" s="37">
        <f>INDEX(Data!$A$4:$H$70,MATCH($B16&amp;RIGHT(C$6,2),Data!$A$4:$A$70,0),MATCH($B$4,Data!$A$4:$H$4,0))</f>
        <v>6.1083534807692299</v>
      </c>
      <c r="D16" s="37">
        <f>INDEX(Data!$A$4:$H$70,MATCH($B16&amp;RIGHT(D$6,2),Data!$A$4:$A$70,0),MATCH($B$4,Data!$A$4:$H$4,0))</f>
        <v>5.20062421153846</v>
      </c>
      <c r="E16" s="37">
        <f>INDEX(Data!$A$4:$H$70,MATCH($B16&amp;RIGHT(E$6,2),Data!$A$4:$A$70,0),MATCH($B$4,Data!$A$4:$H$4,0))</f>
        <v>4.5688941346153804</v>
      </c>
      <c r="F16" s="37">
        <f>INDEX(Data!$A$4:$H$70,MATCH($B16&amp;RIGHT(F$6,2),Data!$A$4:$A$70,0),MATCH($B$4,Data!$A$4:$H$4,0))</f>
        <v>5.4805086346153802</v>
      </c>
      <c r="G16" s="37">
        <f>INDEX(Data!$A$4:$H$70,MATCH($B16&amp;RIGHT(G$6,2),Data!$A$4:$A$70,0),MATCH($B$4,Data!$A$4:$H$4,0))</f>
        <v>1.8713931923076901</v>
      </c>
      <c r="H16" s="41">
        <f t="shared" si="1"/>
        <v>23.229773653846138</v>
      </c>
      <c r="J16" s="39">
        <f>SUMIFS(Data!$F$6:$F$70,Data!$B$6:$B$70,$B16,Data!$C$6:$C$70,"&gt;=2021")</f>
        <v>1573.2079316710249</v>
      </c>
      <c r="K16" s="38">
        <f t="shared" si="0"/>
        <v>1.4765863549373294E-2</v>
      </c>
    </row>
    <row r="17" spans="2:11" x14ac:dyDescent="0.3">
      <c r="B17" s="36" t="s">
        <v>13</v>
      </c>
      <c r="C17" s="37">
        <f>INDEX(Data!$A$4:$H$70,MATCH($B17&amp;RIGHT(C$6,2),Data!$A$4:$A$70,0),MATCH($B$4,Data!$A$4:$H$4,0))</f>
        <v>20.564</v>
      </c>
      <c r="D17" s="37">
        <f>INDEX(Data!$A$4:$H$70,MATCH($B17&amp;RIGHT(D$6,2),Data!$A$4:$A$70,0),MATCH($B$4,Data!$A$4:$H$4,0))</f>
        <v>14.353</v>
      </c>
      <c r="E17" s="37">
        <f>INDEX(Data!$A$4:$H$70,MATCH($B17&amp;RIGHT(E$6,2),Data!$A$4:$A$70,0),MATCH($B$4,Data!$A$4:$H$4,0))</f>
        <v>10.646000000000001</v>
      </c>
      <c r="F17" s="37">
        <f>INDEX(Data!$A$4:$H$70,MATCH($B17&amp;RIGHT(F$6,2),Data!$A$4:$A$70,0),MATCH($B$4,Data!$A$4:$H$4,0))</f>
        <v>9.5280000000000005</v>
      </c>
      <c r="G17" s="37">
        <f>INDEX(Data!$A$4:$H$70,MATCH($B17&amp;RIGHT(G$6,2),Data!$A$4:$A$70,0),MATCH($B$4,Data!$A$4:$H$4,0))</f>
        <v>5.7439999999999998</v>
      </c>
      <c r="H17" s="41">
        <f t="shared" si="1"/>
        <v>60.835000000000001</v>
      </c>
      <c r="J17" s="39">
        <f>SUMIFS(Data!$F$6:$F$70,Data!$B$6:$B$70,$B17,Data!$C$6:$C$70,"&gt;=2021")</f>
        <v>2894.0260000000003</v>
      </c>
      <c r="K17" s="38">
        <f t="shared" si="0"/>
        <v>2.102088923872833E-2</v>
      </c>
    </row>
    <row r="19" spans="2:11" x14ac:dyDescent="0.3">
      <c r="B19" s="2" t="str">
        <f>Data!G4</f>
        <v>WWS4001</v>
      </c>
    </row>
    <row r="20" spans="2:11" x14ac:dyDescent="0.3">
      <c r="B20" s="34" t="str">
        <f>Data!G5</f>
        <v>Volume of storage provided at CSOs, storm tanks, etc to meet spill frequency objectives (m3)</v>
      </c>
    </row>
    <row r="21" spans="2:11" x14ac:dyDescent="0.3">
      <c r="C21" s="35">
        <v>2021</v>
      </c>
      <c r="D21" s="35">
        <v>2022</v>
      </c>
      <c r="E21" s="35">
        <v>2023</v>
      </c>
      <c r="F21" s="35">
        <v>2024</v>
      </c>
      <c r="G21" s="35">
        <v>2025</v>
      </c>
      <c r="H21" s="35" t="s">
        <v>106</v>
      </c>
    </row>
    <row r="22" spans="2:11" x14ac:dyDescent="0.3">
      <c r="B22" s="36" t="s">
        <v>3</v>
      </c>
      <c r="C22" s="39">
        <f>INDEX(Data!$A$4:$H$70,MATCH($B22&amp;RIGHT(C$21,2),Data!$A$4:$A$70,0),MATCH($B$19,Data!$A$4:$H$4,0))</f>
        <v>1966</v>
      </c>
      <c r="D22" s="39">
        <f>INDEX(Data!$A$4:$H$70,MATCH($B22&amp;RIGHT(D$21,2),Data!$A$4:$A$70,0),MATCH($B$19,Data!$A$4:$H$4,0))</f>
        <v>1249</v>
      </c>
      <c r="E22" s="39">
        <f>INDEX(Data!$A$4:$H$70,MATCH($B22&amp;RIGHT(E$21,2),Data!$A$4:$A$70,0),MATCH($B$19,Data!$A$4:$H$4,0))</f>
        <v>2323</v>
      </c>
      <c r="F22" s="39">
        <f>INDEX(Data!$A$4:$H$70,MATCH($B22&amp;RIGHT(F$21,2),Data!$A$4:$A$70,0),MATCH($B$19,Data!$A$4:$H$4,0))</f>
        <v>4971</v>
      </c>
      <c r="G22" s="39">
        <f>INDEX(Data!$A$4:$H$70,MATCH($B22&amp;RIGHT(G$21,2),Data!$A$4:$A$70,0),MATCH($B$19,Data!$A$4:$H$4,0))</f>
        <v>37211</v>
      </c>
      <c r="H22" s="40">
        <f>SUM(C22:G22)</f>
        <v>47720</v>
      </c>
    </row>
    <row r="23" spans="2:11" x14ac:dyDescent="0.3">
      <c r="B23" s="36" t="s">
        <v>85</v>
      </c>
      <c r="C23" s="39">
        <f>INDEX(Data!$A$4:$H$70,MATCH($B23&amp;RIGHT(C$21,2),Data!$A$4:$A$70,0),MATCH($B$19,Data!$A$4:$H$4,0))</f>
        <v>0</v>
      </c>
      <c r="D23" s="39">
        <f>INDEX(Data!$A$4:$H$70,MATCH($B23&amp;RIGHT(D$21,2),Data!$A$4:$A$70,0),MATCH($B$19,Data!$A$4:$H$4,0))</f>
        <v>0</v>
      </c>
      <c r="E23" s="39">
        <f>INDEX(Data!$A$4:$H$70,MATCH($B23&amp;RIGHT(E$21,2),Data!$A$4:$A$70,0),MATCH($B$19,Data!$A$4:$H$4,0))</f>
        <v>0</v>
      </c>
      <c r="F23" s="39">
        <f>INDEX(Data!$A$4:$H$70,MATCH($B23&amp;RIGHT(F$21,2),Data!$A$4:$A$70,0),MATCH($B$19,Data!$A$4:$H$4,0))</f>
        <v>0</v>
      </c>
      <c r="G23" s="39">
        <f>INDEX(Data!$A$4:$H$70,MATCH($B23&amp;RIGHT(G$21,2),Data!$A$4:$A$70,0),MATCH($B$19,Data!$A$4:$H$4,0))</f>
        <v>20</v>
      </c>
      <c r="H23" s="40">
        <f t="shared" ref="H23:H32" si="2">SUM(C23:G23)</f>
        <v>20</v>
      </c>
    </row>
    <row r="24" spans="2:11" x14ac:dyDescent="0.3">
      <c r="B24" s="36" t="s">
        <v>4</v>
      </c>
      <c r="C24" s="39">
        <f>INDEX(Data!$A$4:$H$70,MATCH($B24&amp;RIGHT(C$21,2),Data!$A$4:$A$70,0),MATCH($B$19,Data!$A$4:$H$4,0))</f>
        <v>0</v>
      </c>
      <c r="D24" s="39">
        <f>INDEX(Data!$A$4:$H$70,MATCH($B24&amp;RIGHT(D$21,2),Data!$A$4:$A$70,0),MATCH($B$19,Data!$A$4:$H$4,0))</f>
        <v>0</v>
      </c>
      <c r="E24" s="39">
        <f>INDEX(Data!$A$4:$H$70,MATCH($B24&amp;RIGHT(E$21,2),Data!$A$4:$A$70,0),MATCH($B$19,Data!$A$4:$H$4,0))</f>
        <v>15</v>
      </c>
      <c r="F24" s="39">
        <f>INDEX(Data!$A$4:$H$70,MATCH($B24&amp;RIGHT(F$21,2),Data!$A$4:$A$70,0),MATCH($B$19,Data!$A$4:$H$4,0))</f>
        <v>59</v>
      </c>
      <c r="G24" s="39">
        <f>INDEX(Data!$A$4:$H$70,MATCH($B24&amp;RIGHT(G$21,2),Data!$A$4:$A$70,0),MATCH($B$19,Data!$A$4:$H$4,0))</f>
        <v>192</v>
      </c>
      <c r="H24" s="40">
        <f t="shared" si="2"/>
        <v>266</v>
      </c>
    </row>
    <row r="25" spans="2:11" x14ac:dyDescent="0.3">
      <c r="B25" s="36" t="s">
        <v>5</v>
      </c>
      <c r="C25" s="39">
        <f>INDEX(Data!$A$4:$H$70,MATCH($B25&amp;RIGHT(C$21,2),Data!$A$4:$A$70,0),MATCH($B$19,Data!$A$4:$H$4,0))</f>
        <v>0</v>
      </c>
      <c r="D25" s="39">
        <f>INDEX(Data!$A$4:$H$70,MATCH($B25&amp;RIGHT(D$21,2),Data!$A$4:$A$70,0),MATCH($B$19,Data!$A$4:$H$4,0))</f>
        <v>43850</v>
      </c>
      <c r="E25" s="39">
        <f>INDEX(Data!$A$4:$H$70,MATCH($B25&amp;RIGHT(E$21,2),Data!$A$4:$A$70,0),MATCH($B$19,Data!$A$4:$H$4,0))</f>
        <v>14511</v>
      </c>
      <c r="F25" s="39">
        <f>INDEX(Data!$A$4:$H$70,MATCH($B25&amp;RIGHT(F$21,2),Data!$A$4:$A$70,0),MATCH($B$19,Data!$A$4:$H$4,0))</f>
        <v>345</v>
      </c>
      <c r="G25" s="39">
        <f>INDEX(Data!$A$4:$H$70,MATCH($B25&amp;RIGHT(G$21,2),Data!$A$4:$A$70,0),MATCH($B$19,Data!$A$4:$H$4,0))</f>
        <v>45508</v>
      </c>
      <c r="H25" s="40">
        <f t="shared" si="2"/>
        <v>104214</v>
      </c>
    </row>
    <row r="26" spans="2:11" x14ac:dyDescent="0.3">
      <c r="B26" s="36" t="s">
        <v>6</v>
      </c>
      <c r="C26" s="39">
        <f>INDEX(Data!$A$4:$H$70,MATCH($B26&amp;RIGHT(C$21,2),Data!$A$4:$A$70,0),MATCH($B$19,Data!$A$4:$H$4,0))</f>
        <v>10495</v>
      </c>
      <c r="D26" s="39">
        <f>INDEX(Data!$A$4:$H$70,MATCH($B26&amp;RIGHT(D$21,2),Data!$A$4:$A$70,0),MATCH($B$19,Data!$A$4:$H$4,0))</f>
        <v>10495</v>
      </c>
      <c r="E26" s="39">
        <f>INDEX(Data!$A$4:$H$70,MATCH($B26&amp;RIGHT(E$21,2),Data!$A$4:$A$70,0),MATCH($B$19,Data!$A$4:$H$4,0))</f>
        <v>10495</v>
      </c>
      <c r="F26" s="39">
        <f>INDEX(Data!$A$4:$H$70,MATCH($B26&amp;RIGHT(F$21,2),Data!$A$4:$A$70,0),MATCH($B$19,Data!$A$4:$H$4,0))</f>
        <v>10495</v>
      </c>
      <c r="G26" s="39">
        <f>INDEX(Data!$A$4:$H$70,MATCH($B26&amp;RIGHT(G$21,2),Data!$A$4:$A$70,0),MATCH($B$19,Data!$A$4:$H$4,0))</f>
        <v>10495</v>
      </c>
      <c r="H26" s="40">
        <f t="shared" si="2"/>
        <v>52475</v>
      </c>
    </row>
    <row r="27" spans="2:11" x14ac:dyDescent="0.3">
      <c r="B27" s="36" t="s">
        <v>84</v>
      </c>
      <c r="C27" s="39">
        <f>INDEX(Data!$A$4:$H$70,MATCH($B27&amp;RIGHT(C$21,2),Data!$A$4:$A$70,0),MATCH($B$19,Data!$A$4:$H$4,0))</f>
        <v>0</v>
      </c>
      <c r="D27" s="39">
        <f>INDEX(Data!$A$4:$H$70,MATCH($B27&amp;RIGHT(D$21,2),Data!$A$4:$A$70,0),MATCH($B$19,Data!$A$4:$H$4,0))</f>
        <v>0</v>
      </c>
      <c r="E27" s="39">
        <f>INDEX(Data!$A$4:$H$70,MATCH($B27&amp;RIGHT(E$21,2),Data!$A$4:$A$70,0),MATCH($B$19,Data!$A$4:$H$4,0))</f>
        <v>571.18399999999997</v>
      </c>
      <c r="F27" s="39">
        <f>INDEX(Data!$A$4:$H$70,MATCH($B27&amp;RIGHT(F$21,2),Data!$A$4:$A$70,0),MATCH($B$19,Data!$A$4:$H$4,0))</f>
        <v>662.71199999999999</v>
      </c>
      <c r="G27" s="39">
        <f>INDEX(Data!$A$4:$H$70,MATCH($B27&amp;RIGHT(G$21,2),Data!$A$4:$A$70,0),MATCH($B$19,Data!$A$4:$H$4,0))</f>
        <v>1873.6679999999999</v>
      </c>
      <c r="H27" s="40">
        <f t="shared" si="2"/>
        <v>3107.5639999999999</v>
      </c>
    </row>
    <row r="28" spans="2:11" x14ac:dyDescent="0.3">
      <c r="B28" s="36" t="s">
        <v>9</v>
      </c>
      <c r="C28" s="39">
        <f>INDEX(Data!$A$4:$H$70,MATCH($B28&amp;RIGHT(C$21,2),Data!$A$4:$A$70,0),MATCH($B$19,Data!$A$4:$H$4,0))</f>
        <v>764</v>
      </c>
      <c r="D28" s="39">
        <f>INDEX(Data!$A$4:$H$70,MATCH($B28&amp;RIGHT(D$21,2),Data!$A$4:$A$70,0),MATCH($B$19,Data!$A$4:$H$4,0))</f>
        <v>584</v>
      </c>
      <c r="E28" s="39">
        <f>INDEX(Data!$A$4:$H$70,MATCH($B28&amp;RIGHT(E$21,2),Data!$A$4:$A$70,0),MATCH($B$19,Data!$A$4:$H$4,0))</f>
        <v>783</v>
      </c>
      <c r="F28" s="39">
        <f>INDEX(Data!$A$4:$H$70,MATCH($B28&amp;RIGHT(F$21,2),Data!$A$4:$A$70,0),MATCH($B$19,Data!$A$4:$H$4,0))</f>
        <v>2249</v>
      </c>
      <c r="G28" s="39">
        <f>INDEX(Data!$A$4:$H$70,MATCH($B28&amp;RIGHT(G$21,2),Data!$A$4:$A$70,0),MATCH($B$19,Data!$A$4:$H$4,0))</f>
        <v>849</v>
      </c>
      <c r="H28" s="40">
        <f t="shared" si="2"/>
        <v>5229</v>
      </c>
    </row>
    <row r="29" spans="2:11" x14ac:dyDescent="0.3">
      <c r="B29" s="36" t="s">
        <v>10</v>
      </c>
      <c r="C29" s="39">
        <f>INDEX(Data!$A$4:$H$70,MATCH($B29&amp;RIGHT(C$21,2),Data!$A$4:$A$70,0),MATCH($B$19,Data!$A$4:$H$4,0))</f>
        <v>0</v>
      </c>
      <c r="D29" s="39">
        <f>INDEX(Data!$A$4:$H$70,MATCH($B29&amp;RIGHT(D$21,2),Data!$A$4:$A$70,0),MATCH($B$19,Data!$A$4:$H$4,0))</f>
        <v>0</v>
      </c>
      <c r="E29" s="39">
        <f>INDEX(Data!$A$4:$H$70,MATCH($B29&amp;RIGHT(E$21,2),Data!$A$4:$A$70,0),MATCH($B$19,Data!$A$4:$H$4,0))</f>
        <v>6023.6668794263196</v>
      </c>
      <c r="F29" s="39">
        <f>INDEX(Data!$A$4:$H$70,MATCH($B29&amp;RIGHT(F$21,2),Data!$A$4:$A$70,0),MATCH($B$19,Data!$A$4:$H$4,0))</f>
        <v>1581.5422426346499</v>
      </c>
      <c r="G29" s="39">
        <f>INDEX(Data!$A$4:$H$70,MATCH($B29&amp;RIGHT(G$21,2),Data!$A$4:$A$70,0),MATCH($B$19,Data!$A$4:$H$4,0))</f>
        <v>26626.486518641199</v>
      </c>
      <c r="H29" s="40">
        <f t="shared" si="2"/>
        <v>34231.695640702164</v>
      </c>
    </row>
    <row r="30" spans="2:11" x14ac:dyDescent="0.3">
      <c r="B30" s="36" t="s">
        <v>11</v>
      </c>
      <c r="C30" s="39">
        <f>INDEX(Data!$A$4:$H$70,MATCH($B30&amp;RIGHT(C$21,2),Data!$A$4:$A$70,0),MATCH($B$19,Data!$A$4:$H$4,0))</f>
        <v>0</v>
      </c>
      <c r="D30" s="39">
        <f>INDEX(Data!$A$4:$H$70,MATCH($B30&amp;RIGHT(D$21,2),Data!$A$4:$A$70,0),MATCH($B$19,Data!$A$4:$H$4,0))</f>
        <v>0</v>
      </c>
      <c r="E30" s="39">
        <f>INDEX(Data!$A$4:$H$70,MATCH($B30&amp;RIGHT(E$21,2),Data!$A$4:$A$70,0),MATCH($B$19,Data!$A$4:$H$4,0))</f>
        <v>0</v>
      </c>
      <c r="F30" s="39">
        <f>INDEX(Data!$A$4:$H$70,MATCH($B30&amp;RIGHT(F$21,2),Data!$A$4:$A$70,0),MATCH($B$19,Data!$A$4:$H$4,0))</f>
        <v>0</v>
      </c>
      <c r="G30" s="39">
        <f>INDEX(Data!$A$4:$H$70,MATCH($B30&amp;RIGHT(G$21,2),Data!$A$4:$A$70,0),MATCH($B$19,Data!$A$4:$H$4,0))</f>
        <v>4953</v>
      </c>
      <c r="H30" s="40">
        <f t="shared" si="2"/>
        <v>4953</v>
      </c>
    </row>
    <row r="31" spans="2:11" x14ac:dyDescent="0.3">
      <c r="B31" s="36" t="s">
        <v>12</v>
      </c>
      <c r="C31" s="39">
        <f>INDEX(Data!$A$4:$H$70,MATCH($B31&amp;RIGHT(C$21,2),Data!$A$4:$A$70,0),MATCH($B$19,Data!$A$4:$H$4,0))</f>
        <v>0</v>
      </c>
      <c r="D31" s="39">
        <f>INDEX(Data!$A$4:$H$70,MATCH($B31&amp;RIGHT(D$21,2),Data!$A$4:$A$70,0),MATCH($B$19,Data!$A$4:$H$4,0))</f>
        <v>0</v>
      </c>
      <c r="E31" s="39">
        <f>INDEX(Data!$A$4:$H$70,MATCH($B31&amp;RIGHT(E$21,2),Data!$A$4:$A$70,0),MATCH($B$19,Data!$A$4:$H$4,0))</f>
        <v>309</v>
      </c>
      <c r="F31" s="39">
        <f>INDEX(Data!$A$4:$H$70,MATCH($B31&amp;RIGHT(F$21,2),Data!$A$4:$A$70,0),MATCH($B$19,Data!$A$4:$H$4,0))</f>
        <v>1559</v>
      </c>
      <c r="G31" s="39">
        <f>INDEX(Data!$A$4:$H$70,MATCH($B31&amp;RIGHT(G$21,2),Data!$A$4:$A$70,0),MATCH($B$19,Data!$A$4:$H$4,0))</f>
        <v>12127</v>
      </c>
      <c r="H31" s="40">
        <f t="shared" si="2"/>
        <v>13995</v>
      </c>
    </row>
    <row r="32" spans="2:11" x14ac:dyDescent="0.3">
      <c r="B32" s="36" t="s">
        <v>13</v>
      </c>
      <c r="C32" s="39">
        <f>INDEX(Data!$A$4:$H$70,MATCH($B32&amp;RIGHT(C$21,2),Data!$A$4:$A$70,0),MATCH($B$19,Data!$A$4:$H$4,0))</f>
        <v>0</v>
      </c>
      <c r="D32" s="39">
        <f>INDEX(Data!$A$4:$H$70,MATCH($B32&amp;RIGHT(D$21,2),Data!$A$4:$A$70,0),MATCH($B$19,Data!$A$4:$H$4,0))</f>
        <v>0</v>
      </c>
      <c r="E32" s="39">
        <f>INDEX(Data!$A$4:$H$70,MATCH($B32&amp;RIGHT(E$21,2),Data!$A$4:$A$70,0),MATCH($B$19,Data!$A$4:$H$4,0))</f>
        <v>8824</v>
      </c>
      <c r="F32" s="39">
        <f>INDEX(Data!$A$4:$H$70,MATCH($B32&amp;RIGHT(F$21,2),Data!$A$4:$A$70,0),MATCH($B$19,Data!$A$4:$H$4,0))</f>
        <v>8824</v>
      </c>
      <c r="G32" s="39">
        <f>INDEX(Data!$A$4:$H$70,MATCH($B32&amp;RIGHT(G$21,2),Data!$A$4:$A$70,0),MATCH($B$19,Data!$A$4:$H$4,0))</f>
        <v>8824</v>
      </c>
      <c r="H32" s="40">
        <f t="shared" si="2"/>
        <v>26472</v>
      </c>
    </row>
  </sheetData>
  <conditionalFormatting sqref="B7:B8">
    <cfRule type="cellIs" dxfId="5" priority="8" operator="equal">
      <formula>0</formula>
    </cfRule>
  </conditionalFormatting>
  <conditionalFormatting sqref="B9:B17">
    <cfRule type="cellIs" dxfId="4" priority="7" operator="equal">
      <formula>0</formula>
    </cfRule>
  </conditionalFormatting>
  <conditionalFormatting sqref="B22:B23">
    <cfRule type="cellIs" dxfId="3" priority="2" operator="equal">
      <formula>0</formula>
    </cfRule>
  </conditionalFormatting>
  <conditionalFormatting sqref="B24:B32">
    <cfRule type="cellIs" dxfId="2"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53"/>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defaultColWidth="9" defaultRowHeight="13" x14ac:dyDescent="0.3"/>
  <cols>
    <col min="1" max="1" width="2.81640625" style="47" customWidth="1"/>
    <col min="2" max="2" width="13.08984375" style="47" customWidth="1"/>
    <col min="3" max="3" width="22.6328125" style="47" customWidth="1"/>
    <col min="4" max="4" width="20.26953125" style="47" customWidth="1"/>
    <col min="5" max="5" width="24.36328125" style="47" customWidth="1"/>
    <col min="6" max="6" width="11.7265625" style="70" bestFit="1" customWidth="1"/>
    <col min="7" max="7" width="12.08984375" style="47" bestFit="1" customWidth="1"/>
    <col min="8" max="8" width="10.7265625" style="47" customWidth="1"/>
    <col min="9" max="9" width="17.6328125" style="47" bestFit="1" customWidth="1"/>
    <col min="10" max="10" width="10.7265625" style="47" customWidth="1"/>
    <col min="11" max="11" width="4.6328125" style="47" customWidth="1"/>
    <col min="12" max="12" width="12.08984375" style="47" customWidth="1"/>
    <col min="13" max="17" width="9" style="47"/>
    <col min="18" max="18" width="12.08984375" style="47" customWidth="1"/>
    <col min="19" max="19" width="3.6328125" style="47" customWidth="1"/>
    <col min="20" max="20" width="15" style="47" customWidth="1"/>
    <col min="21" max="16384" width="9" style="47"/>
  </cols>
  <sheetData>
    <row r="1" spans="1:20" ht="15.5" x14ac:dyDescent="0.35">
      <c r="A1" s="69" t="s">
        <v>129</v>
      </c>
    </row>
    <row r="2" spans="1:20" x14ac:dyDescent="0.3">
      <c r="A2" s="46"/>
    </row>
    <row r="3" spans="1:20" x14ac:dyDescent="0.3">
      <c r="A3" s="46"/>
      <c r="B3" s="81" t="s">
        <v>136</v>
      </c>
    </row>
    <row r="4" spans="1:20" x14ac:dyDescent="0.3">
      <c r="A4" s="46"/>
    </row>
    <row r="5" spans="1:20" ht="69.75" customHeight="1" x14ac:dyDescent="0.3">
      <c r="B5" s="88" t="s">
        <v>14</v>
      </c>
      <c r="C5" s="87" t="s">
        <v>134</v>
      </c>
      <c r="D5" s="43" t="s">
        <v>160</v>
      </c>
      <c r="E5" s="44" t="s">
        <v>94</v>
      </c>
      <c r="J5" s="45"/>
      <c r="T5" s="66"/>
    </row>
    <row r="6" spans="1:20" x14ac:dyDescent="0.3">
      <c r="B6" s="48" t="s">
        <v>3</v>
      </c>
      <c r="C6" s="90">
        <f>'Data tables'!H7</f>
        <v>8.3662703223815793</v>
      </c>
      <c r="D6" s="39">
        <v>2522</v>
      </c>
      <c r="E6" s="39">
        <v>7</v>
      </c>
      <c r="F6" s="47"/>
      <c r="T6" s="66"/>
    </row>
    <row r="7" spans="1:20" x14ac:dyDescent="0.3">
      <c r="B7" s="48" t="s">
        <v>85</v>
      </c>
      <c r="C7" s="90">
        <f>'Data tables'!H8</f>
        <v>0</v>
      </c>
      <c r="D7" s="39">
        <v>0</v>
      </c>
      <c r="E7" s="39">
        <v>0</v>
      </c>
      <c r="F7" s="47"/>
      <c r="T7" s="66"/>
    </row>
    <row r="8" spans="1:20" x14ac:dyDescent="0.3">
      <c r="B8" s="48" t="s">
        <v>4</v>
      </c>
      <c r="C8" s="90">
        <f>'Data tables'!H9</f>
        <v>12.586</v>
      </c>
      <c r="D8" s="39">
        <v>10000</v>
      </c>
      <c r="E8" s="39">
        <v>1</v>
      </c>
      <c r="F8" s="47"/>
      <c r="T8" s="66"/>
    </row>
    <row r="9" spans="1:20" x14ac:dyDescent="0.3">
      <c r="B9" s="48" t="s">
        <v>5</v>
      </c>
      <c r="C9" s="90">
        <f>'Data tables'!H10</f>
        <v>65.933792933765986</v>
      </c>
      <c r="D9" s="39">
        <v>43360</v>
      </c>
      <c r="E9" s="39">
        <v>16</v>
      </c>
      <c r="F9" s="47"/>
      <c r="T9" s="66"/>
    </row>
    <row r="10" spans="1:20" x14ac:dyDescent="0.3">
      <c r="B10" s="48" t="s">
        <v>6</v>
      </c>
      <c r="C10" s="90">
        <f>'Data tables'!H11</f>
        <v>0.44</v>
      </c>
      <c r="D10" s="39">
        <v>1740</v>
      </c>
      <c r="E10" s="39">
        <v>4</v>
      </c>
      <c r="F10" s="47"/>
      <c r="T10" s="66"/>
    </row>
    <row r="11" spans="1:20" x14ac:dyDescent="0.3">
      <c r="B11" s="48" t="s">
        <v>84</v>
      </c>
      <c r="C11" s="90">
        <f>'Data tables'!H12</f>
        <v>30.461999999999996</v>
      </c>
      <c r="D11" s="39">
        <v>23234</v>
      </c>
      <c r="E11" s="39">
        <v>44</v>
      </c>
      <c r="F11" s="47"/>
      <c r="T11" s="66"/>
    </row>
    <row r="12" spans="1:20" x14ac:dyDescent="0.3">
      <c r="B12" s="48" t="s">
        <v>9</v>
      </c>
      <c r="C12" s="90">
        <f>'Data tables'!H13</f>
        <v>36.608999999999995</v>
      </c>
      <c r="D12" s="39">
        <v>30889</v>
      </c>
      <c r="E12" s="39">
        <v>20</v>
      </c>
      <c r="F12" s="47"/>
      <c r="T12" s="66"/>
    </row>
    <row r="13" spans="1:20" x14ac:dyDescent="0.3">
      <c r="B13" s="48" t="s">
        <v>10</v>
      </c>
      <c r="C13" s="90">
        <f>'Data tables'!H14</f>
        <v>0</v>
      </c>
      <c r="D13" s="39">
        <v>0</v>
      </c>
      <c r="E13" s="39">
        <v>0</v>
      </c>
      <c r="F13" s="47"/>
      <c r="T13" s="66"/>
    </row>
    <row r="14" spans="1:20" x14ac:dyDescent="0.3">
      <c r="B14" s="48" t="s">
        <v>11</v>
      </c>
      <c r="C14" s="90">
        <f>'Data tables'!H15</f>
        <v>48.019999999999996</v>
      </c>
      <c r="D14" s="39">
        <v>3089</v>
      </c>
      <c r="E14" s="39">
        <v>5</v>
      </c>
      <c r="F14" s="47"/>
      <c r="T14" s="66"/>
    </row>
    <row r="15" spans="1:20" x14ac:dyDescent="0.3">
      <c r="B15" s="48" t="s">
        <v>12</v>
      </c>
      <c r="C15" s="90">
        <f>'Data tables'!H16</f>
        <v>23.229773653846138</v>
      </c>
      <c r="D15" s="39">
        <v>10450</v>
      </c>
      <c r="E15" s="39">
        <v>13</v>
      </c>
      <c r="F15" s="47"/>
      <c r="T15" s="66"/>
    </row>
    <row r="16" spans="1:20" x14ac:dyDescent="0.3">
      <c r="B16" s="48" t="s">
        <v>13</v>
      </c>
      <c r="C16" s="90">
        <f>'Data tables'!H17</f>
        <v>60.835000000000001</v>
      </c>
      <c r="D16" s="39">
        <v>44000</v>
      </c>
      <c r="E16" s="39">
        <v>5</v>
      </c>
      <c r="F16" s="47"/>
      <c r="J16" s="49"/>
      <c r="T16" s="68"/>
    </row>
    <row r="17" spans="2:20" x14ac:dyDescent="0.3">
      <c r="T17" s="68"/>
    </row>
    <row r="18" spans="2:20" x14ac:dyDescent="0.3">
      <c r="B18" s="81" t="s">
        <v>137</v>
      </c>
      <c r="T18" s="68"/>
    </row>
    <row r="19" spans="2:20" x14ac:dyDescent="0.3">
      <c r="T19" s="68"/>
    </row>
    <row r="20" spans="2:20" ht="52" x14ac:dyDescent="0.3">
      <c r="B20" s="65" t="s">
        <v>14</v>
      </c>
      <c r="C20" s="65" t="s">
        <v>131</v>
      </c>
      <c r="D20" s="44" t="s">
        <v>93</v>
      </c>
      <c r="E20" s="65" t="s">
        <v>95</v>
      </c>
      <c r="F20" s="47"/>
      <c r="H20" s="49"/>
      <c r="I20" s="45"/>
      <c r="J20" s="45"/>
      <c r="T20" s="68"/>
    </row>
    <row r="21" spans="2:20" x14ac:dyDescent="0.3">
      <c r="B21" s="48" t="str">
        <f>B6</f>
        <v>ANH</v>
      </c>
      <c r="C21" s="90">
        <f>C6</f>
        <v>8.3662703223815793</v>
      </c>
      <c r="D21" s="39">
        <v>2522</v>
      </c>
      <c r="E21" s="71"/>
      <c r="F21" s="47"/>
      <c r="T21" s="68"/>
    </row>
    <row r="22" spans="2:20" x14ac:dyDescent="0.3">
      <c r="B22" s="48" t="str">
        <f t="shared" ref="B22:B31" si="0">B7</f>
        <v>HDD</v>
      </c>
      <c r="C22" s="90"/>
      <c r="D22" s="39"/>
      <c r="E22" s="71"/>
      <c r="F22" s="47"/>
      <c r="T22" s="68"/>
    </row>
    <row r="23" spans="2:20" x14ac:dyDescent="0.3">
      <c r="B23" s="48" t="str">
        <f t="shared" si="0"/>
        <v>NES</v>
      </c>
      <c r="C23" s="90">
        <f>C8</f>
        <v>12.586</v>
      </c>
      <c r="D23" s="39">
        <v>10000</v>
      </c>
      <c r="E23" s="71"/>
      <c r="F23" s="47"/>
      <c r="T23" s="68"/>
    </row>
    <row r="24" spans="2:20" x14ac:dyDescent="0.3">
      <c r="B24" s="48" t="str">
        <f t="shared" si="0"/>
        <v>NWT</v>
      </c>
      <c r="C24" s="90">
        <f>C9</f>
        <v>65.933792933765986</v>
      </c>
      <c r="D24" s="39">
        <v>43360</v>
      </c>
      <c r="E24" s="65"/>
      <c r="F24" s="47"/>
      <c r="T24" s="68"/>
    </row>
    <row r="25" spans="2:20" ht="26" x14ac:dyDescent="0.3">
      <c r="B25" s="48" t="str">
        <f t="shared" si="0"/>
        <v>SRN</v>
      </c>
      <c r="C25" s="90">
        <f>C10</f>
        <v>0.44</v>
      </c>
      <c r="D25" s="39">
        <v>94</v>
      </c>
      <c r="E25" s="74" t="s">
        <v>125</v>
      </c>
      <c r="F25" s="47"/>
      <c r="T25" s="68"/>
    </row>
    <row r="26" spans="2:20" x14ac:dyDescent="0.3">
      <c r="B26" s="48" t="str">
        <f t="shared" si="0"/>
        <v>SVE</v>
      </c>
      <c r="C26" s="90">
        <f>C11</f>
        <v>30.461999999999996</v>
      </c>
      <c r="D26" s="39">
        <v>23234</v>
      </c>
      <c r="E26" s="65"/>
      <c r="F26" s="47"/>
      <c r="T26" s="68"/>
    </row>
    <row r="27" spans="2:20" x14ac:dyDescent="0.3">
      <c r="B27" s="48" t="str">
        <f t="shared" si="0"/>
        <v>SWB</v>
      </c>
      <c r="C27" s="90">
        <f>C12+Allowance!G19</f>
        <v>38.621999999999993</v>
      </c>
      <c r="D27" s="39">
        <v>30889</v>
      </c>
      <c r="E27" s="74" t="s">
        <v>126</v>
      </c>
      <c r="F27" s="47"/>
      <c r="T27" s="68"/>
    </row>
    <row r="28" spans="2:20" x14ac:dyDescent="0.3">
      <c r="B28" s="48" t="str">
        <f t="shared" si="0"/>
        <v>TMS</v>
      </c>
      <c r="C28" s="90"/>
      <c r="D28" s="39"/>
      <c r="E28" s="65"/>
      <c r="F28" s="47"/>
      <c r="T28" s="68"/>
    </row>
    <row r="29" spans="2:20" ht="39" x14ac:dyDescent="0.3">
      <c r="B29" s="48" t="str">
        <f t="shared" si="0"/>
        <v>WSH</v>
      </c>
      <c r="C29" s="90">
        <v>13.5</v>
      </c>
      <c r="D29" s="39">
        <v>3089</v>
      </c>
      <c r="E29" s="74" t="s">
        <v>143</v>
      </c>
      <c r="F29" s="47"/>
      <c r="T29" s="68"/>
    </row>
    <row r="30" spans="2:20" x14ac:dyDescent="0.3">
      <c r="B30" s="48" t="str">
        <f t="shared" si="0"/>
        <v>WSX</v>
      </c>
      <c r="C30" s="90">
        <f>C15</f>
        <v>23.229773653846138</v>
      </c>
      <c r="D30" s="39">
        <v>10450</v>
      </c>
      <c r="E30" s="65"/>
      <c r="F30" s="47"/>
    </row>
    <row r="31" spans="2:20" x14ac:dyDescent="0.3">
      <c r="B31" s="48" t="str">
        <f t="shared" si="0"/>
        <v>YKY</v>
      </c>
      <c r="C31" s="90">
        <f>C16</f>
        <v>60.835000000000001</v>
      </c>
      <c r="D31" s="39">
        <v>44000</v>
      </c>
      <c r="E31" s="65"/>
      <c r="F31" s="47"/>
    </row>
    <row r="32" spans="2:20" x14ac:dyDescent="0.3">
      <c r="C32" s="67"/>
      <c r="D32" s="49"/>
      <c r="E32" s="67"/>
      <c r="F32" s="47"/>
    </row>
    <row r="33" spans="2:7" x14ac:dyDescent="0.3">
      <c r="B33" s="81" t="s">
        <v>135</v>
      </c>
      <c r="F33" s="49"/>
    </row>
    <row r="35" spans="2:7" ht="39" x14ac:dyDescent="0.3">
      <c r="B35" s="65" t="s">
        <v>14</v>
      </c>
      <c r="C35" s="48" t="s">
        <v>163</v>
      </c>
      <c r="D35" s="48" t="s">
        <v>132</v>
      </c>
      <c r="E35" s="48" t="s">
        <v>127</v>
      </c>
      <c r="F35" s="65" t="s">
        <v>162</v>
      </c>
    </row>
    <row r="36" spans="2:7" x14ac:dyDescent="0.3">
      <c r="B36" s="48" t="str">
        <f>B21</f>
        <v>ANH</v>
      </c>
      <c r="C36" s="90">
        <f t="shared" ref="C36:C46" si="1">0.0174*(D21^0.7615)</f>
        <v>6.7760738162642156</v>
      </c>
      <c r="D36" s="80">
        <f>C21/C36</f>
        <v>1.2346781557043414</v>
      </c>
      <c r="E36" s="48"/>
      <c r="F36" s="91">
        <f t="shared" ref="F36:F46" si="2">(C36+E36)*$D$50</f>
        <v>6.0984664346377944</v>
      </c>
    </row>
    <row r="37" spans="2:7" x14ac:dyDescent="0.3">
      <c r="B37" s="48" t="str">
        <f t="shared" ref="B37" si="3">B22</f>
        <v>HDD</v>
      </c>
      <c r="C37" s="90">
        <f t="shared" si="1"/>
        <v>0</v>
      </c>
      <c r="D37" s="80"/>
      <c r="E37" s="48"/>
      <c r="F37" s="91">
        <f t="shared" si="2"/>
        <v>0</v>
      </c>
    </row>
    <row r="38" spans="2:7" x14ac:dyDescent="0.3">
      <c r="B38" s="48" t="str">
        <f t="shared" ref="B38" si="4">B23</f>
        <v>NES</v>
      </c>
      <c r="C38" s="90">
        <f t="shared" si="1"/>
        <v>19.344132054699685</v>
      </c>
      <c r="D38" s="80">
        <f>C23/C38</f>
        <v>0.6506365839733923</v>
      </c>
      <c r="E38" s="48"/>
      <c r="F38" s="91">
        <f t="shared" si="2"/>
        <v>17.409718849229716</v>
      </c>
    </row>
    <row r="39" spans="2:7" x14ac:dyDescent="0.3">
      <c r="B39" s="48" t="str">
        <f t="shared" ref="B39" si="5">B24</f>
        <v>NWT</v>
      </c>
      <c r="C39" s="90">
        <f t="shared" si="1"/>
        <v>59.114324338548059</v>
      </c>
      <c r="D39" s="80">
        <f>C24/C39</f>
        <v>1.1153606790151707</v>
      </c>
      <c r="E39" s="48"/>
      <c r="F39" s="91">
        <f t="shared" si="2"/>
        <v>53.202891904693253</v>
      </c>
    </row>
    <row r="40" spans="2:7" x14ac:dyDescent="0.3">
      <c r="B40" s="48" t="str">
        <f t="shared" ref="B40" si="6">B25</f>
        <v>SRN</v>
      </c>
      <c r="C40" s="90">
        <f t="shared" si="1"/>
        <v>0.55345983438882751</v>
      </c>
      <c r="D40" s="80">
        <f>C25/C40</f>
        <v>0.79499897311587475</v>
      </c>
      <c r="E40" s="48"/>
      <c r="F40" s="91">
        <f t="shared" si="2"/>
        <v>0.49811385094994476</v>
      </c>
    </row>
    <row r="41" spans="2:7" x14ac:dyDescent="0.3">
      <c r="B41" s="48" t="str">
        <f t="shared" ref="B41" si="7">B26</f>
        <v>SVE</v>
      </c>
      <c r="C41" s="90">
        <f t="shared" si="1"/>
        <v>36.75806681779644</v>
      </c>
      <c r="D41" s="80">
        <f>C26/C41</f>
        <v>0.82871605166275508</v>
      </c>
      <c r="E41" s="48"/>
      <c r="F41" s="91">
        <f t="shared" si="2"/>
        <v>33.082260136016799</v>
      </c>
    </row>
    <row r="42" spans="2:7" x14ac:dyDescent="0.3">
      <c r="B42" s="48" t="str">
        <f t="shared" ref="B42" si="8">B27</f>
        <v>SWB</v>
      </c>
      <c r="C42" s="90">
        <f t="shared" si="1"/>
        <v>45.659891910086138</v>
      </c>
      <c r="D42" s="80">
        <f>C27/C42</f>
        <v>0.84586271198483731</v>
      </c>
      <c r="E42" s="48"/>
      <c r="F42" s="91">
        <f t="shared" si="2"/>
        <v>41.093902719077526</v>
      </c>
    </row>
    <row r="43" spans="2:7" x14ac:dyDescent="0.3">
      <c r="B43" s="48" t="str">
        <f t="shared" ref="B43" si="9">B28</f>
        <v>TMS</v>
      </c>
      <c r="C43" s="90">
        <f t="shared" si="1"/>
        <v>0</v>
      </c>
      <c r="D43" s="80"/>
      <c r="E43" s="48"/>
      <c r="F43" s="91">
        <f t="shared" si="2"/>
        <v>0</v>
      </c>
    </row>
    <row r="44" spans="2:7" x14ac:dyDescent="0.3">
      <c r="B44" s="48" t="str">
        <f t="shared" ref="B44" si="10">B29</f>
        <v>WSH</v>
      </c>
      <c r="C44" s="90">
        <f t="shared" si="1"/>
        <v>7.9076162545329209</v>
      </c>
      <c r="D44" s="80">
        <f>C29/C44</f>
        <v>1.7072148629191926</v>
      </c>
      <c r="E44" s="64">
        <f>(C14-C29)*(C44/C29)</f>
        <v>20.22006763751677</v>
      </c>
      <c r="F44" s="91">
        <f t="shared" si="2"/>
        <v>25.314915502844723</v>
      </c>
      <c r="G44" s="89"/>
    </row>
    <row r="45" spans="2:7" x14ac:dyDescent="0.3">
      <c r="B45" s="48" t="str">
        <f t="shared" ref="B45" si="11">B30</f>
        <v>WSX</v>
      </c>
      <c r="C45" s="90">
        <f t="shared" si="1"/>
        <v>20.003514412523053</v>
      </c>
      <c r="D45" s="80">
        <f>C30/C45</f>
        <v>1.1612846210315577</v>
      </c>
      <c r="E45" s="48"/>
      <c r="F45" s="91">
        <f t="shared" si="2"/>
        <v>18.003162971270747</v>
      </c>
    </row>
    <row r="46" spans="2:7" x14ac:dyDescent="0.3">
      <c r="B46" s="48" t="str">
        <f t="shared" ref="B46" si="12">B31</f>
        <v>YKY</v>
      </c>
      <c r="C46" s="90">
        <f t="shared" si="1"/>
        <v>59.777598180881029</v>
      </c>
      <c r="D46" s="80">
        <f>C31/C46</f>
        <v>1.0176889311597863</v>
      </c>
      <c r="E46" s="48"/>
      <c r="F46" s="91">
        <f t="shared" si="2"/>
        <v>53.799838362792926</v>
      </c>
    </row>
    <row r="49" spans="2:9" x14ac:dyDescent="0.3">
      <c r="B49" s="76" t="s">
        <v>133</v>
      </c>
      <c r="C49" s="77"/>
      <c r="D49" s="78">
        <f>PERCENTILE(D36:D46,0.25)</f>
        <v>0.82871605166275508</v>
      </c>
      <c r="F49" s="47"/>
      <c r="I49" s="50"/>
    </row>
    <row r="50" spans="2:9" ht="27.75" customHeight="1" x14ac:dyDescent="0.3">
      <c r="B50" s="98" t="s">
        <v>128</v>
      </c>
      <c r="C50" s="99"/>
      <c r="D50" s="79">
        <v>0.9</v>
      </c>
      <c r="F50" s="47"/>
    </row>
    <row r="52" spans="2:9" x14ac:dyDescent="0.3">
      <c r="F52" s="72"/>
    </row>
    <row r="53" spans="2:9" x14ac:dyDescent="0.3">
      <c r="F53" s="73"/>
    </row>
  </sheetData>
  <mergeCells count="1">
    <mergeCell ref="B50:C50"/>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B1:N43"/>
  <sheetViews>
    <sheetView showGridLines="0" zoomScale="90" zoomScaleNormal="90" workbookViewId="0"/>
  </sheetViews>
  <sheetFormatPr defaultColWidth="8.7265625" defaultRowHeight="13" x14ac:dyDescent="0.3"/>
  <cols>
    <col min="1" max="1" width="2" style="2" customWidth="1"/>
    <col min="2" max="2" width="37.7265625" style="2" customWidth="1"/>
    <col min="3" max="3" width="16.6328125" style="2" customWidth="1"/>
    <col min="4" max="4" width="108" style="2" customWidth="1"/>
    <col min="5" max="5" width="3" style="2" customWidth="1"/>
    <col min="6" max="6" width="33.08984375" style="2" customWidth="1"/>
    <col min="7" max="14" width="8.6328125" style="2" customWidth="1"/>
    <col min="15" max="16384" width="8.7265625" style="2"/>
  </cols>
  <sheetData>
    <row r="1" spans="2:9" s="56" customFormat="1" ht="18.5" x14ac:dyDescent="0.3">
      <c r="B1" s="1" t="s">
        <v>116</v>
      </c>
      <c r="C1" s="1"/>
      <c r="D1" s="1"/>
      <c r="E1" s="1"/>
      <c r="F1" s="1"/>
      <c r="G1" s="2"/>
      <c r="H1" s="54"/>
      <c r="I1" s="55"/>
    </row>
    <row r="2" spans="2:9" s="56" customFormat="1" ht="18.5" x14ac:dyDescent="0.3">
      <c r="B2" s="34"/>
      <c r="C2" s="57"/>
      <c r="D2" s="57"/>
      <c r="E2" s="2"/>
      <c r="F2" s="2"/>
      <c r="G2" s="2"/>
      <c r="H2" s="54"/>
      <c r="I2" s="55"/>
    </row>
    <row r="3" spans="2:9" s="56" customFormat="1" ht="18.5" x14ac:dyDescent="0.3">
      <c r="B3" s="34" t="s">
        <v>122</v>
      </c>
      <c r="C3" s="57"/>
      <c r="D3" s="57"/>
      <c r="E3" s="2"/>
      <c r="F3" s="2"/>
      <c r="G3" s="2"/>
      <c r="H3" s="54"/>
      <c r="I3" s="55"/>
    </row>
    <row r="4" spans="2:9" x14ac:dyDescent="0.3">
      <c r="B4" s="58" t="s">
        <v>14</v>
      </c>
      <c r="C4" s="59" t="s">
        <v>6</v>
      </c>
      <c r="D4" s="60"/>
    </row>
    <row r="5" spans="2:9" x14ac:dyDescent="0.3">
      <c r="B5" s="58" t="s">
        <v>86</v>
      </c>
      <c r="C5" s="91">
        <f>Allowance!H17</f>
        <v>0.44</v>
      </c>
    </row>
    <row r="6" spans="2:9" x14ac:dyDescent="0.3">
      <c r="B6" s="42" t="s">
        <v>28</v>
      </c>
      <c r="C6" s="91">
        <f>Allowance!J17</f>
        <v>0.44</v>
      </c>
    </row>
    <row r="7" spans="2:9" x14ac:dyDescent="0.3">
      <c r="B7" s="34"/>
    </row>
    <row r="8" spans="2:9" x14ac:dyDescent="0.3">
      <c r="B8" s="34" t="s">
        <v>17</v>
      </c>
      <c r="F8" s="34" t="s">
        <v>18</v>
      </c>
    </row>
    <row r="9" spans="2:9" ht="91" x14ac:dyDescent="0.3">
      <c r="B9" s="58" t="s">
        <v>19</v>
      </c>
      <c r="C9" s="58" t="s">
        <v>27</v>
      </c>
      <c r="D9" s="52" t="s">
        <v>142</v>
      </c>
      <c r="F9" s="52" t="s">
        <v>141</v>
      </c>
    </row>
    <row r="10" spans="2:9" x14ac:dyDescent="0.3">
      <c r="B10" s="58" t="s">
        <v>20</v>
      </c>
      <c r="C10" s="58" t="s">
        <v>157</v>
      </c>
      <c r="D10" s="58"/>
      <c r="F10" s="58"/>
    </row>
    <row r="11" spans="2:9" x14ac:dyDescent="0.3">
      <c r="B11" s="58" t="s">
        <v>21</v>
      </c>
      <c r="C11" s="58" t="s">
        <v>157</v>
      </c>
      <c r="D11" s="58"/>
      <c r="F11" s="58"/>
    </row>
    <row r="12" spans="2:9" ht="85.5" customHeight="1" x14ac:dyDescent="0.3">
      <c r="B12" s="58" t="s">
        <v>22</v>
      </c>
      <c r="C12" s="58" t="s">
        <v>158</v>
      </c>
      <c r="D12" s="52" t="s">
        <v>164</v>
      </c>
      <c r="F12" s="58" t="s">
        <v>97</v>
      </c>
    </row>
    <row r="13" spans="2:9" ht="125.25" customHeight="1" x14ac:dyDescent="0.3">
      <c r="B13" s="58" t="s">
        <v>23</v>
      </c>
      <c r="C13" s="58" t="s">
        <v>158</v>
      </c>
      <c r="D13" s="52" t="s">
        <v>166</v>
      </c>
      <c r="F13" s="58" t="s">
        <v>97</v>
      </c>
    </row>
    <row r="14" spans="2:9" x14ac:dyDescent="0.3">
      <c r="B14" s="58" t="s">
        <v>24</v>
      </c>
      <c r="C14" s="58" t="s">
        <v>157</v>
      </c>
      <c r="D14" s="58"/>
      <c r="F14" s="58"/>
    </row>
    <row r="15" spans="2:9" x14ac:dyDescent="0.3">
      <c r="B15" s="58" t="s">
        <v>25</v>
      </c>
      <c r="C15" s="58" t="s">
        <v>157</v>
      </c>
      <c r="D15" s="58"/>
      <c r="F15" s="58"/>
    </row>
    <row r="16" spans="2:9" x14ac:dyDescent="0.3">
      <c r="B16" s="58" t="s">
        <v>26</v>
      </c>
      <c r="C16" s="58" t="s">
        <v>157</v>
      </c>
      <c r="D16" s="58"/>
      <c r="F16" s="58"/>
    </row>
    <row r="17" spans="2:6" x14ac:dyDescent="0.3">
      <c r="B17" s="62"/>
      <c r="C17" s="62"/>
      <c r="D17" s="62"/>
      <c r="F17" s="62"/>
    </row>
    <row r="18" spans="2:6" x14ac:dyDescent="0.3">
      <c r="B18" s="61"/>
      <c r="C18" s="62"/>
      <c r="D18" s="62"/>
      <c r="F18" s="62"/>
    </row>
    <row r="19" spans="2:6" x14ac:dyDescent="0.3">
      <c r="B19" s="62"/>
      <c r="C19" s="62"/>
      <c r="D19" s="62"/>
      <c r="F19" s="62"/>
    </row>
    <row r="20" spans="2:6" x14ac:dyDescent="0.3">
      <c r="B20" s="62"/>
      <c r="C20" s="62"/>
      <c r="D20" s="62"/>
      <c r="F20" s="62"/>
    </row>
    <row r="21" spans="2:6" ht="14.5" x14ac:dyDescent="0.35">
      <c r="B21" s="62"/>
      <c r="C21" s="62"/>
      <c r="D21" s="62"/>
      <c r="E21" s="63"/>
      <c r="F21" s="62"/>
    </row>
    <row r="22" spans="2:6" x14ac:dyDescent="0.3">
      <c r="B22" s="62"/>
      <c r="C22" s="62"/>
      <c r="D22" s="62"/>
      <c r="F22" s="62"/>
    </row>
    <row r="23" spans="2:6" x14ac:dyDescent="0.3">
      <c r="B23" s="62"/>
      <c r="C23" s="62"/>
      <c r="D23" s="62"/>
      <c r="F23" s="62"/>
    </row>
    <row r="24" spans="2:6" x14ac:dyDescent="0.3">
      <c r="B24" s="62"/>
      <c r="C24" s="62"/>
      <c r="D24" s="62"/>
      <c r="F24" s="62"/>
    </row>
    <row r="35" spans="2:14" x14ac:dyDescent="0.3">
      <c r="B35" s="34"/>
    </row>
    <row r="38" spans="2:14" x14ac:dyDescent="0.3">
      <c r="B38" s="34"/>
    </row>
    <row r="43" spans="2:14" x14ac:dyDescent="0.3">
      <c r="N43" s="54"/>
    </row>
  </sheetData>
  <dataValidations count="3">
    <dataValidation type="list" allowBlank="1" showInputMessage="1" showErrorMessage="1" sqref="C17:C24">
      <formula1>"Pass,Marginal pass, Partial pass, Fail, ,Not assessed, N/A"</formula1>
    </dataValidation>
    <dataValidation type="list" allowBlank="1" showInputMessage="1" showErrorMessage="1" sqref="C9:C16">
      <formula1>"Pass, Partial pass, Fail, ,Not assessed, N/A"</formula1>
    </dataValidation>
    <dataValidation type="list" allowBlank="1" showInputMessage="1" showErrorMessage="1" sqref="C4">
      <formula1>"ANH,NES,NWT,SRN,SVE,SWB,TMS,WSH,WSX,YKY,AFW,BRL,HDD,PRT,SES,SEW,SSC"</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B1:N43"/>
  <sheetViews>
    <sheetView showGridLines="0" zoomScale="90" zoomScaleNormal="90" workbookViewId="0">
      <selection activeCell="D13" sqref="D13"/>
    </sheetView>
  </sheetViews>
  <sheetFormatPr defaultColWidth="8.7265625" defaultRowHeight="13" x14ac:dyDescent="0.3"/>
  <cols>
    <col min="1" max="1" width="2" style="2" customWidth="1"/>
    <col min="2" max="2" width="37.7265625" style="2" customWidth="1"/>
    <col min="3" max="3" width="16.6328125" style="2" customWidth="1"/>
    <col min="4" max="4" width="57.6328125" style="2" customWidth="1"/>
    <col min="5" max="5" width="3.6328125" style="2" customWidth="1"/>
    <col min="6" max="6" width="24.6328125" style="2" customWidth="1"/>
    <col min="7" max="14" width="8.6328125" style="2" customWidth="1"/>
    <col min="15" max="16384" width="8.7265625" style="2"/>
  </cols>
  <sheetData>
    <row r="1" spans="2:9" s="56" customFormat="1" ht="18.5" x14ac:dyDescent="0.3">
      <c r="B1" s="1" t="s">
        <v>123</v>
      </c>
      <c r="C1" s="1"/>
      <c r="D1" s="1"/>
      <c r="E1" s="1"/>
      <c r="F1" s="1"/>
      <c r="G1" s="2"/>
      <c r="H1" s="54"/>
      <c r="I1" s="55"/>
    </row>
    <row r="2" spans="2:9" s="56" customFormat="1" ht="18.5" x14ac:dyDescent="0.3">
      <c r="B2" s="34"/>
      <c r="C2" s="57"/>
      <c r="D2" s="57"/>
      <c r="E2" s="2"/>
      <c r="F2" s="2"/>
      <c r="G2" s="2"/>
      <c r="H2" s="54"/>
      <c r="I2" s="55"/>
    </row>
    <row r="3" spans="2:9" s="56" customFormat="1" ht="18.5" x14ac:dyDescent="0.3">
      <c r="B3" s="34" t="s">
        <v>122</v>
      </c>
      <c r="C3" s="57"/>
      <c r="D3" s="57"/>
      <c r="E3" s="2"/>
      <c r="F3" s="2"/>
      <c r="G3" s="2"/>
      <c r="H3" s="54"/>
      <c r="I3" s="55"/>
    </row>
    <row r="4" spans="2:9" x14ac:dyDescent="0.3">
      <c r="B4" s="58" t="s">
        <v>14</v>
      </c>
      <c r="C4" s="59" t="s">
        <v>11</v>
      </c>
      <c r="D4" s="60"/>
    </row>
    <row r="5" spans="2:9" x14ac:dyDescent="0.3">
      <c r="B5" s="58" t="s">
        <v>86</v>
      </c>
      <c r="C5" s="91">
        <f>Allowance!H21</f>
        <v>48.019999999999996</v>
      </c>
    </row>
    <row r="6" spans="2:9" x14ac:dyDescent="0.3">
      <c r="B6" s="42" t="s">
        <v>28</v>
      </c>
      <c r="C6" s="91">
        <f>Allowance!J21</f>
        <v>25.314915502844723</v>
      </c>
    </row>
    <row r="7" spans="2:9" x14ac:dyDescent="0.3">
      <c r="B7" s="34"/>
    </row>
    <row r="8" spans="2:9" x14ac:dyDescent="0.3">
      <c r="B8" s="34" t="s">
        <v>17</v>
      </c>
      <c r="F8" s="34" t="s">
        <v>18</v>
      </c>
    </row>
    <row r="9" spans="2:9" ht="39" x14ac:dyDescent="0.3">
      <c r="B9" s="58" t="s">
        <v>19</v>
      </c>
      <c r="C9" s="58" t="s">
        <v>27</v>
      </c>
      <c r="D9" s="58" t="s">
        <v>96</v>
      </c>
      <c r="F9" s="52" t="s">
        <v>98</v>
      </c>
    </row>
    <row r="10" spans="2:9" x14ac:dyDescent="0.3">
      <c r="B10" s="58" t="s">
        <v>20</v>
      </c>
      <c r="C10" s="58" t="s">
        <v>157</v>
      </c>
      <c r="D10" s="58"/>
      <c r="F10" s="58"/>
    </row>
    <row r="11" spans="2:9" x14ac:dyDescent="0.3">
      <c r="B11" s="58" t="s">
        <v>21</v>
      </c>
      <c r="C11" s="58" t="s">
        <v>157</v>
      </c>
      <c r="D11" s="58"/>
      <c r="F11" s="58"/>
    </row>
    <row r="12" spans="2:9" x14ac:dyDescent="0.3">
      <c r="B12" s="58" t="s">
        <v>22</v>
      </c>
      <c r="C12" s="58" t="s">
        <v>157</v>
      </c>
      <c r="D12" s="58"/>
      <c r="F12" s="58"/>
    </row>
    <row r="13" spans="2:9" ht="91" x14ac:dyDescent="0.3">
      <c r="B13" s="58" t="s">
        <v>23</v>
      </c>
      <c r="C13" s="58" t="s">
        <v>158</v>
      </c>
      <c r="D13" s="52" t="s">
        <v>165</v>
      </c>
      <c r="F13" s="58" t="s">
        <v>97</v>
      </c>
    </row>
    <row r="14" spans="2:9" x14ac:dyDescent="0.3">
      <c r="B14" s="58" t="s">
        <v>24</v>
      </c>
      <c r="C14" s="58" t="s">
        <v>157</v>
      </c>
      <c r="D14" s="58"/>
      <c r="F14" s="58"/>
    </row>
    <row r="15" spans="2:9" x14ac:dyDescent="0.3">
      <c r="B15" s="58" t="s">
        <v>25</v>
      </c>
      <c r="C15" s="58" t="s">
        <v>157</v>
      </c>
      <c r="D15" s="58"/>
      <c r="F15" s="58"/>
    </row>
    <row r="16" spans="2:9" x14ac:dyDescent="0.3">
      <c r="B16" s="58" t="s">
        <v>26</v>
      </c>
      <c r="C16" s="58" t="s">
        <v>157</v>
      </c>
      <c r="D16" s="58"/>
      <c r="F16" s="58"/>
    </row>
    <row r="17" spans="2:6" x14ac:dyDescent="0.3">
      <c r="B17" s="62"/>
      <c r="C17" s="62"/>
      <c r="D17" s="62"/>
      <c r="F17" s="62"/>
    </row>
    <row r="18" spans="2:6" x14ac:dyDescent="0.3">
      <c r="B18" s="61"/>
      <c r="C18" s="62"/>
      <c r="D18" s="62"/>
      <c r="F18" s="62"/>
    </row>
    <row r="19" spans="2:6" x14ac:dyDescent="0.3">
      <c r="B19" s="62"/>
      <c r="C19" s="62"/>
      <c r="D19" s="62"/>
      <c r="F19" s="62"/>
    </row>
    <row r="20" spans="2:6" x14ac:dyDescent="0.3">
      <c r="B20" s="62"/>
      <c r="C20" s="62"/>
      <c r="D20" s="62"/>
      <c r="F20" s="62"/>
    </row>
    <row r="21" spans="2:6" ht="14.5" x14ac:dyDescent="0.35">
      <c r="B21" s="62"/>
      <c r="C21" s="62"/>
      <c r="D21" s="62"/>
      <c r="E21" s="63"/>
      <c r="F21" s="62"/>
    </row>
    <row r="22" spans="2:6" x14ac:dyDescent="0.3">
      <c r="B22" s="62"/>
      <c r="C22" s="62"/>
      <c r="D22" s="62"/>
      <c r="F22" s="62"/>
    </row>
    <row r="23" spans="2:6" x14ac:dyDescent="0.3">
      <c r="B23" s="62"/>
      <c r="C23" s="62"/>
      <c r="D23" s="62"/>
      <c r="F23" s="62"/>
    </row>
    <row r="24" spans="2:6" x14ac:dyDescent="0.3">
      <c r="B24" s="62"/>
      <c r="C24" s="62"/>
      <c r="D24" s="62"/>
      <c r="F24" s="62"/>
    </row>
    <row r="35" spans="2:14" x14ac:dyDescent="0.3">
      <c r="B35" s="34"/>
    </row>
    <row r="38" spans="2:14" x14ac:dyDescent="0.3">
      <c r="B38" s="34"/>
    </row>
    <row r="43" spans="2:14" x14ac:dyDescent="0.3">
      <c r="N43" s="54"/>
    </row>
  </sheetData>
  <dataValidations count="3">
    <dataValidation type="list" allowBlank="1" showInputMessage="1" showErrorMessage="1" sqref="C9:C16">
      <formula1>"Pass, Partial pass, Fail, ,Not assessed, N/A"</formula1>
    </dataValidation>
    <dataValidation type="list" allowBlank="1" showInputMessage="1" showErrorMessage="1" sqref="C17:C24">
      <formula1>"Pass,Marginal pass, Partial pass, Fail, ,Not assessed, N/A"</formula1>
    </dataValidation>
    <dataValidation type="list" allowBlank="1" showInputMessage="1" showErrorMessage="1" sqref="C4">
      <formula1>"ANH,NES,NWT,SRN,SVE,SWB,TMS,WSH,WSX,YKY,AFW,BRL,HDD,PRT,SES,SEW,SSC"</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M24"/>
  <sheetViews>
    <sheetView showGridLines="0" zoomScale="90" zoomScaleNormal="90" workbookViewId="0">
      <selection activeCell="K12" sqref="K12"/>
    </sheetView>
  </sheetViews>
  <sheetFormatPr defaultColWidth="9.08984375" defaultRowHeight="12.5" x14ac:dyDescent="0.25"/>
  <cols>
    <col min="1" max="1" width="2.6328125" style="13" customWidth="1"/>
    <col min="2" max="2" width="2.7265625" style="13" customWidth="1"/>
    <col min="3" max="3" width="14.36328125" style="13" customWidth="1"/>
    <col min="4" max="4" width="19.08984375" style="13" customWidth="1"/>
    <col min="5" max="5" width="14.7265625" style="13" customWidth="1"/>
    <col min="6" max="6" width="14.36328125" style="13" customWidth="1"/>
    <col min="7" max="8" width="12.7265625" style="13" customWidth="1"/>
    <col min="9" max="9" width="11.7265625" style="13" customWidth="1"/>
    <col min="10" max="10" width="11.6328125" style="13" bestFit="1" customWidth="1"/>
    <col min="11" max="11" width="11.6328125" style="13" customWidth="1"/>
    <col min="12" max="12" width="11.08984375" style="13" bestFit="1" customWidth="1"/>
    <col min="13" max="13" width="12.7265625" style="13" customWidth="1"/>
    <col min="14" max="14" width="31.36328125" style="13" bestFit="1" customWidth="1"/>
    <col min="15" max="16384" width="9.08984375" style="13"/>
  </cols>
  <sheetData>
    <row r="1" spans="2:13" ht="18.5" x14ac:dyDescent="0.45">
      <c r="B1" s="11" t="s">
        <v>100</v>
      </c>
      <c r="C1" s="11"/>
      <c r="D1" s="11"/>
      <c r="E1" s="11"/>
      <c r="F1" s="11"/>
      <c r="G1" s="11"/>
      <c r="H1" s="11"/>
      <c r="I1" s="11"/>
      <c r="J1" s="11"/>
      <c r="K1" s="11"/>
      <c r="L1" s="11"/>
    </row>
    <row r="3" spans="2:13" ht="16" x14ac:dyDescent="0.5">
      <c r="C3" s="3" t="s">
        <v>15</v>
      </c>
      <c r="D3" s="5" t="s">
        <v>124</v>
      </c>
      <c r="E3" s="10"/>
      <c r="F3" s="10"/>
      <c r="G3" s="10"/>
      <c r="H3" s="10"/>
      <c r="I3" s="10"/>
    </row>
    <row r="4" spans="2:13" ht="16" x14ac:dyDescent="0.5">
      <c r="C4" s="3" t="s">
        <v>101</v>
      </c>
      <c r="D4" s="5" t="s">
        <v>159</v>
      </c>
      <c r="E4" s="10"/>
      <c r="F4" s="10"/>
      <c r="G4" s="10"/>
      <c r="H4" s="10"/>
      <c r="I4" s="10"/>
    </row>
    <row r="5" spans="2:13" ht="16" x14ac:dyDescent="0.5">
      <c r="C5" s="3" t="s">
        <v>102</v>
      </c>
      <c r="D5" s="24" t="str">
        <f>+Data!E4</f>
        <v>WWS2004CAS</v>
      </c>
      <c r="E5" s="4"/>
      <c r="F5" s="4"/>
      <c r="G5" s="4"/>
      <c r="H5" s="4"/>
      <c r="I5" s="14"/>
      <c r="J5" s="15"/>
      <c r="K5" s="15"/>
    </row>
    <row r="6" spans="2:13" ht="16" x14ac:dyDescent="0.5">
      <c r="C6" s="3" t="s">
        <v>103</v>
      </c>
      <c r="D6" s="24" t="s">
        <v>118</v>
      </c>
      <c r="E6" s="4"/>
      <c r="F6" s="4"/>
      <c r="G6" s="4"/>
      <c r="H6" s="4"/>
      <c r="I6" s="16"/>
    </row>
    <row r="7" spans="2:13" ht="16" x14ac:dyDescent="0.5">
      <c r="C7" s="17" t="s">
        <v>16</v>
      </c>
      <c r="D7" s="18" t="s">
        <v>92</v>
      </c>
      <c r="E7" s="10"/>
      <c r="F7" s="10"/>
      <c r="G7" s="10"/>
      <c r="H7" s="10"/>
      <c r="I7" s="10"/>
    </row>
    <row r="10" spans="2:13" ht="12.75" customHeight="1" x14ac:dyDescent="0.3">
      <c r="B10" s="19" t="s">
        <v>104</v>
      </c>
    </row>
    <row r="11" spans="2:13" ht="12.75" customHeight="1" x14ac:dyDescent="0.3">
      <c r="B11" s="15"/>
      <c r="C11" s="15"/>
      <c r="D11" s="15"/>
      <c r="E11" s="15"/>
      <c r="F11" s="15"/>
      <c r="G11" s="15"/>
      <c r="H11" s="15"/>
      <c r="I11" s="15"/>
    </row>
    <row r="12" spans="2:13" ht="52" x14ac:dyDescent="0.3">
      <c r="C12" s="20" t="s">
        <v>14</v>
      </c>
      <c r="D12" s="20" t="s">
        <v>108</v>
      </c>
      <c r="E12" s="20" t="s">
        <v>109</v>
      </c>
      <c r="F12" s="20" t="s">
        <v>110</v>
      </c>
      <c r="G12" s="20" t="s">
        <v>111</v>
      </c>
      <c r="H12" s="20" t="s">
        <v>155</v>
      </c>
      <c r="I12" s="21" t="s">
        <v>156</v>
      </c>
      <c r="J12" s="25" t="s">
        <v>107</v>
      </c>
      <c r="K12" s="20" t="s">
        <v>112</v>
      </c>
      <c r="L12" s="20" t="s">
        <v>113</v>
      </c>
      <c r="M12" s="20" t="s">
        <v>105</v>
      </c>
    </row>
    <row r="13" spans="2:13" ht="15" x14ac:dyDescent="0.5">
      <c r="B13" s="22">
        <v>1</v>
      </c>
      <c r="C13" s="12" t="s">
        <v>3</v>
      </c>
      <c r="D13" s="92">
        <f>INDEX('Data tables'!$H$7:$H$17,MATCH($C13,'Data tables'!$B$7:$B$17,0))</f>
        <v>8.3662703223815793</v>
      </c>
      <c r="E13" s="93">
        <v>0</v>
      </c>
      <c r="F13" s="93">
        <v>0</v>
      </c>
      <c r="G13" s="94">
        <f>F13-E13</f>
        <v>0</v>
      </c>
      <c r="H13" s="92">
        <f>D13+G13</f>
        <v>8.3662703223815793</v>
      </c>
      <c r="I13" s="92">
        <f>IFERROR(INDEX(Analysis!$F$36:$F$46,MATCH($C13,Analysis!$B$36:$B$46,0)),"")</f>
        <v>6.0984664346377944</v>
      </c>
      <c r="J13" s="95">
        <f>MIN(H13,I13)</f>
        <v>6.0984664346377944</v>
      </c>
      <c r="K13" s="92">
        <v>0</v>
      </c>
      <c r="L13" s="92">
        <f>$J13*$K13</f>
        <v>0</v>
      </c>
      <c r="M13" s="92">
        <f>$J13*(1-$K13)</f>
        <v>6.0984664346377944</v>
      </c>
    </row>
    <row r="14" spans="2:13" ht="15" x14ac:dyDescent="0.5">
      <c r="B14" s="22">
        <v>2</v>
      </c>
      <c r="C14" s="12" t="s">
        <v>85</v>
      </c>
      <c r="D14" s="92">
        <f>INDEX('Data tables'!$H$7:$H$17,MATCH($C14,'Data tables'!$B$7:$B$17,0))</f>
        <v>0</v>
      </c>
      <c r="E14" s="93">
        <v>0</v>
      </c>
      <c r="F14" s="93">
        <v>0</v>
      </c>
      <c r="G14" s="94">
        <f t="shared" ref="G14:G23" si="0">F14-E14</f>
        <v>0</v>
      </c>
      <c r="H14" s="92">
        <f t="shared" ref="H14" si="1">D14+G14</f>
        <v>0</v>
      </c>
      <c r="I14" s="92">
        <f>IFERROR(INDEX(Analysis!$F$36:$F$46,MATCH($C14,Analysis!$B$36:$B$46,0)),"")</f>
        <v>0</v>
      </c>
      <c r="J14" s="95">
        <f t="shared" ref="J14" si="2">MIN(H14,I14)</f>
        <v>0</v>
      </c>
      <c r="K14" s="92">
        <v>0</v>
      </c>
      <c r="L14" s="92">
        <f t="shared" ref="L14:L23" si="3">$J14*$K14</f>
        <v>0</v>
      </c>
      <c r="M14" s="92">
        <f t="shared" ref="M14:M23" si="4">$J14*(1-$K14)</f>
        <v>0</v>
      </c>
    </row>
    <row r="15" spans="2:13" ht="15" x14ac:dyDescent="0.5">
      <c r="B15" s="22">
        <v>3</v>
      </c>
      <c r="C15" s="12" t="s">
        <v>4</v>
      </c>
      <c r="D15" s="92">
        <f>INDEX('Data tables'!$H$7:$H$17,MATCH($C15,'Data tables'!$B$7:$B$17,0))</f>
        <v>12.586</v>
      </c>
      <c r="E15" s="93">
        <v>0</v>
      </c>
      <c r="F15" s="93">
        <v>0</v>
      </c>
      <c r="G15" s="94">
        <f t="shared" si="0"/>
        <v>0</v>
      </c>
      <c r="H15" s="92">
        <f t="shared" ref="H15:H23" si="5">D15+G15</f>
        <v>12.586</v>
      </c>
      <c r="I15" s="92">
        <f>IFERROR(INDEX(Analysis!$F$36:$F$46,MATCH($C15,Analysis!$B$36:$B$46,0)),"")</f>
        <v>17.409718849229716</v>
      </c>
      <c r="J15" s="95">
        <f t="shared" ref="J15:J23" si="6">MIN(H15,I15)</f>
        <v>12.586</v>
      </c>
      <c r="K15" s="92">
        <v>0</v>
      </c>
      <c r="L15" s="92">
        <f t="shared" si="3"/>
        <v>0</v>
      </c>
      <c r="M15" s="92">
        <f t="shared" si="4"/>
        <v>12.586</v>
      </c>
    </row>
    <row r="16" spans="2:13" ht="15" x14ac:dyDescent="0.5">
      <c r="B16" s="22">
        <v>4</v>
      </c>
      <c r="C16" s="12" t="s">
        <v>5</v>
      </c>
      <c r="D16" s="92">
        <f>INDEX('Data tables'!$H$7:$H$17,MATCH($C16,'Data tables'!$B$7:$B$17,0))</f>
        <v>65.933792933765986</v>
      </c>
      <c r="E16" s="93">
        <v>0</v>
      </c>
      <c r="F16" s="93">
        <v>0</v>
      </c>
      <c r="G16" s="94">
        <f t="shared" si="0"/>
        <v>0</v>
      </c>
      <c r="H16" s="92">
        <f t="shared" si="5"/>
        <v>65.933792933765986</v>
      </c>
      <c r="I16" s="92">
        <f>IFERROR(INDEX(Analysis!$F$36:$F$46,MATCH($C16,Analysis!$B$36:$B$46,0)),"")</f>
        <v>53.202891904693253</v>
      </c>
      <c r="J16" s="95">
        <f t="shared" si="6"/>
        <v>53.202891904693253</v>
      </c>
      <c r="K16" s="92">
        <v>0</v>
      </c>
      <c r="L16" s="92">
        <f t="shared" si="3"/>
        <v>0</v>
      </c>
      <c r="M16" s="92">
        <f t="shared" si="4"/>
        <v>53.202891904693253</v>
      </c>
    </row>
    <row r="17" spans="2:13" ht="15" x14ac:dyDescent="0.5">
      <c r="B17" s="22">
        <v>5</v>
      </c>
      <c r="C17" s="12" t="s">
        <v>6</v>
      </c>
      <c r="D17" s="92">
        <f>INDEX('Data tables'!$H$7:$H$17,MATCH($C17,'Data tables'!$B$7:$B$17,0))</f>
        <v>0.44</v>
      </c>
      <c r="E17" s="93">
        <v>0</v>
      </c>
      <c r="F17" s="93">
        <v>0</v>
      </c>
      <c r="G17" s="94">
        <f t="shared" si="0"/>
        <v>0</v>
      </c>
      <c r="H17" s="92">
        <f t="shared" si="5"/>
        <v>0.44</v>
      </c>
      <c r="I17" s="92">
        <f>IFERROR(INDEX(Analysis!$F$36:$F$46,MATCH($C17,Analysis!$B$36:$B$46,0)),"")</f>
        <v>0.49811385094994476</v>
      </c>
      <c r="J17" s="95">
        <f t="shared" si="6"/>
        <v>0.44</v>
      </c>
      <c r="K17" s="92">
        <v>0</v>
      </c>
      <c r="L17" s="92">
        <f t="shared" si="3"/>
        <v>0</v>
      </c>
      <c r="M17" s="92">
        <f t="shared" si="4"/>
        <v>0.44</v>
      </c>
    </row>
    <row r="18" spans="2:13" ht="15" x14ac:dyDescent="0.5">
      <c r="B18" s="22">
        <v>6</v>
      </c>
      <c r="C18" s="12" t="s">
        <v>84</v>
      </c>
      <c r="D18" s="92">
        <f>INDEX('Data tables'!$H$7:$H$17,MATCH($C18,'Data tables'!$B$7:$B$17,0))</f>
        <v>30.461999999999996</v>
      </c>
      <c r="E18" s="93">
        <v>0</v>
      </c>
      <c r="F18" s="93">
        <v>0</v>
      </c>
      <c r="G18" s="94">
        <f t="shared" si="0"/>
        <v>0</v>
      </c>
      <c r="H18" s="92">
        <f t="shared" ref="H18" si="7">D18+G18</f>
        <v>30.461999999999996</v>
      </c>
      <c r="I18" s="92">
        <f>IFERROR(INDEX(Analysis!$F$36:$F$46,MATCH($C18,Analysis!$B$36:$B$46,0)),"")</f>
        <v>33.082260136016799</v>
      </c>
      <c r="J18" s="95">
        <f t="shared" ref="J18" si="8">MIN(H18,I18)</f>
        <v>30.461999999999996</v>
      </c>
      <c r="K18" s="92">
        <v>0</v>
      </c>
      <c r="L18" s="92">
        <f t="shared" si="3"/>
        <v>0</v>
      </c>
      <c r="M18" s="92">
        <f t="shared" si="4"/>
        <v>30.461999999999996</v>
      </c>
    </row>
    <row r="19" spans="2:13" ht="15" x14ac:dyDescent="0.5">
      <c r="B19" s="22">
        <v>7</v>
      </c>
      <c r="C19" s="12" t="s">
        <v>9</v>
      </c>
      <c r="D19" s="92">
        <f>INDEX('Data tables'!$H$7:$H$17,MATCH($C19,'Data tables'!$B$7:$B$17,0))</f>
        <v>36.608999999999995</v>
      </c>
      <c r="E19" s="93">
        <v>0</v>
      </c>
      <c r="F19" s="93">
        <v>2.0129999999999999</v>
      </c>
      <c r="G19" s="94">
        <f t="shared" si="0"/>
        <v>2.0129999999999999</v>
      </c>
      <c r="H19" s="92">
        <f t="shared" si="5"/>
        <v>38.621999999999993</v>
      </c>
      <c r="I19" s="92">
        <f>IFERROR(INDEX(Analysis!$F$36:$F$46,MATCH($C19,Analysis!$B$36:$B$46,0)),"")</f>
        <v>41.093902719077526</v>
      </c>
      <c r="J19" s="95">
        <f t="shared" si="6"/>
        <v>38.621999999999993</v>
      </c>
      <c r="K19" s="92">
        <v>0</v>
      </c>
      <c r="L19" s="92">
        <f t="shared" si="3"/>
        <v>0</v>
      </c>
      <c r="M19" s="92">
        <f t="shared" si="4"/>
        <v>38.621999999999993</v>
      </c>
    </row>
    <row r="20" spans="2:13" ht="15" x14ac:dyDescent="0.5">
      <c r="B20" s="22">
        <v>8</v>
      </c>
      <c r="C20" s="12" t="s">
        <v>10</v>
      </c>
      <c r="D20" s="92">
        <f>INDEX('Data tables'!$H$7:$H$17,MATCH($C20,'Data tables'!$B$7:$B$17,0))</f>
        <v>0</v>
      </c>
      <c r="E20" s="93">
        <v>0</v>
      </c>
      <c r="F20" s="93">
        <v>0</v>
      </c>
      <c r="G20" s="94">
        <f t="shared" si="0"/>
        <v>0</v>
      </c>
      <c r="H20" s="92">
        <f t="shared" si="5"/>
        <v>0</v>
      </c>
      <c r="I20" s="92">
        <f>IFERROR(INDEX(Analysis!$F$36:$F$46,MATCH($C20,Analysis!$B$36:$B$46,0)),"")</f>
        <v>0</v>
      </c>
      <c r="J20" s="95">
        <f t="shared" si="6"/>
        <v>0</v>
      </c>
      <c r="K20" s="92">
        <v>0</v>
      </c>
      <c r="L20" s="92">
        <f t="shared" si="3"/>
        <v>0</v>
      </c>
      <c r="M20" s="92">
        <f t="shared" si="4"/>
        <v>0</v>
      </c>
    </row>
    <row r="21" spans="2:13" ht="15" x14ac:dyDescent="0.5">
      <c r="B21" s="22">
        <v>9</v>
      </c>
      <c r="C21" s="12" t="s">
        <v>11</v>
      </c>
      <c r="D21" s="92">
        <f>INDEX('Data tables'!$H$7:$H$17,MATCH($C21,'Data tables'!$B$7:$B$17,0))</f>
        <v>48.019999999999996</v>
      </c>
      <c r="E21" s="93">
        <v>0</v>
      </c>
      <c r="F21" s="93">
        <v>0</v>
      </c>
      <c r="G21" s="94">
        <f t="shared" si="0"/>
        <v>0</v>
      </c>
      <c r="H21" s="92">
        <f t="shared" si="5"/>
        <v>48.019999999999996</v>
      </c>
      <c r="I21" s="92">
        <f>IFERROR(INDEX(Analysis!$F$36:$F$46,MATCH($C21,Analysis!$B$36:$B$46,0)),"")</f>
        <v>25.314915502844723</v>
      </c>
      <c r="J21" s="95">
        <f t="shared" si="6"/>
        <v>25.314915502844723</v>
      </c>
      <c r="K21" s="92">
        <v>0</v>
      </c>
      <c r="L21" s="92">
        <f t="shared" si="3"/>
        <v>0</v>
      </c>
      <c r="M21" s="92">
        <f t="shared" si="4"/>
        <v>25.314915502844723</v>
      </c>
    </row>
    <row r="22" spans="2:13" ht="15" x14ac:dyDescent="0.5">
      <c r="B22" s="22">
        <v>10</v>
      </c>
      <c r="C22" s="12" t="s">
        <v>12</v>
      </c>
      <c r="D22" s="92">
        <f>INDEX('Data tables'!$H$7:$H$17,MATCH($C22,'Data tables'!$B$7:$B$17,0))</f>
        <v>23.229773653846138</v>
      </c>
      <c r="E22" s="93">
        <v>0</v>
      </c>
      <c r="F22" s="93">
        <v>0</v>
      </c>
      <c r="G22" s="94">
        <f t="shared" si="0"/>
        <v>0</v>
      </c>
      <c r="H22" s="92">
        <f t="shared" si="5"/>
        <v>23.229773653846138</v>
      </c>
      <c r="I22" s="92">
        <f>IFERROR(INDEX(Analysis!$F$36:$F$46,MATCH($C22,Analysis!$B$36:$B$46,0)),"")</f>
        <v>18.003162971270747</v>
      </c>
      <c r="J22" s="95">
        <f t="shared" si="6"/>
        <v>18.003162971270747</v>
      </c>
      <c r="K22" s="92">
        <v>0</v>
      </c>
      <c r="L22" s="92">
        <f t="shared" si="3"/>
        <v>0</v>
      </c>
      <c r="M22" s="92">
        <f t="shared" si="4"/>
        <v>18.003162971270747</v>
      </c>
    </row>
    <row r="23" spans="2:13" ht="15" x14ac:dyDescent="0.5">
      <c r="B23" s="22">
        <v>11</v>
      </c>
      <c r="C23" s="12" t="s">
        <v>13</v>
      </c>
      <c r="D23" s="92">
        <f>INDEX('Data tables'!$H$7:$H$17,MATCH($C23,'Data tables'!$B$7:$B$17,0))</f>
        <v>60.835000000000001</v>
      </c>
      <c r="E23" s="93">
        <v>0</v>
      </c>
      <c r="F23" s="93">
        <v>0</v>
      </c>
      <c r="G23" s="94">
        <f t="shared" si="0"/>
        <v>0</v>
      </c>
      <c r="H23" s="92">
        <f t="shared" si="5"/>
        <v>60.835000000000001</v>
      </c>
      <c r="I23" s="92">
        <f>IFERROR(INDEX(Analysis!$F$36:$F$46,MATCH($C23,Analysis!$B$36:$B$46,0)),"")</f>
        <v>53.799838362792926</v>
      </c>
      <c r="J23" s="95">
        <f t="shared" si="6"/>
        <v>53.799838362792926</v>
      </c>
      <c r="K23" s="92">
        <v>0</v>
      </c>
      <c r="L23" s="92">
        <f t="shared" si="3"/>
        <v>0</v>
      </c>
      <c r="M23" s="92">
        <f t="shared" si="4"/>
        <v>53.799838362792926</v>
      </c>
    </row>
    <row r="24" spans="2:13" ht="15" x14ac:dyDescent="0.5">
      <c r="C24" s="23" t="s">
        <v>106</v>
      </c>
      <c r="D24" s="96">
        <f t="shared" ref="D24:J24" si="9">SUM(D13:D23)</f>
        <v>286.48183690999366</v>
      </c>
      <c r="E24" s="96">
        <f t="shared" si="9"/>
        <v>0</v>
      </c>
      <c r="F24" s="96">
        <f t="shared" si="9"/>
        <v>2.0129999999999999</v>
      </c>
      <c r="G24" s="96">
        <f t="shared" si="9"/>
        <v>2.0129999999999999</v>
      </c>
      <c r="H24" s="96">
        <f t="shared" si="9"/>
        <v>288.49483690999369</v>
      </c>
      <c r="I24" s="96">
        <f t="shared" si="9"/>
        <v>248.5032707315134</v>
      </c>
      <c r="J24" s="97">
        <f t="shared" si="9"/>
        <v>238.52927517623942</v>
      </c>
      <c r="K24" s="96">
        <f>SUM(K13:K23)</f>
        <v>0</v>
      </c>
      <c r="L24" s="96">
        <f>SUM(L13:L23)</f>
        <v>0</v>
      </c>
      <c r="M24" s="96">
        <f>SUM(M13:M23)</f>
        <v>238.52927517623942</v>
      </c>
    </row>
  </sheetData>
  <conditionalFormatting sqref="G13:G23">
    <cfRule type="cellIs" dxfId="1" priority="1" operator="lessThan">
      <formula>0</formula>
    </cfRule>
    <cfRule type="cellIs" dxfId="0" priority="2" operator="greaterThan">
      <formula>0</formula>
    </cfRule>
  </conditionalFormatting>
  <dataValidations count="1">
    <dataValidation type="list" allowBlank="1" showInputMessage="1" showErrorMessage="1" sqref="D7:I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Cover</vt:lpstr>
      <vt:lpstr>Data</vt:lpstr>
      <vt:lpstr>Data tables</vt:lpstr>
      <vt:lpstr>Analysis</vt:lpstr>
      <vt:lpstr>Deep dive_SRN</vt:lpstr>
      <vt:lpstr>Deep dive_WSH</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2019-01-24T11:05:57Z</dcterms:created>
  <dcterms:modified xsi:type="dcterms:W3CDTF">2019-01-25T15:50:55Z</dcterms:modified>
  <cp:category/>
  <cp:contentStatus/>
</cp:coreProperties>
</file>