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3680" windowHeight="8160" tabRatio="871" activeTab="7"/>
  </bookViews>
  <sheets>
    <sheet name="Cover" sheetId="22" r:id="rId1"/>
    <sheet name="Data" sheetId="41" r:id="rId2"/>
    <sheet name="Data tables" sheetId="84" r:id="rId3"/>
    <sheet name="Analysis" sheetId="85" r:id="rId4"/>
    <sheet name="WINEP analysis" sheetId="66" r:id="rId5"/>
    <sheet name="Deep dive_SWB" sheetId="72" r:id="rId6"/>
    <sheet name="Deep dive_WSX 1" sheetId="78" r:id="rId7"/>
    <sheet name="Deep dive_WSX 2" sheetId="79" r:id="rId8"/>
    <sheet name="Allowance" sheetId="83" r:id="rId9"/>
  </sheets>
  <calcPr calcId="152511"/>
</workbook>
</file>

<file path=xl/calcChain.xml><?xml version="1.0" encoding="utf-8"?>
<calcChain xmlns="http://schemas.openxmlformats.org/spreadsheetml/2006/main">
  <c r="M6" i="66" l="1"/>
  <c r="N6" i="66"/>
  <c r="H16" i="66" s="1"/>
  <c r="G36" i="85"/>
  <c r="D34" i="85"/>
  <c r="F34" i="85"/>
  <c r="G32" i="85"/>
  <c r="G26" i="85"/>
  <c r="G23" i="85"/>
  <c r="F32" i="85"/>
  <c r="D32" i="85"/>
  <c r="H17" i="66"/>
  <c r="H8" i="66"/>
  <c r="H7" i="66"/>
  <c r="H5" i="66"/>
  <c r="C10" i="72"/>
  <c r="H13" i="66" l="1"/>
  <c r="D18" i="66"/>
  <c r="N23" i="66" l="1"/>
  <c r="N22" i="66"/>
  <c r="N21" i="66"/>
  <c r="O21" i="66" s="1"/>
  <c r="P21" i="66" s="1"/>
  <c r="N19" i="66"/>
  <c r="O19" i="66" s="1"/>
  <c r="O22" i="66"/>
  <c r="P22" i="66" s="1"/>
  <c r="O23" i="66" l="1"/>
  <c r="P23" i="66" s="1"/>
  <c r="G22" i="83"/>
  <c r="G14" i="83"/>
  <c r="G15" i="83"/>
  <c r="G16" i="83"/>
  <c r="G17" i="83"/>
  <c r="G18" i="83"/>
  <c r="G19" i="83"/>
  <c r="G20" i="83"/>
  <c r="G21" i="83"/>
  <c r="G13" i="83"/>
  <c r="G23" i="83" l="1"/>
  <c r="I14" i="83"/>
  <c r="I15" i="83"/>
  <c r="I18" i="83"/>
  <c r="I20" i="83"/>
  <c r="I21" i="83"/>
  <c r="I23" i="83"/>
  <c r="B19" i="84" l="1"/>
  <c r="B4" i="84"/>
  <c r="F5" i="66" l="1"/>
  <c r="E24" i="83" l="1"/>
  <c r="K24" i="83" l="1"/>
  <c r="G24" i="83"/>
  <c r="E16" i="66"/>
  <c r="F16" i="66" s="1"/>
  <c r="E12" i="66"/>
  <c r="E11" i="66"/>
  <c r="F11" i="66" s="1"/>
  <c r="H11" i="66" s="1"/>
  <c r="E10" i="66"/>
  <c r="F24" i="83" l="1"/>
  <c r="F10" i="66"/>
  <c r="H10" i="66" s="1"/>
  <c r="E13" i="66"/>
  <c r="F13" i="66" s="1"/>
  <c r="E18" i="66" l="1"/>
  <c r="H18" i="66" s="1"/>
  <c r="H20" i="66" s="1"/>
  <c r="F18" i="66"/>
  <c r="F17" i="66"/>
  <c r="F7" i="66" l="1"/>
  <c r="F8" i="66"/>
  <c r="A284" i="41" l="1"/>
  <c r="A283" i="41"/>
  <c r="A282" i="41"/>
  <c r="A281" i="41"/>
  <c r="A280" i="41"/>
  <c r="A279" i="41"/>
  <c r="A270" i="41"/>
  <c r="A269" i="41"/>
  <c r="A268" i="41"/>
  <c r="A267" i="41"/>
  <c r="A266" i="41"/>
  <c r="A265" i="41"/>
  <c r="A273" i="41" l="1"/>
  <c r="A271" i="41"/>
  <c r="A285" i="41"/>
  <c r="A286" i="41"/>
  <c r="A272" i="41" l="1"/>
  <c r="A274" i="41"/>
  <c r="A287" i="41"/>
  <c r="A275" i="41" l="1"/>
  <c r="A288" i="41"/>
  <c r="A289" i="41" l="1"/>
  <c r="A276" i="41"/>
  <c r="A290" i="41" l="1"/>
  <c r="A277" i="41"/>
  <c r="A278" i="41" l="1"/>
  <c r="A291" i="41"/>
  <c r="D13" i="84" l="1"/>
  <c r="E28" i="84"/>
  <c r="G13" i="84"/>
  <c r="C13" i="84"/>
  <c r="A292" i="41"/>
  <c r="C28" i="84"/>
  <c r="F28" i="84"/>
  <c r="D28" i="84"/>
  <c r="G28" i="84"/>
  <c r="E13" i="84"/>
  <c r="F13" i="84"/>
  <c r="A6" i="41"/>
  <c r="A7" i="41"/>
  <c r="A8" i="41"/>
  <c r="A9" i="41"/>
  <c r="A10" i="41"/>
  <c r="A11" i="41"/>
  <c r="A12" i="41"/>
  <c r="A13" i="41"/>
  <c r="A14" i="41"/>
  <c r="A15" i="41"/>
  <c r="A16" i="41"/>
  <c r="A17" i="41"/>
  <c r="A18" i="41"/>
  <c r="A19" i="41"/>
  <c r="A20" i="41"/>
  <c r="A21" i="41"/>
  <c r="A22" i="41"/>
  <c r="A31" i="41"/>
  <c r="A32" i="41"/>
  <c r="A33" i="41"/>
  <c r="A34" i="41"/>
  <c r="A35" i="41"/>
  <c r="A36" i="41"/>
  <c r="A37" i="41"/>
  <c r="A38" i="41"/>
  <c r="A39" i="41"/>
  <c r="A40" i="41"/>
  <c r="A41" i="41"/>
  <c r="A42" i="41"/>
  <c r="A43" i="41"/>
  <c r="A44" i="41"/>
  <c r="A45" i="41"/>
  <c r="A46" i="41"/>
  <c r="A47" i="41"/>
  <c r="A56" i="41"/>
  <c r="A57" i="41"/>
  <c r="A58" i="41"/>
  <c r="A59" i="41"/>
  <c r="A60" i="41"/>
  <c r="A61" i="41"/>
  <c r="A62" i="41"/>
  <c r="A63" i="41"/>
  <c r="A64" i="41"/>
  <c r="A65" i="41"/>
  <c r="A66" i="41"/>
  <c r="A67" i="41"/>
  <c r="A68" i="41"/>
  <c r="A69" i="41"/>
  <c r="A70" i="41"/>
  <c r="A71" i="41"/>
  <c r="A72" i="41"/>
  <c r="A81" i="41"/>
  <c r="A82" i="41"/>
  <c r="A83" i="41"/>
  <c r="A84" i="41"/>
  <c r="A85" i="41"/>
  <c r="A86" i="41"/>
  <c r="A87" i="41"/>
  <c r="A88" i="41"/>
  <c r="A89" i="41"/>
  <c r="A90" i="41"/>
  <c r="A91" i="41"/>
  <c r="A92" i="41"/>
  <c r="A93" i="41"/>
  <c r="A94" i="41"/>
  <c r="A95" i="41"/>
  <c r="A96" i="41"/>
  <c r="A97" i="41"/>
  <c r="A106" i="41"/>
  <c r="A107" i="41"/>
  <c r="A108" i="41"/>
  <c r="A109" i="41"/>
  <c r="A110" i="41"/>
  <c r="A111" i="41"/>
  <c r="A112" i="41"/>
  <c r="A113" i="41"/>
  <c r="A114" i="41"/>
  <c r="A115" i="41"/>
  <c r="A116" i="41"/>
  <c r="A117" i="41"/>
  <c r="A118" i="41"/>
  <c r="A119" i="41"/>
  <c r="A120" i="41"/>
  <c r="A121" i="41"/>
  <c r="A122" i="41"/>
  <c r="A131" i="41"/>
  <c r="A132" i="41"/>
  <c r="A133" i="41"/>
  <c r="A134" i="41"/>
  <c r="A135" i="41"/>
  <c r="A136" i="41"/>
  <c r="A137" i="41"/>
  <c r="A138" i="41"/>
  <c r="A139" i="41"/>
  <c r="A140" i="41"/>
  <c r="A141" i="41"/>
  <c r="A142" i="41"/>
  <c r="A143" i="41"/>
  <c r="A144" i="41"/>
  <c r="A145" i="41"/>
  <c r="A146" i="41"/>
  <c r="A147" i="41"/>
  <c r="A156" i="41"/>
  <c r="A165" i="41"/>
  <c r="A166" i="41"/>
  <c r="A167" i="41"/>
  <c r="A168" i="41"/>
  <c r="A169" i="41"/>
  <c r="A170" i="41"/>
  <c r="A171" i="41"/>
  <c r="A172" i="41"/>
  <c r="A173" i="41"/>
  <c r="A174" i="41"/>
  <c r="A175" i="41"/>
  <c r="A176" i="41"/>
  <c r="A177" i="41"/>
  <c r="A178" i="41"/>
  <c r="A179" i="41"/>
  <c r="A180" i="41"/>
  <c r="A181" i="41"/>
  <c r="A190" i="41"/>
  <c r="A191" i="41"/>
  <c r="A192" i="41"/>
  <c r="A193" i="41"/>
  <c r="A194" i="41"/>
  <c r="A195" i="41"/>
  <c r="A196" i="41"/>
  <c r="A197" i="41"/>
  <c r="A198" i="41"/>
  <c r="A199" i="41"/>
  <c r="A200" i="41"/>
  <c r="A201" i="41"/>
  <c r="A202" i="41"/>
  <c r="A203" i="41"/>
  <c r="A204" i="41"/>
  <c r="A205" i="41"/>
  <c r="A206" i="41"/>
  <c r="A215" i="41"/>
  <c r="A216" i="41"/>
  <c r="A217" i="41"/>
  <c r="A218" i="41"/>
  <c r="A219" i="41"/>
  <c r="A220" i="41"/>
  <c r="A221" i="41"/>
  <c r="A222" i="41"/>
  <c r="A223" i="41"/>
  <c r="A224" i="41"/>
  <c r="A225" i="41"/>
  <c r="A226" i="41"/>
  <c r="A227" i="41"/>
  <c r="A228" i="41"/>
  <c r="A229" i="41"/>
  <c r="A230" i="41"/>
  <c r="A231" i="41"/>
  <c r="A240" i="41"/>
  <c r="A241" i="41"/>
  <c r="A242" i="41"/>
  <c r="A243" i="41"/>
  <c r="A244" i="41"/>
  <c r="A245" i="41"/>
  <c r="A246" i="41"/>
  <c r="A247" i="41"/>
  <c r="A248" i="41"/>
  <c r="A249" i="41"/>
  <c r="A250" i="41"/>
  <c r="A251" i="41"/>
  <c r="A252" i="41"/>
  <c r="A253" i="41"/>
  <c r="A254" i="41"/>
  <c r="A255" i="41"/>
  <c r="A256" i="41"/>
  <c r="O23" i="84" l="1"/>
  <c r="F23" i="84"/>
  <c r="C23" i="84"/>
  <c r="M27" i="84"/>
  <c r="J27" i="84"/>
  <c r="I27" i="84"/>
  <c r="F27" i="84"/>
  <c r="D27" i="84"/>
  <c r="C27" i="84"/>
  <c r="N32" i="84"/>
  <c r="K32" i="84"/>
  <c r="F32" i="84"/>
  <c r="C32" i="84"/>
  <c r="N23" i="84"/>
  <c r="J23" i="84"/>
  <c r="I23" i="84"/>
  <c r="H23" i="84"/>
  <c r="P27" i="84"/>
  <c r="N27" i="84"/>
  <c r="L27" i="84"/>
  <c r="K27" i="84"/>
  <c r="H27" i="84"/>
  <c r="G27" i="84"/>
  <c r="E27" i="84"/>
  <c r="O32" i="84"/>
  <c r="J32" i="84"/>
  <c r="G32" i="84"/>
  <c r="L32" i="84"/>
  <c r="H32" i="84"/>
  <c r="E32" i="84"/>
  <c r="P32" i="84"/>
  <c r="M32" i="84"/>
  <c r="I32" i="84"/>
  <c r="D32" i="84"/>
  <c r="P31" i="84"/>
  <c r="L31" i="84"/>
  <c r="J31" i="84"/>
  <c r="F31" i="84"/>
  <c r="D31" i="84"/>
  <c r="P30" i="84"/>
  <c r="N30" i="84"/>
  <c r="J30" i="84"/>
  <c r="H30" i="84"/>
  <c r="E30" i="84"/>
  <c r="N29" i="84"/>
  <c r="K29" i="84"/>
  <c r="H29" i="84"/>
  <c r="E29" i="84"/>
  <c r="O28" i="84"/>
  <c r="M28" i="84"/>
  <c r="J28" i="84"/>
  <c r="H28" i="84"/>
  <c r="P26" i="84"/>
  <c r="L26" i="84"/>
  <c r="H26" i="84"/>
  <c r="D26" i="84"/>
  <c r="M25" i="84"/>
  <c r="I25" i="84"/>
  <c r="E25" i="84"/>
  <c r="O24" i="84"/>
  <c r="K24" i="84"/>
  <c r="G24" i="84"/>
  <c r="C24" i="84"/>
  <c r="M22" i="84"/>
  <c r="J22" i="84"/>
  <c r="C22" i="84"/>
  <c r="O26" i="84"/>
  <c r="I26" i="84"/>
  <c r="E26" i="84"/>
  <c r="P25" i="84"/>
  <c r="L25" i="84"/>
  <c r="G25" i="84"/>
  <c r="N24" i="84"/>
  <c r="J24" i="84"/>
  <c r="F24" i="84"/>
  <c r="N22" i="84"/>
  <c r="I22" i="84"/>
  <c r="E22" i="84"/>
  <c r="O31" i="84"/>
  <c r="M31" i="84"/>
  <c r="I31" i="84"/>
  <c r="G31" i="84"/>
  <c r="C31" i="84"/>
  <c r="M30" i="84"/>
  <c r="K30" i="84"/>
  <c r="G30" i="84"/>
  <c r="F30" i="84"/>
  <c r="D30" i="84"/>
  <c r="C30" i="84"/>
  <c r="O29" i="84"/>
  <c r="L29" i="84"/>
  <c r="I29" i="84"/>
  <c r="F29" i="84"/>
  <c r="C29" i="84"/>
  <c r="N28" i="84"/>
  <c r="L28" i="84"/>
  <c r="K28" i="84"/>
  <c r="I28" i="84"/>
  <c r="M26" i="84"/>
  <c r="K26" i="84"/>
  <c r="F26" i="84"/>
  <c r="C26" i="84"/>
  <c r="N25" i="84"/>
  <c r="K25" i="84"/>
  <c r="F25" i="84"/>
  <c r="C25" i="84"/>
  <c r="M24" i="84"/>
  <c r="H24" i="84"/>
  <c r="D24" i="84"/>
  <c r="O22" i="84"/>
  <c r="L22" i="84"/>
  <c r="G22" i="84"/>
  <c r="F22" i="84"/>
  <c r="N31" i="84"/>
  <c r="K31" i="84"/>
  <c r="H31" i="84"/>
  <c r="E31" i="84"/>
  <c r="O30" i="84"/>
  <c r="L30" i="84"/>
  <c r="I30" i="84"/>
  <c r="P29" i="84"/>
  <c r="M29" i="84"/>
  <c r="J29" i="84"/>
  <c r="G29" i="84"/>
  <c r="D29" i="84"/>
  <c r="P28" i="84"/>
  <c r="N26" i="84"/>
  <c r="J26" i="84"/>
  <c r="G26" i="84"/>
  <c r="O25" i="84"/>
  <c r="J25" i="84"/>
  <c r="H25" i="84"/>
  <c r="D25" i="84"/>
  <c r="P24" i="84"/>
  <c r="L24" i="84"/>
  <c r="I24" i="84"/>
  <c r="E24" i="84"/>
  <c r="P22" i="84"/>
  <c r="K22" i="84"/>
  <c r="H22" i="84"/>
  <c r="D22" i="84"/>
  <c r="N8" i="84"/>
  <c r="L8" i="84"/>
  <c r="N12" i="84"/>
  <c r="L12" i="84"/>
  <c r="J12" i="84"/>
  <c r="H12" i="84"/>
  <c r="F12" i="84"/>
  <c r="D12" i="84"/>
  <c r="M8" i="84"/>
  <c r="K8" i="84"/>
  <c r="G8" i="84"/>
  <c r="E8" i="84"/>
  <c r="O12" i="84"/>
  <c r="M12" i="84"/>
  <c r="I12" i="84"/>
  <c r="C12" i="84"/>
  <c r="O17" i="84"/>
  <c r="I17" i="84"/>
  <c r="G17" i="84"/>
  <c r="P16" i="84"/>
  <c r="J16" i="84"/>
  <c r="H16" i="84"/>
  <c r="K15" i="84"/>
  <c r="I15" i="84"/>
  <c r="C15" i="84"/>
  <c r="L14" i="84"/>
  <c r="J14" i="84"/>
  <c r="D14" i="84"/>
  <c r="M13" i="84"/>
  <c r="O8" i="84"/>
  <c r="C8" i="84"/>
  <c r="K12" i="84"/>
  <c r="G12" i="84"/>
  <c r="E12" i="84"/>
  <c r="M17" i="84"/>
  <c r="K17" i="84"/>
  <c r="E17" i="84"/>
  <c r="C17" i="84"/>
  <c r="N16" i="84"/>
  <c r="L16" i="84"/>
  <c r="F16" i="84"/>
  <c r="D16" i="84"/>
  <c r="O15" i="84"/>
  <c r="M15" i="84"/>
  <c r="G15" i="84"/>
  <c r="E15" i="84"/>
  <c r="P14" i="84"/>
  <c r="N14" i="84"/>
  <c r="H14" i="84"/>
  <c r="F14" i="84"/>
  <c r="O13" i="84"/>
  <c r="P17" i="84"/>
  <c r="H17" i="84"/>
  <c r="I16" i="84"/>
  <c r="J15" i="84"/>
  <c r="K14" i="84"/>
  <c r="C14" i="84"/>
  <c r="L13" i="84"/>
  <c r="J13" i="84"/>
  <c r="H13" i="84"/>
  <c r="O11" i="84"/>
  <c r="M11" i="84"/>
  <c r="K11" i="84"/>
  <c r="I11" i="84"/>
  <c r="G11" i="84"/>
  <c r="E11" i="84"/>
  <c r="C11" i="84"/>
  <c r="P10" i="84"/>
  <c r="N10" i="84"/>
  <c r="L10" i="84"/>
  <c r="J10" i="84"/>
  <c r="H10" i="84"/>
  <c r="F10" i="84"/>
  <c r="D10" i="84"/>
  <c r="O9" i="84"/>
  <c r="M9" i="84"/>
  <c r="K9" i="84"/>
  <c r="I9" i="84"/>
  <c r="G9" i="84"/>
  <c r="E9" i="84"/>
  <c r="C9" i="84"/>
  <c r="J17" i="84"/>
  <c r="K16" i="84"/>
  <c r="C16" i="84"/>
  <c r="L15" i="84"/>
  <c r="D15" i="84"/>
  <c r="M14" i="84"/>
  <c r="E14" i="84"/>
  <c r="N13" i="84"/>
  <c r="N11" i="84"/>
  <c r="J11" i="84"/>
  <c r="D11" i="84"/>
  <c r="M10" i="84"/>
  <c r="I10" i="84"/>
  <c r="E10" i="84"/>
  <c r="N9" i="84"/>
  <c r="J9" i="84"/>
  <c r="F9" i="84"/>
  <c r="M7" i="84"/>
  <c r="G7" i="84"/>
  <c r="E7" i="84"/>
  <c r="F17" i="84"/>
  <c r="O16" i="84"/>
  <c r="L17" i="84"/>
  <c r="D17" i="84"/>
  <c r="M16" i="84"/>
  <c r="E16" i="84"/>
  <c r="N15" i="84"/>
  <c r="F15" i="84"/>
  <c r="O14" i="84"/>
  <c r="G14" i="84"/>
  <c r="P13" i="84"/>
  <c r="K13" i="84"/>
  <c r="I13" i="84"/>
  <c r="P11" i="84"/>
  <c r="L11" i="84"/>
  <c r="H11" i="84"/>
  <c r="F11" i="84"/>
  <c r="O10" i="84"/>
  <c r="K10" i="84"/>
  <c r="G10" i="84"/>
  <c r="C10" i="84"/>
  <c r="P9" i="84"/>
  <c r="L9" i="84"/>
  <c r="H9" i="84"/>
  <c r="D9" i="84"/>
  <c r="O7" i="84"/>
  <c r="K7" i="84"/>
  <c r="I7" i="84"/>
  <c r="C7" i="84"/>
  <c r="N17" i="84"/>
  <c r="G16" i="84"/>
  <c r="P15" i="84"/>
  <c r="I14" i="84"/>
  <c r="P7" i="84"/>
  <c r="H7" i="84"/>
  <c r="H15" i="84"/>
  <c r="J7" i="84"/>
  <c r="L7" i="84"/>
  <c r="D7" i="84"/>
  <c r="N7" i="84"/>
  <c r="F7" i="84"/>
  <c r="R24" i="84" l="1"/>
  <c r="F25" i="85" s="1"/>
  <c r="R10" i="84"/>
  <c r="D16" i="83" s="1"/>
  <c r="Q11" i="84"/>
  <c r="C27" i="85" s="1"/>
  <c r="Q13" i="84"/>
  <c r="C29" i="85" s="1"/>
  <c r="Q14" i="84"/>
  <c r="C30" i="85" s="1"/>
  <c r="Q12" i="84"/>
  <c r="C28" i="85" s="1"/>
  <c r="Q28" i="84"/>
  <c r="E29" i="85" s="1"/>
  <c r="D12" i="85"/>
  <c r="D15" i="85"/>
  <c r="D17" i="85"/>
  <c r="R7" i="84"/>
  <c r="R30" i="84"/>
  <c r="F31" i="85" s="1"/>
  <c r="R22" i="84"/>
  <c r="F23" i="85" s="1"/>
  <c r="Q26" i="84"/>
  <c r="E27" i="85" s="1"/>
  <c r="R28" i="84"/>
  <c r="F29" i="85" s="1"/>
  <c r="R29" i="84"/>
  <c r="F30" i="85" s="1"/>
  <c r="Q31" i="84"/>
  <c r="E32" i="85" s="1"/>
  <c r="Q22" i="84"/>
  <c r="E23" i="85" s="1"/>
  <c r="D13" i="85"/>
  <c r="D9" i="85"/>
  <c r="D7" i="85"/>
  <c r="D10" i="85"/>
  <c r="D11" i="85"/>
  <c r="D16" i="85"/>
  <c r="D8" i="85"/>
  <c r="Q7" i="84"/>
  <c r="C23" i="85" s="1"/>
  <c r="R9" i="84"/>
  <c r="Q10" i="84"/>
  <c r="C26" i="85" s="1"/>
  <c r="R13" i="84"/>
  <c r="R16" i="84"/>
  <c r="Q17" i="84"/>
  <c r="C33" i="85" s="1"/>
  <c r="J8" i="84"/>
  <c r="F8" i="84"/>
  <c r="P12" i="84"/>
  <c r="R12" i="84" s="1"/>
  <c r="H8" i="84"/>
  <c r="D8" i="84"/>
  <c r="I8" i="84"/>
  <c r="P8" i="84"/>
  <c r="R8" i="84" s="1"/>
  <c r="Q25" i="84"/>
  <c r="E26" i="85" s="1"/>
  <c r="R26" i="84"/>
  <c r="F27" i="85" s="1"/>
  <c r="R32" i="84"/>
  <c r="F33" i="85" s="1"/>
  <c r="Q27" i="84"/>
  <c r="E28" i="85" s="1"/>
  <c r="D14" i="85"/>
  <c r="R11" i="84"/>
  <c r="Q16" i="84"/>
  <c r="C32" i="85" s="1"/>
  <c r="R17" i="84"/>
  <c r="R15" i="84"/>
  <c r="Q9" i="84"/>
  <c r="C25" i="85" s="1"/>
  <c r="R14" i="84"/>
  <c r="Q15" i="84"/>
  <c r="C31" i="85" s="1"/>
  <c r="Q30" i="84"/>
  <c r="E31" i="85" s="1"/>
  <c r="R25" i="84"/>
  <c r="F26" i="85" s="1"/>
  <c r="Q24" i="84"/>
  <c r="E25" i="85" s="1"/>
  <c r="Q32" i="84"/>
  <c r="E33" i="85" s="1"/>
  <c r="D26" i="85"/>
  <c r="C10" i="85"/>
  <c r="C45" i="85" s="1"/>
  <c r="Q29" i="84"/>
  <c r="E30" i="85" s="1"/>
  <c r="R31" i="84"/>
  <c r="O27" i="84"/>
  <c r="R27" i="84" s="1"/>
  <c r="F28" i="85" s="1"/>
  <c r="E23" i="84"/>
  <c r="M23" i="84"/>
  <c r="K23" i="84"/>
  <c r="L23" i="84"/>
  <c r="D23" i="84"/>
  <c r="G23" i="84"/>
  <c r="P23" i="84"/>
  <c r="F45" i="85" l="1"/>
  <c r="I16" i="83" s="1"/>
  <c r="Q8" i="84"/>
  <c r="C24" i="85" s="1"/>
  <c r="Q23" i="84"/>
  <c r="E24" i="85" s="1"/>
  <c r="D18" i="83"/>
  <c r="D28" i="85"/>
  <c r="C12" i="85"/>
  <c r="C13" i="85"/>
  <c r="D19" i="83"/>
  <c r="D29" i="85"/>
  <c r="D14" i="83"/>
  <c r="D24" i="85"/>
  <c r="C8" i="85"/>
  <c r="D21" i="83"/>
  <c r="C15" i="85"/>
  <c r="D31" i="85"/>
  <c r="D17" i="83"/>
  <c r="C11" i="85"/>
  <c r="D27" i="85"/>
  <c r="R23" i="84"/>
  <c r="F24" i="85" s="1"/>
  <c r="C17" i="85"/>
  <c r="D23" i="83"/>
  <c r="D33" i="85"/>
  <c r="C9" i="85"/>
  <c r="D15" i="83"/>
  <c r="D25" i="85"/>
  <c r="C7" i="85"/>
  <c r="D23" i="85"/>
  <c r="D13" i="83"/>
  <c r="D30" i="85"/>
  <c r="C14" i="85"/>
  <c r="D20" i="83"/>
  <c r="D22" i="83"/>
  <c r="C16" i="85"/>
  <c r="E10" i="85"/>
  <c r="G29" i="85" l="1"/>
  <c r="G27" i="85"/>
  <c r="E11" i="85"/>
  <c r="C46" i="85"/>
  <c r="C44" i="85"/>
  <c r="E9" i="85"/>
  <c r="E17" i="85"/>
  <c r="C52" i="85"/>
  <c r="C49" i="85"/>
  <c r="E14" i="85"/>
  <c r="E7" i="85"/>
  <c r="C42" i="85"/>
  <c r="C50" i="85"/>
  <c r="E15" i="85"/>
  <c r="E16" i="85"/>
  <c r="C51" i="85"/>
  <c r="E8" i="85"/>
  <c r="C43" i="85"/>
  <c r="E12" i="85"/>
  <c r="C47" i="85"/>
  <c r="C48" i="85"/>
  <c r="E13" i="85"/>
  <c r="G37" i="85" l="1"/>
  <c r="F42" i="85"/>
  <c r="I13" i="83" s="1"/>
  <c r="F46" i="85"/>
  <c r="I17" i="83" s="1"/>
  <c r="H18" i="83" l="1"/>
  <c r="H14" i="83"/>
  <c r="H15" i="83" l="1"/>
  <c r="H23" i="83"/>
  <c r="H17" i="83"/>
  <c r="H22" i="83"/>
  <c r="J14" i="83" l="1"/>
  <c r="M14" i="83" s="1"/>
  <c r="J15" i="83"/>
  <c r="M15" i="83" s="1"/>
  <c r="J18" i="83"/>
  <c r="J23" i="83"/>
  <c r="H21" i="83"/>
  <c r="H19" i="83"/>
  <c r="D24" i="83"/>
  <c r="H16" i="83"/>
  <c r="H20" i="83"/>
  <c r="L14" i="83" l="1"/>
  <c r="J21" i="83"/>
  <c r="L21" i="83" s="1"/>
  <c r="L15" i="83"/>
  <c r="L18" i="83"/>
  <c r="M18" i="83"/>
  <c r="L23" i="83"/>
  <c r="H13" i="83"/>
  <c r="H24" i="83" s="1"/>
  <c r="M23" i="83"/>
  <c r="J20" i="83"/>
  <c r="M20" i="83" s="1"/>
  <c r="J17" i="83"/>
  <c r="M21" i="83" l="1"/>
  <c r="L20" i="83"/>
  <c r="M17" i="83"/>
  <c r="J16" i="83"/>
  <c r="L17" i="83"/>
  <c r="I16" i="66" l="1"/>
  <c r="G17" i="66"/>
  <c r="L16" i="83"/>
  <c r="M16" i="83"/>
  <c r="G16" i="66"/>
  <c r="I10" i="66"/>
  <c r="G10" i="66"/>
  <c r="G11" i="66"/>
  <c r="G13" i="66"/>
  <c r="I11" i="66"/>
  <c r="G18" i="66"/>
  <c r="G8" i="66"/>
  <c r="G5" i="66"/>
  <c r="G7" i="66"/>
  <c r="J13" i="83" l="1"/>
  <c r="C11" i="72"/>
  <c r="I13" i="66"/>
  <c r="C11" i="78"/>
  <c r="F51" i="85" l="1"/>
  <c r="I22" i="83" s="1"/>
  <c r="J22" i="83" s="1"/>
  <c r="F48" i="85"/>
  <c r="I19" i="83" s="1"/>
  <c r="J19" i="83" s="1"/>
  <c r="L13" i="83"/>
  <c r="M13" i="83"/>
  <c r="L19" i="83" l="1"/>
  <c r="M19" i="83"/>
  <c r="L22" i="83"/>
  <c r="M22" i="83"/>
  <c r="M24" i="83" l="1"/>
  <c r="L24" i="83"/>
  <c r="I24" i="83" l="1"/>
  <c r="J24" i="83" l="1"/>
</calcChain>
</file>

<file path=xl/sharedStrings.xml><?xml version="1.0" encoding="utf-8"?>
<sst xmlns="http://schemas.openxmlformats.org/spreadsheetml/2006/main" count="1347" uniqueCount="251">
  <si>
    <t>Totex</t>
  </si>
  <si>
    <t>ANH</t>
  </si>
  <si>
    <t>NES</t>
  </si>
  <si>
    <t>NWT</t>
  </si>
  <si>
    <t>SRN</t>
  </si>
  <si>
    <t>SVT</t>
  </si>
  <si>
    <t>SWT</t>
  </si>
  <si>
    <t>SWB</t>
  </si>
  <si>
    <t>TMS</t>
  </si>
  <si>
    <t>WSH</t>
  </si>
  <si>
    <t>WSX</t>
  </si>
  <si>
    <t>YKY</t>
  </si>
  <si>
    <t>Company</t>
  </si>
  <si>
    <t>Assessor's name</t>
  </si>
  <si>
    <t>Peer review (initials, date and QA log ref.)</t>
  </si>
  <si>
    <t>Control</t>
  </si>
  <si>
    <t>Assessment gates</t>
  </si>
  <si>
    <t>References</t>
  </si>
  <si>
    <t>Need for investment</t>
  </si>
  <si>
    <t>N/A</t>
  </si>
  <si>
    <t>Need for adjustment</t>
  </si>
  <si>
    <t>Management control</t>
  </si>
  <si>
    <t>Best option for customers</t>
  </si>
  <si>
    <t>Robustness and efficiency of costs</t>
  </si>
  <si>
    <t>Customer protection</t>
  </si>
  <si>
    <t>Affordability</t>
  </si>
  <si>
    <t>Board assurance</t>
  </si>
  <si>
    <t>Enhancement line BoN code</t>
  </si>
  <si>
    <t>Enhancement line description</t>
  </si>
  <si>
    <t>Pass</t>
  </si>
  <si>
    <t>Ofwat view of allowance for AMP7 (£m)</t>
  </si>
  <si>
    <t>The assessor and QA</t>
  </si>
  <si>
    <t>ANH18</t>
  </si>
  <si>
    <t>ANH19</t>
  </si>
  <si>
    <t>ANH20</t>
  </si>
  <si>
    <t>ANH21</t>
  </si>
  <si>
    <t>ANH22</t>
  </si>
  <si>
    <t>ANH23</t>
  </si>
  <si>
    <t>ANH24</t>
  </si>
  <si>
    <t>ANH25</t>
  </si>
  <si>
    <t>NES18</t>
  </si>
  <si>
    <t>NES19</t>
  </si>
  <si>
    <t>NES20</t>
  </si>
  <si>
    <t>NES21</t>
  </si>
  <si>
    <t>NES22</t>
  </si>
  <si>
    <t>NES23</t>
  </si>
  <si>
    <t>NES24</t>
  </si>
  <si>
    <t>NES25</t>
  </si>
  <si>
    <t>NWT18</t>
  </si>
  <si>
    <t>NWT19</t>
  </si>
  <si>
    <t>NWT20</t>
  </si>
  <si>
    <t>NWT21</t>
  </si>
  <si>
    <t>NWT22</t>
  </si>
  <si>
    <t>NWT23</t>
  </si>
  <si>
    <t>NWT24</t>
  </si>
  <si>
    <t>NWT25</t>
  </si>
  <si>
    <t>SRN18</t>
  </si>
  <si>
    <t>SRN19</t>
  </si>
  <si>
    <t>SRN20</t>
  </si>
  <si>
    <t>SRN21</t>
  </si>
  <si>
    <t>SRN22</t>
  </si>
  <si>
    <t>SRN23</t>
  </si>
  <si>
    <t>SRN24</t>
  </si>
  <si>
    <t>SRN25</t>
  </si>
  <si>
    <t>SVT18</t>
  </si>
  <si>
    <t>SVT19</t>
  </si>
  <si>
    <t>SVT20</t>
  </si>
  <si>
    <t>SVT21</t>
  </si>
  <si>
    <t>SVT22</t>
  </si>
  <si>
    <t>SVT23</t>
  </si>
  <si>
    <t>SVT24</t>
  </si>
  <si>
    <t>SVT25</t>
  </si>
  <si>
    <t>SWT18</t>
  </si>
  <si>
    <t>SWT19</t>
  </si>
  <si>
    <t>SWT20</t>
  </si>
  <si>
    <t>SWT21</t>
  </si>
  <si>
    <t>SWT22</t>
  </si>
  <si>
    <t>SWT23</t>
  </si>
  <si>
    <t>SWT24</t>
  </si>
  <si>
    <t>SWT25</t>
  </si>
  <si>
    <t>SWB18</t>
  </si>
  <si>
    <t>SWB19</t>
  </si>
  <si>
    <t>SWB20</t>
  </si>
  <si>
    <t>SWB21</t>
  </si>
  <si>
    <t>SWB22</t>
  </si>
  <si>
    <t>SWB23</t>
  </si>
  <si>
    <t>SWB24</t>
  </si>
  <si>
    <t>SWB25</t>
  </si>
  <si>
    <t>TMS18</t>
  </si>
  <si>
    <t>TMS19</t>
  </si>
  <si>
    <t>TMS20</t>
  </si>
  <si>
    <t>TMS21</t>
  </si>
  <si>
    <t>TMS22</t>
  </si>
  <si>
    <t>TMS23</t>
  </si>
  <si>
    <t>TMS24</t>
  </si>
  <si>
    <t>TMS25</t>
  </si>
  <si>
    <t>WSH18</t>
  </si>
  <si>
    <t>WSH19</t>
  </si>
  <si>
    <t>WSH20</t>
  </si>
  <si>
    <t>WSH21</t>
  </si>
  <si>
    <t>WSH22</t>
  </si>
  <si>
    <t>WSH23</t>
  </si>
  <si>
    <t>WSH24</t>
  </si>
  <si>
    <t>WSH25</t>
  </si>
  <si>
    <t>WSX18</t>
  </si>
  <si>
    <t>WSX19</t>
  </si>
  <si>
    <t>WSX20</t>
  </si>
  <si>
    <t>WSX21</t>
  </si>
  <si>
    <t>WSX22</t>
  </si>
  <si>
    <t>WSX23</t>
  </si>
  <si>
    <t>WSX24</t>
  </si>
  <si>
    <t>WSX25</t>
  </si>
  <si>
    <t>YKY18</t>
  </si>
  <si>
    <t>YKY19</t>
  </si>
  <si>
    <t>YKY20</t>
  </si>
  <si>
    <t>YKY21</t>
  </si>
  <si>
    <t>YKY22</t>
  </si>
  <si>
    <t>YKY23</t>
  </si>
  <si>
    <t>YKY24</t>
  </si>
  <si>
    <t>YKY25</t>
  </si>
  <si>
    <t>SVE</t>
  </si>
  <si>
    <t>HDD</t>
  </si>
  <si>
    <t>Fail</t>
  </si>
  <si>
    <t>Partial pass</t>
  </si>
  <si>
    <t>Capex carried through deep dive AMP7  (£m)</t>
  </si>
  <si>
    <t>Industry average unit cost</t>
  </si>
  <si>
    <t>Industry median unit cost</t>
  </si>
  <si>
    <t>Cover sheet</t>
  </si>
  <si>
    <t>S3040TCAS</t>
  </si>
  <si>
    <t>S3016CAS</t>
  </si>
  <si>
    <t>S4025</t>
  </si>
  <si>
    <t>£m prices 2017-18, Enhancement opex wastewater prices 2017-18, WINEP / NEP ~ UV disinfection (or similar)</t>
  </si>
  <si>
    <t>realS3016CAS</t>
  </si>
  <si>
    <t>realWWS2029CAS</t>
  </si>
  <si>
    <t>Wholesale wastewater</t>
  </si>
  <si>
    <t>No. of schemes</t>
  </si>
  <si>
    <t>comments</t>
  </si>
  <si>
    <t>capex requested</t>
  </si>
  <si>
    <t>variance from median</t>
  </si>
  <si>
    <t>scheme name</t>
  </si>
  <si>
    <t>scheme pe from WWN4</t>
  </si>
  <si>
    <t>unit cost per pe served</t>
  </si>
  <si>
    <t>Carlisle</t>
  </si>
  <si>
    <t>this is Carlisle STW</t>
  </si>
  <si>
    <t>(revised) capex allowance</t>
  </si>
  <si>
    <t>Performance commitment linked to WINEP - Km of river improved</t>
  </si>
  <si>
    <t>Supporting Document 5.1 - Protecting and enhancing the environment</t>
  </si>
  <si>
    <t>West Huntspill</t>
  </si>
  <si>
    <t>difference</t>
  </si>
  <si>
    <t>if both schemes were combined, with a better estimate of PE, the unit cost would be below median.</t>
  </si>
  <si>
    <t xml:space="preserve">Corfe castle (Poole Harbour) </t>
  </si>
  <si>
    <t>Data</t>
  </si>
  <si>
    <t>Performance commitment is linked to a PC on the designation of bathing waters.</t>
  </si>
  <si>
    <t xml:space="preserve">NB that this is an off line deep dive assessment of part of WSX's claim as it is not a standard UV plant solution.  We will add the agreed allowance back into the total UV disinfection allowance for WSX. </t>
  </si>
  <si>
    <t>AMP7 (companies' forecasts) without West Huntspill</t>
  </si>
  <si>
    <t>Materiality analysis</t>
  </si>
  <si>
    <t>Materiality</t>
  </si>
  <si>
    <t>Approach</t>
  </si>
  <si>
    <t xml:space="preserve">Allowed costs </t>
  </si>
  <si>
    <t>Peer review (initials, date)</t>
  </si>
  <si>
    <t>BoN code</t>
  </si>
  <si>
    <t>Enhancement line</t>
  </si>
  <si>
    <t>Cost allowance for AMP7 (£m)</t>
  </si>
  <si>
    <t>Capex allowed - network plus</t>
  </si>
  <si>
    <t>Total</t>
  </si>
  <si>
    <t>Deep dive</t>
  </si>
  <si>
    <t>Capex in business plan - wholesale wastewater</t>
  </si>
  <si>
    <t>Capex allowed - wholesale wastewater</t>
  </si>
  <si>
    <t>Stoke Fleming</t>
  </si>
  <si>
    <t>Gorran Churchtown</t>
  </si>
  <si>
    <t>Kenn &amp; Kennford</t>
  </si>
  <si>
    <t>Kenn</t>
  </si>
  <si>
    <t>Gorran</t>
  </si>
  <si>
    <t>Stoke</t>
  </si>
  <si>
    <t>Prop of 1.618</t>
  </si>
  <si>
    <t>Prop applied to the difference</t>
  </si>
  <si>
    <t>Difference subtracted from total scheme cost</t>
  </si>
  <si>
    <t xml:space="preserve">total of all 3 sites </t>
  </si>
  <si>
    <t>We don't know PE for Stoke fleming (from WSX or WINEP)</t>
  </si>
  <si>
    <t>Capex reallocated out to other lines</t>
  </si>
  <si>
    <t>Capex reallocated in to this line</t>
  </si>
  <si>
    <t>Net Capex reallocated in</t>
  </si>
  <si>
    <t>Proportion of Bioresources</t>
  </si>
  <si>
    <t>Capex allowed - Bioresources</t>
  </si>
  <si>
    <t>Code</t>
  </si>
  <si>
    <t>Year</t>
  </si>
  <si>
    <t>Deep dive sheet - South West Water</t>
  </si>
  <si>
    <t>Deep dive sheet - Wessex Water (Corfe Castle)</t>
  </si>
  <si>
    <t>Deep dive sheet - Wessex Water (West Huntspill)</t>
  </si>
  <si>
    <t>Wholesale wastewater totex</t>
  </si>
  <si>
    <t>Final allowance</t>
  </si>
  <si>
    <t>AMP7 Total</t>
  </si>
  <si>
    <t>Current population equivalent served by STWs with tightened/new UV consents (000s)</t>
  </si>
  <si>
    <t>Materiality analysis and determination of shallow dive allowance</t>
  </si>
  <si>
    <t>2012 to 2018 total (actual)</t>
  </si>
  <si>
    <t>Unit cost analysis</t>
  </si>
  <si>
    <t>UV disinfection costs</t>
  </si>
  <si>
    <t>Population served</t>
  </si>
  <si>
    <t>Average</t>
  </si>
  <si>
    <t>Median</t>
  </si>
  <si>
    <t>Unit cost AMP7 (£)</t>
  </si>
  <si>
    <t>UV disinfection</t>
  </si>
  <si>
    <t>Data tables</t>
  </si>
  <si>
    <t>Materiality and unit cost analysis.  Determination of shallow dive allowance</t>
  </si>
  <si>
    <t>Comment</t>
  </si>
  <si>
    <t>Determination of allowance</t>
  </si>
  <si>
    <t>Company efficiency challenge</t>
  </si>
  <si>
    <t>UV disinfection BP costs</t>
  </si>
  <si>
    <t>£m 2017-18 prices</t>
  </si>
  <si>
    <t>Capex after reallocations</t>
  </si>
  <si>
    <t>Modelled allowance</t>
  </si>
  <si>
    <t/>
  </si>
  <si>
    <t>£1.618-£0.965</t>
  </si>
  <si>
    <t>Proportion of scheme split from SWB's table commentary:</t>
  </si>
  <si>
    <t>JS</t>
  </si>
  <si>
    <t xml:space="preserve">UV required to address deteriorating shellfish waters and need for better removal of E.coli to protect Poole Harbour.
WSX state that installation of a UV disinfection plant at Corfe Castle STW, being a well proven technology and taking up a relatively small footprint on existing STW site, is the most effective solution (EA approved this and there are limited other options to have explored). 
</t>
  </si>
  <si>
    <t>WSX is claiming £3.8m for a UV plant at Corfe Castle for improving Shellfish waters.  As it stands, WSX's unit cost is above the UQ company.  Using the EA's reported PE of 2098 doesn't improve the unit cost much.  We are allowing the median unit cost only.</t>
  </si>
  <si>
    <r>
      <t>Action required to address deteriorating shellfish and bathing waters through improved removal of E.coli to protect Burnham Jetty north.
For West Huntspill STW, the EA comment in WINEP3 that there is a possible option for a land management solution as an alternative [to uv or other solutions].  WSX state that UV was installed at West Huntspill in 2001, but treatment efficacy has deteriorated due to high suspended solids load and needs further investment [£13m], the solution being a new ASP plant NOT UV plant. 
Only 2 options appear to have been proposed in the BP - new pumped-fed ASP or a HYBACS units upstream of existing ASP. Limited commentary on other solutions considered, only that "</t>
    </r>
    <r>
      <rPr>
        <i/>
        <sz val="10"/>
        <color theme="1"/>
        <rFont val="Gill Sans MT"/>
        <family val="2"/>
      </rPr>
      <t>alternative types of process solutions were considered and rejected due to either incompatibility with existing treatment works processes and / or the limitations of the STW site area</t>
    </r>
    <r>
      <rPr>
        <sz val="10"/>
        <color theme="1"/>
        <rFont val="Gill Sans MT"/>
        <family val="2"/>
      </rPr>
      <t>".  
We would want further reassurance that the preferred ASP plant solution is the only option and will 'protect' the ageing UV plant sufficiently going forward. Information is not provided to understand if this solution is cheaper than a new or upgraded UV plant to achieve the reduction in bacteria.  Is this proposed solution actually supporting the growth driver more?
It is also unclear why this solution is preferable to a possible land management solution, as indicated by the EA in the WINEP3.  In promoting this particular solution before investigations are complete, are WSX (and the EA) making assumptions?   There appears to be limited evidence that this scheme is required or whether the issue with poor water quality is a wider catchment issue.  We are also unsure why customers should be funding this solution which we are not convinced yet is necessary or most cost-beneficial.</t>
    </r>
  </si>
  <si>
    <r>
      <t>Need to address failing bathing waters and declining removal / treatment of E.coli &amp; faecal coliforms.  This is confirmed in WINEP3.  The Burnham Jetty bathing waters have been classified as poor for the last 4 years. WINEP3 states that the STW is "to receive improved treatment to achieve 25,000-fold (4.4 log) reduction in enteroviruses and a 250,000-fold (5.4log) reduction in E. coli between the crude influent to the treatment works and Burnham Jetty North EC designated bathing water monitoring point".  
While there has been an increase in domestic and trade effluent waste entering West Huntspill STW, compliance is currently ok</t>
    </r>
    <r>
      <rPr>
        <b/>
        <sz val="10"/>
        <color theme="1"/>
        <rFont val="Gill Sans MT"/>
        <family val="2"/>
      </rPr>
      <t>.</t>
    </r>
    <r>
      <rPr>
        <sz val="10"/>
        <color theme="1"/>
        <rFont val="Gill Sans MT"/>
        <family val="2"/>
      </rPr>
      <t xml:space="preserve">  Even if bacteriological removal through the works has declined, we are not convinced West Huntspill STW is necessarily the reason for the poor water quality, considering that the EA suggests land management is an alternative option.</t>
    </r>
  </si>
  <si>
    <t>There is a WINEP3 BW_Imp driver code for West Huntspill and a Burnham bathing water investigation underway, completion due 2021, to understand what action the company has to take, if anything, to help achieve 'Good' or 'excellent' bathing water quality.  It is not clear whether West Huntspill is a contributor to the  poor water quality and whether undertaking WSX's proposed solution will generate the improvements required. If the works is currently compliant, we question what evidence is available to confirm that the proposed solution is appropriate to improve the bathing water.</t>
  </si>
  <si>
    <t>MG 22/01/2019</t>
  </si>
  <si>
    <t>WINEP / NEP ~ UV disinfection</t>
  </si>
  <si>
    <t>FC, 14/12/2018</t>
  </si>
  <si>
    <t>FC, 03/01/2019</t>
  </si>
  <si>
    <t>Total of both WSX sites</t>
  </si>
  <si>
    <t>Unit cost / WINEP analysis</t>
  </si>
  <si>
    <t xml:space="preserve">UV disinfection </t>
  </si>
  <si>
    <t>Supporting Document 5.1 - Protecting and enhancing the environment (particularly p168-169)</t>
  </si>
  <si>
    <t>Supporting Document 5.1 - Protecting and enhancing the environment (particularly table G-3)</t>
  </si>
  <si>
    <t>Supporting Document 5.1 - Protecting and enhancing the environment (particularly p206)</t>
  </si>
  <si>
    <t>SWB's table commentary states that this line addresses the enhancement element of 3 UV schemes (Kenn and Kennford, Gorran Churchtown and Stoke Fleming).  WINEP states 'uv disinfection required' at Kenn and Kennford and Gorran Churchdown, but Stoke Flemming is noted in WINEP as a catchment-scale investigation scheme with completion date of Sept 2021.  
SWB claims Stoke Fleming is a new UV installation and was deemed cost-beneficial by EA. We are not clear whether Stoke Fleming should be a full UV scheme or investigation.
UV solution options are likely to be limited, but there appears to be no information on options-appraisal at any of the 3 sites.
There is strong customer support for protecting bathing and shellfish waters.</t>
  </si>
  <si>
    <t>Network Plus Wastewater Wholesale Revenue Control 2020-2025.
SWB_Table and model commentaries_FINAL.pdf</t>
  </si>
  <si>
    <t>Network Plus Wastewater Wholesale Revenue Control 2020-2025.
An efficiency WaterFuture: Securing Cost Efficiency</t>
  </si>
  <si>
    <t>Network Plus Wastewater Wholesale Revenue Control 2020-2025.</t>
  </si>
  <si>
    <t>Corfe Castle STW and West Huntspill STW. 
£13m has been assessed off line as a deep dive due to the solution for West Huntspill not being a typical UV plant.  The final allowance will be added back into WSX's total UV disinfection allowance.</t>
  </si>
  <si>
    <t>shallow dive</t>
  </si>
  <si>
    <t>two schemes (Southwold STW and Walton).  Unit cost assessment puts this at median unit cost.</t>
  </si>
  <si>
    <t>median company. No deep dive</t>
  </si>
  <si>
    <t>SRN has a 'pan area' line for SW_ND schemes which includes 2 schemes with UV elements (Millbrook and Slowhill Copse in Southampton).  We have no further detail from EA on this line to confirm.  Unit cost assessment puts this at below median unit cost</t>
  </si>
  <si>
    <t xml:space="preserve">3 schemes - Kenn &amp; Kennford, Gorran Churchtown and Stoke Fleming.  Although capex requested is relatively small (and lower than our materiality threshold), there is collectively a high unit cost for these 3 schemes.   We are uncertain of the need and solution for Stoke Fleming, as it is listed in WINEP as an investigation, but SWB has priced for new UV plant.  </t>
  </si>
  <si>
    <t>PE seems low for 3 schemes. Deep dive</t>
  </si>
  <si>
    <t>PE provided by WSX seemed a bit low at 1646. WINEP shows Corfe Castle STW has 2.098 (000s) PE.
Cost is still significantly above UQ regardless of which PE value we use. We stay with WSX's reported PE.  Deep dive</t>
  </si>
  <si>
    <t>If the solution mirrored other companies, and we used the EA's PE estimate, West Huntspill STW would not have an excessive unit cost. Deep dive</t>
  </si>
  <si>
    <t>below median.  No deep dive</t>
  </si>
  <si>
    <t>Below median. No deep dive</t>
  </si>
  <si>
    <t>West Huntspill £13m taken out of WSX's total for purpose of unit cost analysis</t>
  </si>
  <si>
    <t>Southwold and Walton</t>
  </si>
  <si>
    <t>Southampton Millbrook and Slowhill copse</t>
  </si>
  <si>
    <t>SWB claims to have the highest industry % of STWs with UV disinfection, highest industry % population equivalent (PE) served by works with UV disinfection, and therefore has to operate and maintain more energy-intensive UV treatment processes - as a result of its large coastline and designated bathing waters. However, this does not explain why these 3 relatively small schemes collectively have one of the highest unit costs.  
Individually (using an approximate split of the £0.965m and our estimate of PE from WINEP) Kenn and Kennford is at median cost but Gorran Churchtown is above median unit cost. We don't have PE for Stoke Fleming, but this scheme is higher cost than Gorran Churchtown.
PE served by these STWs is reported collectively as 757 which seems very low.  
SWB explains that there has been internal data assurance reviews with input from an external regulatory expert, and also detailed external comparative benchmarking.
Due to incomplete information on need and PE for Stoke Fleming, and the high unit cost for Gorran Churchtown, we are applying the industry average median cost to the PE reported by SWB in table WWn4.</t>
  </si>
  <si>
    <t>Permit compliance performance commitment with 100% target, plus reward/penalty commitment on bathing water quality.
SWB state that customers are protected against poor service through their package of ODIs, and performance is monitored by their Board.  There is also a proposed share-ownership framework where customers are protected and performance is given an additional level of scrutiny.</t>
  </si>
  <si>
    <r>
      <t xml:space="preserve">This deep dive concentrates on the £13m for ASP at West Huntspill, which is skewing unit costs for the UV disinfection line for other companies. (a further £1.44m has been allocated to growth). 
We have little confidence that the chosen solution is the best or most efficient option, or whether the alternative (replacement UV plant) would have been more suitable.  It appears that the scheme could be being used as a means to improve primary settlement tanks and an ageing ASP, which would have benefits to other current / future consent compliance (P-removal / sanitary parameters) to accommodate growth.  It is debatable whether this scheme should be assessed as a P or NH3/BOD removal scheme.  
We also have reason to believe that </t>
    </r>
    <r>
      <rPr>
        <i/>
        <sz val="10"/>
        <color theme="1"/>
        <rFont val="Gill Sans MT"/>
        <family val="2"/>
      </rPr>
      <t>'incompatibility with existing treatment processes</t>
    </r>
    <r>
      <rPr>
        <sz val="10"/>
        <color theme="1"/>
        <rFont val="Gill Sans MT"/>
        <family val="2"/>
      </rPr>
      <t xml:space="preserve">' and </t>
    </r>
    <r>
      <rPr>
        <i/>
        <sz val="10"/>
        <color theme="1"/>
        <rFont val="Gill Sans MT"/>
        <family val="2"/>
      </rPr>
      <t>'limitations of the STW site area</t>
    </r>
    <r>
      <rPr>
        <sz val="10"/>
        <color theme="1"/>
        <rFont val="Gill Sans MT"/>
        <family val="2"/>
      </rPr>
      <t xml:space="preserve">' are not robust arguments for not pursuing a conventional UV plant upgrade / replacement.  There is no apparent discussion on land / catchment management options as an alternative solution.
Of the £8.4m transitional expenditure in WWS10 line 21, £7.2m is for West Huntspill, but as the investigations are not yet complete, we cannot make an allowance for a scheme that is not fully justified yet, and there appears to be no record of assurance specific to the proposed solution.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</si>
</sst>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00_);[Red]\(&quot;£&quot;#,##0.00\)"/>
    <numFmt numFmtId="165" formatCode="_(* #,##0.00_);_(* \(#,##0.00\);_(* &quot;-&quot;??_);_(@_)"/>
    <numFmt numFmtId="166" formatCode="0.000"/>
    <numFmt numFmtId="167" formatCode="&quot;£&quot;#,##0.0;[Red]\-&quot;£&quot;#,##0.0"/>
    <numFmt numFmtId="168" formatCode="0.0000"/>
    <numFmt numFmtId="169" formatCode="#,##0_);\(#,##0\);&quot;-  &quot;;&quot; &quot;@&quot; &quot;"/>
    <numFmt numFmtId="170" formatCode="&quot;£&quot;#,##0.000;[Red]\-&quot;£&quot;#,##0.000"/>
    <numFmt numFmtId="171" formatCode="_(* #,##0.0_);_(* \(#,##0.0\);_(* &quot;-&quot;??_);_(@_)"/>
    <numFmt numFmtId="172" formatCode="_(* #,##0_);_(* \(#,##0\);_(* &quot;-&quot;??_);_(@_)"/>
    <numFmt numFmtId="173" formatCode="_-* #,##0.000_-;\-* #,##0.000_-;_-* &quot;-&quot;??_-;_-@_-"/>
    <numFmt numFmtId="174" formatCode="_(* #,##0.000_);_(* \(#,##0.000\);_(* &quot;-&quot;??_);_(@_)"/>
    <numFmt numFmtId="175" formatCode="_(* #,##0.0000_);_(* \(#,##0.0000\);_(* &quot;-&quot;??_);_(@_)"/>
  </numFmts>
  <fonts count="3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b/>
      <sz val="14"/>
      <color theme="1"/>
      <name val="Calibri"/>
      <family val="2"/>
      <scheme val="minor"/>
    </font>
    <font>
      <b/>
      <sz val="14"/>
      <color theme="1"/>
      <name val="Gill Sans MT"/>
      <family val="2"/>
    </font>
    <font>
      <sz val="10"/>
      <color theme="1"/>
      <name val="Gill Sans MT"/>
      <family val="2"/>
    </font>
    <font>
      <b/>
      <sz val="10"/>
      <color theme="1"/>
      <name val="Gill Sans MT"/>
      <family val="2"/>
    </font>
    <font>
      <b/>
      <sz val="10"/>
      <name val="Gill Sans MT"/>
      <family val="2"/>
    </font>
    <font>
      <sz val="10"/>
      <name val="Gill Sans MT"/>
      <family val="2"/>
    </font>
    <font>
      <sz val="10"/>
      <color theme="1"/>
      <name val="Calibri"/>
      <family val="2"/>
      <scheme val="minor"/>
    </font>
    <font>
      <b/>
      <i/>
      <sz val="10"/>
      <color theme="1"/>
      <name val="Gill Sans MT"/>
      <family val="2"/>
    </font>
    <font>
      <sz val="9"/>
      <name val="Gill Sans MT"/>
      <family val="2"/>
    </font>
    <font>
      <sz val="11"/>
      <color theme="1"/>
      <name val="Gill Sans MT"/>
      <family val="2"/>
    </font>
    <font>
      <i/>
      <sz val="11"/>
      <color rgb="FF7F7F7F"/>
      <name val="Arial"/>
      <family val="2"/>
    </font>
    <font>
      <sz val="10"/>
      <color rgb="FFFF0000"/>
      <name val="Calibri"/>
      <family val="2"/>
      <scheme val="minor"/>
    </font>
    <font>
      <b/>
      <sz val="10"/>
      <color theme="1"/>
      <name val="Calibri"/>
      <family val="2"/>
      <scheme val="minor"/>
    </font>
    <font>
      <i/>
      <sz val="10"/>
      <color theme="1"/>
      <name val="Gill Sans MT"/>
      <family val="2"/>
    </font>
    <font>
      <sz val="10"/>
      <name val="Calibri"/>
      <family val="2"/>
      <scheme val="minor"/>
    </font>
    <font>
      <b/>
      <sz val="14"/>
      <color theme="3"/>
      <name val="Calibri"/>
      <family val="2"/>
      <scheme val="minor"/>
    </font>
    <font>
      <b/>
      <sz val="10"/>
      <color theme="3"/>
      <name val="Calibri"/>
      <family val="2"/>
      <scheme val="minor"/>
    </font>
    <font>
      <i/>
      <sz val="10"/>
      <color rgb="FF7F7F7F"/>
      <name val="Calibri"/>
      <family val="2"/>
      <scheme val="minor"/>
    </font>
    <font>
      <b/>
      <sz val="10"/>
      <name val="Calibri"/>
      <family val="2"/>
      <scheme val="minor"/>
    </font>
    <font>
      <sz val="14"/>
      <color theme="3"/>
      <name val="Calibri"/>
      <family val="2"/>
      <scheme val="minor"/>
    </font>
    <font>
      <sz val="12"/>
      <color theme="3"/>
      <name val="Calibri"/>
      <family val="2"/>
      <scheme val="minor"/>
    </font>
    <font>
      <b/>
      <sz val="10"/>
      <color rgb="FFFF0000"/>
      <name val="Calibri"/>
      <family val="2"/>
      <scheme val="minor"/>
    </font>
    <font>
      <b/>
      <sz val="12"/>
      <color theme="1"/>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9"/>
        <bgColor indexed="64"/>
      </patternFill>
    </fill>
    <fill>
      <patternFill patternType="solid">
        <fgColor rgb="FFD2ECB6"/>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0" tint="-0.499984740745262"/>
      </bottom>
      <diagonal/>
    </border>
  </borders>
  <cellStyleXfs count="22">
    <xf numFmtId="0" fontId="0" fillId="0" borderId="0"/>
    <xf numFmtId="0" fontId="9" fillId="0" borderId="0"/>
    <xf numFmtId="0" fontId="8" fillId="0" borderId="0"/>
    <xf numFmtId="0" fontId="10" fillId="0" borderId="0"/>
    <xf numFmtId="0" fontId="11" fillId="0" borderId="0"/>
    <xf numFmtId="0" fontId="7" fillId="0" borderId="0"/>
    <xf numFmtId="165" fontId="11" fillId="0" borderId="0" applyFont="0" applyFill="0" applyBorder="0" applyAlignment="0" applyProtection="0"/>
    <xf numFmtId="9" fontId="11" fillId="0" borderId="0" applyFont="0" applyFill="0" applyBorder="0" applyAlignment="0" applyProtection="0"/>
    <xf numFmtId="0" fontId="6" fillId="0" borderId="0"/>
    <xf numFmtId="169" fontId="5" fillId="0" borderId="0" applyFont="0" applyFill="0" applyBorder="0" applyProtection="0">
      <alignment vertical="top"/>
    </xf>
    <xf numFmtId="0" fontId="11" fillId="0" borderId="0"/>
    <xf numFmtId="165" fontId="11" fillId="0" borderId="0" applyFont="0" applyFill="0" applyBorder="0" applyAlignment="0" applyProtection="0"/>
    <xf numFmtId="0" fontId="4" fillId="0" borderId="0"/>
    <xf numFmtId="0" fontId="3" fillId="0" borderId="0"/>
    <xf numFmtId="0" fontId="3" fillId="0" borderId="0"/>
    <xf numFmtId="165" fontId="11" fillId="0" borderId="0" applyFont="0" applyFill="0" applyBorder="0" applyAlignment="0" applyProtection="0"/>
    <xf numFmtId="0" fontId="11" fillId="0" borderId="0"/>
    <xf numFmtId="0" fontId="2" fillId="0" borderId="0"/>
    <xf numFmtId="0" fontId="22" fillId="0" borderId="0" applyNumberForma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13" fillId="4" borderId="0" xfId="10" applyFont="1" applyFill="1" applyAlignment="1">
      <alignment vertical="center"/>
    </xf>
    <xf numFmtId="0" fontId="14" fillId="0" borderId="0" xfId="0" applyFont="1"/>
    <xf numFmtId="0" fontId="17" fillId="0" borderId="0" xfId="0" applyFont="1"/>
    <xf numFmtId="0" fontId="15" fillId="0" borderId="0" xfId="0" applyFont="1"/>
    <xf numFmtId="0" fontId="12" fillId="4" borderId="0" xfId="10" applyFont="1" applyFill="1" applyAlignment="1">
      <alignment vertical="center"/>
    </xf>
    <xf numFmtId="0" fontId="18" fillId="0" borderId="0" xfId="0" applyFont="1"/>
    <xf numFmtId="0" fontId="13" fillId="0" borderId="0" xfId="10" applyFont="1" applyAlignment="1">
      <alignment vertical="center"/>
    </xf>
    <xf numFmtId="0" fontId="14" fillId="0" borderId="1" xfId="0" applyFont="1" applyBorder="1"/>
    <xf numFmtId="0" fontId="16" fillId="0" borderId="0" xfId="0" applyFont="1"/>
    <xf numFmtId="0" fontId="17" fillId="0" borderId="0" xfId="1" applyFont="1"/>
    <xf numFmtId="0" fontId="14" fillId="6" borderId="1" xfId="0" applyFont="1" applyFill="1" applyBorder="1" applyAlignment="1">
      <alignment horizontal="left"/>
    </xf>
    <xf numFmtId="0" fontId="14" fillId="0" borderId="1" xfId="0" applyFont="1" applyBorder="1" applyAlignment="1">
      <alignment vertical="top"/>
    </xf>
    <xf numFmtId="0" fontId="14" fillId="0" borderId="0" xfId="0" applyFont="1" applyAlignment="1">
      <alignment horizontal="left" wrapText="1"/>
    </xf>
    <xf numFmtId="0" fontId="19" fillId="0" borderId="0" xfId="0" applyFont="1" applyAlignment="1">
      <alignment horizontal="left" indent="1"/>
    </xf>
    <xf numFmtId="0" fontId="14" fillId="0" borderId="1" xfId="0" applyFont="1" applyBorder="1" applyAlignment="1" applyProtection="1">
      <alignment horizontal="left"/>
      <protection locked="0"/>
    </xf>
    <xf numFmtId="0" fontId="14" fillId="0" borderId="3" xfId="0" applyFont="1" applyBorder="1" applyAlignment="1">
      <alignment horizontal="left" wrapText="1"/>
    </xf>
    <xf numFmtId="0" fontId="14" fillId="0" borderId="0" xfId="0" applyFont="1" applyBorder="1" applyAlignment="1">
      <alignment vertical="top"/>
    </xf>
    <xf numFmtId="0" fontId="14" fillId="0" borderId="0" xfId="0" applyFont="1" applyBorder="1" applyAlignment="1">
      <alignment horizontal="left" wrapText="1"/>
    </xf>
    <xf numFmtId="0" fontId="14" fillId="0" borderId="6" xfId="0" applyFont="1" applyBorder="1"/>
    <xf numFmtId="0" fontId="18" fillId="0" borderId="1" xfId="0" applyFont="1" applyBorder="1" applyAlignment="1">
      <alignment vertical="center"/>
    </xf>
    <xf numFmtId="0" fontId="13" fillId="4" borderId="2" xfId="10" applyFont="1" applyFill="1" applyBorder="1"/>
    <xf numFmtId="0" fontId="20" fillId="4" borderId="5" xfId="1" applyFont="1" applyFill="1" applyBorder="1"/>
    <xf numFmtId="0" fontId="21" fillId="0" borderId="0" xfId="0" applyFont="1"/>
    <xf numFmtId="0" fontId="21" fillId="0" borderId="0" xfId="0" applyFont="1" applyAlignment="1">
      <alignment horizontal="center" vertical="center"/>
    </xf>
    <xf numFmtId="4" fontId="14" fillId="0" borderId="1" xfId="0" applyNumberFormat="1" applyFont="1" applyBorder="1"/>
    <xf numFmtId="0" fontId="14" fillId="0" borderId="1" xfId="0" applyFont="1" applyBorder="1" applyAlignment="1">
      <alignment vertical="top" wrapText="1"/>
    </xf>
    <xf numFmtId="0" fontId="18" fillId="0" borderId="0" xfId="0" applyFont="1" applyAlignment="1">
      <alignment wrapText="1"/>
    </xf>
    <xf numFmtId="0" fontId="24" fillId="0" borderId="0" xfId="0" applyFont="1"/>
    <xf numFmtId="0" fontId="14" fillId="0" borderId="1" xfId="0" applyFont="1" applyBorder="1" applyAlignment="1">
      <alignment horizontal="center"/>
    </xf>
    <xf numFmtId="0" fontId="18" fillId="0" borderId="0" xfId="0" applyFont="1" applyAlignment="1">
      <alignment vertical="center"/>
    </xf>
    <xf numFmtId="0" fontId="18" fillId="0" borderId="0" xfId="0" applyFont="1" applyAlignment="1">
      <alignment vertical="top" wrapText="1"/>
    </xf>
    <xf numFmtId="2" fontId="18" fillId="0" borderId="1" xfId="0" applyNumberFormat="1" applyFont="1" applyFill="1" applyBorder="1" applyAlignment="1">
      <alignment vertical="center"/>
    </xf>
    <xf numFmtId="2" fontId="18" fillId="0" borderId="1" xfId="0" applyNumberFormat="1" applyFont="1" applyBorder="1" applyAlignment="1">
      <alignment vertical="center"/>
    </xf>
    <xf numFmtId="2" fontId="18" fillId="0" borderId="1" xfId="16" applyNumberFormat="1" applyFont="1" applyFill="1" applyBorder="1" applyAlignment="1">
      <alignment vertical="center"/>
    </xf>
    <xf numFmtId="0" fontId="18" fillId="0" borderId="1" xfId="0" applyFont="1" applyFill="1" applyBorder="1" applyAlignment="1">
      <alignment vertical="center"/>
    </xf>
    <xf numFmtId="0" fontId="18" fillId="0" borderId="1" xfId="0" applyFont="1" applyBorder="1"/>
    <xf numFmtId="0" fontId="18" fillId="0" borderId="1" xfId="0" applyFont="1" applyBorder="1" applyAlignment="1">
      <alignment horizontal="center"/>
    </xf>
    <xf numFmtId="0" fontId="24" fillId="3" borderId="1" xfId="0" applyFont="1" applyFill="1" applyBorder="1" applyAlignment="1">
      <alignment vertical="top" wrapText="1"/>
    </xf>
    <xf numFmtId="0" fontId="24" fillId="4" borderId="0" xfId="0" applyFont="1" applyFill="1"/>
    <xf numFmtId="0" fontId="18" fillId="0" borderId="0" xfId="0" applyFont="1" applyAlignment="1">
      <alignment horizontal="center"/>
    </xf>
    <xf numFmtId="0" fontId="24" fillId="0" borderId="1" xfId="0" applyFont="1" applyBorder="1" applyAlignment="1">
      <alignment horizontal="center" wrapText="1"/>
    </xf>
    <xf numFmtId="0" fontId="24" fillId="0" borderId="1" xfId="0" applyFont="1" applyBorder="1" applyAlignment="1">
      <alignment wrapText="1"/>
    </xf>
    <xf numFmtId="0" fontId="18" fillId="0" borderId="1" xfId="0" applyFont="1" applyBorder="1" applyAlignment="1">
      <alignment wrapText="1"/>
    </xf>
    <xf numFmtId="166" fontId="18" fillId="0" borderId="1" xfId="0" applyNumberFormat="1" applyFont="1" applyBorder="1" applyAlignment="1">
      <alignment horizontal="center"/>
    </xf>
    <xf numFmtId="168" fontId="18" fillId="0" borderId="1" xfId="0" applyNumberFormat="1" applyFont="1" applyBorder="1" applyAlignment="1">
      <alignment horizontal="center"/>
    </xf>
    <xf numFmtId="164" fontId="18" fillId="0" borderId="0" xfId="0" applyNumberFormat="1" applyFont="1"/>
    <xf numFmtId="0" fontId="18" fillId="8" borderId="1" xfId="0" applyFont="1" applyFill="1" applyBorder="1" applyAlignment="1">
      <alignment horizontal="center"/>
    </xf>
    <xf numFmtId="0" fontId="18" fillId="8" borderId="1" xfId="0" applyFont="1" applyFill="1" applyBorder="1" applyAlignment="1">
      <alignment wrapText="1"/>
    </xf>
    <xf numFmtId="166" fontId="18" fillId="8" borderId="1" xfId="0" applyNumberFormat="1" applyFont="1" applyFill="1" applyBorder="1" applyAlignment="1">
      <alignment horizontal="center"/>
    </xf>
    <xf numFmtId="166" fontId="23" fillId="8" borderId="1" xfId="0" applyNumberFormat="1" applyFont="1" applyFill="1" applyBorder="1" applyAlignment="1">
      <alignment horizontal="center"/>
    </xf>
    <xf numFmtId="0" fontId="18" fillId="7" borderId="1" xfId="0" applyFont="1" applyFill="1" applyBorder="1" applyAlignment="1">
      <alignment horizontal="center"/>
    </xf>
    <xf numFmtId="0" fontId="18" fillId="7" borderId="1" xfId="0" applyFont="1" applyFill="1" applyBorder="1" applyAlignment="1">
      <alignment wrapText="1"/>
    </xf>
    <xf numFmtId="166" fontId="18" fillId="7" borderId="1" xfId="0" applyNumberFormat="1" applyFont="1" applyFill="1" applyBorder="1" applyAlignment="1">
      <alignment horizontal="center"/>
    </xf>
    <xf numFmtId="2" fontId="23" fillId="0" borderId="1" xfId="0" applyNumberFormat="1" applyFont="1" applyBorder="1" applyAlignment="1">
      <alignment horizontal="center"/>
    </xf>
    <xf numFmtId="166" fontId="18" fillId="0" borderId="0" xfId="0" applyNumberFormat="1" applyFont="1"/>
    <xf numFmtId="0" fontId="18" fillId="0" borderId="0" xfId="0" applyFont="1" applyAlignment="1">
      <alignment horizontal="right"/>
    </xf>
    <xf numFmtId="168" fontId="18" fillId="0" borderId="0" xfId="0" applyNumberFormat="1" applyFont="1"/>
    <xf numFmtId="0" fontId="18" fillId="0" borderId="0" xfId="0" applyFont="1" applyFill="1" applyBorder="1" applyAlignment="1">
      <alignment horizontal="right"/>
    </xf>
    <xf numFmtId="2" fontId="24" fillId="0" borderId="0" xfId="0" applyNumberFormat="1" applyFont="1" applyBorder="1" applyAlignment="1">
      <alignment vertical="center" wrapText="1"/>
    </xf>
    <xf numFmtId="0" fontId="18" fillId="0" borderId="1" xfId="0" applyFont="1" applyBorder="1" applyAlignment="1">
      <alignment vertical="top"/>
    </xf>
    <xf numFmtId="0" fontId="18" fillId="0" borderId="1" xfId="0" applyFont="1" applyFill="1" applyBorder="1" applyAlignment="1">
      <alignment vertical="top"/>
    </xf>
    <xf numFmtId="167" fontId="26" fillId="0" borderId="0" xfId="0" applyNumberFormat="1" applyFont="1" applyBorder="1" applyAlignment="1"/>
    <xf numFmtId="165" fontId="14" fillId="0" borderId="1" xfId="6" applyFont="1" applyBorder="1"/>
    <xf numFmtId="0" fontId="24" fillId="2" borderId="1" xfId="0" applyNumberFormat="1" applyFont="1" applyFill="1" applyBorder="1" applyAlignment="1">
      <alignment horizontal="center"/>
    </xf>
    <xf numFmtId="0" fontId="24" fillId="2" borderId="1" xfId="0" applyNumberFormat="1" applyFont="1" applyFill="1" applyBorder="1" applyAlignment="1">
      <alignment horizontal="center" wrapText="1"/>
    </xf>
    <xf numFmtId="171" fontId="18" fillId="0" borderId="1" xfId="6" applyNumberFormat="1" applyFont="1" applyBorder="1"/>
    <xf numFmtId="171" fontId="24" fillId="0" borderId="1" xfId="6" applyNumberFormat="1" applyFont="1" applyBorder="1"/>
    <xf numFmtId="165" fontId="18" fillId="0" borderId="1" xfId="6" applyFont="1" applyBorder="1"/>
    <xf numFmtId="165" fontId="24" fillId="0" borderId="1" xfId="0" applyNumberFormat="1" applyFont="1" applyBorder="1"/>
    <xf numFmtId="0" fontId="27" fillId="0" borderId="0" xfId="0" applyFont="1" applyAlignment="1">
      <alignment vertical="center"/>
    </xf>
    <xf numFmtId="0" fontId="28" fillId="0" borderId="0" xfId="0" applyFont="1"/>
    <xf numFmtId="0" fontId="24" fillId="10" borderId="1" xfId="0" applyFont="1" applyFill="1" applyBorder="1" applyAlignment="1">
      <alignment horizontal="center" wrapText="1"/>
    </xf>
    <xf numFmtId="172" fontId="18" fillId="0" borderId="1" xfId="6" applyNumberFormat="1" applyFont="1" applyBorder="1"/>
    <xf numFmtId="10" fontId="18" fillId="0" borderId="1" xfId="7" applyNumberFormat="1" applyFont="1" applyBorder="1"/>
    <xf numFmtId="165" fontId="18" fillId="0" borderId="1" xfId="7" applyNumberFormat="1" applyFont="1" applyBorder="1"/>
    <xf numFmtId="0" fontId="28" fillId="0" borderId="0" xfId="0" applyFont="1" applyAlignment="1">
      <alignment vertical="center"/>
    </xf>
    <xf numFmtId="0" fontId="24" fillId="10" borderId="1" xfId="0" applyFont="1" applyFill="1" applyBorder="1" applyAlignment="1">
      <alignment horizontal="left" wrapText="1"/>
    </xf>
    <xf numFmtId="0" fontId="24" fillId="2" borderId="1" xfId="0" applyNumberFormat="1" applyFont="1" applyFill="1" applyBorder="1" applyAlignment="1">
      <alignment horizontal="left" wrapText="1"/>
    </xf>
    <xf numFmtId="0" fontId="24" fillId="2" borderId="1" xfId="0" applyNumberFormat="1" applyFont="1" applyFill="1" applyBorder="1" applyAlignment="1">
      <alignment horizontal="left"/>
    </xf>
    <xf numFmtId="0" fontId="24" fillId="3" borderId="2" xfId="0" applyFont="1" applyFill="1" applyBorder="1" applyAlignment="1">
      <alignment horizontal="centerContinuous"/>
    </xf>
    <xf numFmtId="0" fontId="24" fillId="3" borderId="4" xfId="0" applyFont="1" applyFill="1" applyBorder="1" applyAlignment="1">
      <alignment horizontal="centerContinuous"/>
    </xf>
    <xf numFmtId="0" fontId="18" fillId="0" borderId="1" xfId="0" applyFont="1" applyBorder="1" applyAlignment="1"/>
    <xf numFmtId="0" fontId="18" fillId="0" borderId="1" xfId="0" applyFont="1" applyFill="1" applyBorder="1" applyAlignment="1"/>
    <xf numFmtId="0" fontId="18" fillId="6" borderId="1" xfId="0" applyFont="1" applyFill="1" applyBorder="1" applyAlignment="1">
      <alignment horizontal="left"/>
    </xf>
    <xf numFmtId="0" fontId="18" fillId="0" borderId="0" xfId="0" applyFont="1" applyBorder="1" applyAlignment="1"/>
    <xf numFmtId="14" fontId="18" fillId="0" borderId="1" xfId="0" applyNumberFormat="1" applyFont="1" applyBorder="1"/>
    <xf numFmtId="0" fontId="18" fillId="0" borderId="0" xfId="0" applyFont="1" applyBorder="1"/>
    <xf numFmtId="0" fontId="18" fillId="0" borderId="0" xfId="0" applyFont="1" applyBorder="1" applyAlignment="1" applyProtection="1">
      <alignment horizontal="left"/>
      <protection locked="0"/>
    </xf>
    <xf numFmtId="0" fontId="29" fillId="0" borderId="0" xfId="18" applyFont="1"/>
    <xf numFmtId="14" fontId="18" fillId="0" borderId="0" xfId="0" applyNumberFormat="1" applyFont="1" applyBorder="1" applyAlignment="1" applyProtection="1">
      <alignment horizontal="left"/>
      <protection locked="0"/>
    </xf>
    <xf numFmtId="0" fontId="18" fillId="0" borderId="7" xfId="0" applyFont="1" applyBorder="1" applyAlignment="1">
      <alignment vertical="top"/>
    </xf>
    <xf numFmtId="0" fontId="18" fillId="0" borderId="7" xfId="0" applyFont="1" applyBorder="1" applyAlignment="1"/>
    <xf numFmtId="0" fontId="18" fillId="0" borderId="0" xfId="0" applyFont="1" applyFill="1"/>
    <xf numFmtId="0" fontId="24" fillId="2" borderId="1" xfId="0" applyFont="1" applyFill="1" applyBorder="1" applyAlignment="1">
      <alignment horizontal="left" wrapText="1"/>
    </xf>
    <xf numFmtId="0" fontId="24" fillId="2" borderId="1" xfId="0" quotePrefix="1" applyFont="1" applyFill="1" applyBorder="1" applyAlignment="1">
      <alignment horizontal="left" wrapText="1"/>
    </xf>
    <xf numFmtId="0" fontId="24" fillId="9" borderId="1" xfId="0" applyFont="1" applyFill="1" applyBorder="1" applyAlignment="1">
      <alignment horizontal="left" wrapText="1"/>
    </xf>
    <xf numFmtId="0" fontId="18" fillId="0" borderId="1" xfId="19" applyFont="1" applyBorder="1" applyAlignment="1">
      <alignment horizontal="center"/>
    </xf>
    <xf numFmtId="0" fontId="18" fillId="0" borderId="1" xfId="19" applyFont="1" applyBorder="1"/>
    <xf numFmtId="171" fontId="18" fillId="9" borderId="1" xfId="6" applyNumberFormat="1" applyFont="1" applyFill="1" applyBorder="1"/>
    <xf numFmtId="0" fontId="24" fillId="0" borderId="1" xfId="19" applyFont="1" applyBorder="1"/>
    <xf numFmtId="171" fontId="30" fillId="0" borderId="1" xfId="6" applyNumberFormat="1" applyFont="1" applyBorder="1"/>
    <xf numFmtId="171" fontId="24" fillId="9" borderId="1" xfId="6" applyNumberFormat="1" applyFont="1" applyFill="1" applyBorder="1"/>
    <xf numFmtId="171" fontId="24" fillId="0" borderId="2" xfId="6" applyNumberFormat="1" applyFont="1" applyBorder="1"/>
    <xf numFmtId="9" fontId="18" fillId="0" borderId="1" xfId="0" applyNumberFormat="1" applyFont="1" applyBorder="1"/>
    <xf numFmtId="165" fontId="18" fillId="0" borderId="1" xfId="6" applyNumberFormat="1" applyFont="1" applyBorder="1"/>
    <xf numFmtId="0" fontId="31" fillId="0" borderId="0" xfId="0" applyFont="1" applyAlignment="1">
      <alignment vertical="center"/>
    </xf>
    <xf numFmtId="0" fontId="32" fillId="0" borderId="0" xfId="0" applyFont="1" applyAlignment="1">
      <alignment vertical="center"/>
    </xf>
    <xf numFmtId="2" fontId="18" fillId="0" borderId="1" xfId="4" applyNumberFormat="1" applyFont="1" applyBorder="1" applyAlignment="1">
      <alignment vertical="center"/>
    </xf>
    <xf numFmtId="0" fontId="18" fillId="0" borderId="1" xfId="0" applyFont="1" applyFill="1" applyBorder="1" applyAlignment="1">
      <alignment vertical="top" wrapText="1"/>
    </xf>
    <xf numFmtId="173" fontId="18" fillId="0" borderId="1" xfId="11" applyNumberFormat="1" applyFont="1" applyBorder="1"/>
    <xf numFmtId="173" fontId="18" fillId="0" borderId="1" xfId="11" applyNumberFormat="1" applyFont="1" applyFill="1" applyBorder="1"/>
    <xf numFmtId="0" fontId="12" fillId="4" borderId="0" xfId="0" applyFont="1" applyFill="1"/>
    <xf numFmtId="0" fontId="18" fillId="0" borderId="1" xfId="0" applyFont="1" applyBorder="1" applyAlignment="1">
      <alignment horizontal="left" vertical="center"/>
    </xf>
    <xf numFmtId="0" fontId="18" fillId="0" borderId="1" xfId="0" applyFont="1" applyBorder="1" applyAlignment="1">
      <alignment horizontal="left" vertical="center" wrapText="1"/>
    </xf>
    <xf numFmtId="170" fontId="18" fillId="0" borderId="1" xfId="0" applyNumberFormat="1" applyFont="1" applyBorder="1" applyAlignment="1">
      <alignment horizontal="left" vertical="center"/>
    </xf>
    <xf numFmtId="0" fontId="24" fillId="7" borderId="1" xfId="0" applyFont="1" applyFill="1" applyBorder="1" applyAlignment="1">
      <alignment vertical="center"/>
    </xf>
    <xf numFmtId="0" fontId="24" fillId="7" borderId="1" xfId="0" applyFont="1" applyFill="1" applyBorder="1" applyAlignment="1">
      <alignment horizontal="center" vertical="center"/>
    </xf>
    <xf numFmtId="0" fontId="24" fillId="7" borderId="1" xfId="0" applyFont="1" applyFill="1" applyBorder="1" applyAlignment="1">
      <alignment vertical="center" wrapText="1"/>
    </xf>
    <xf numFmtId="166" fontId="24" fillId="7" borderId="1" xfId="0" applyNumberFormat="1" applyFont="1" applyFill="1" applyBorder="1" applyAlignment="1">
      <alignment horizontal="center" vertical="center"/>
    </xf>
    <xf numFmtId="0" fontId="24" fillId="8" borderId="1" xfId="0" applyFont="1" applyFill="1" applyBorder="1" applyAlignment="1">
      <alignment vertical="center"/>
    </xf>
    <xf numFmtId="0" fontId="24" fillId="8" borderId="1" xfId="0" applyFont="1" applyFill="1" applyBorder="1" applyAlignment="1">
      <alignment horizontal="center" vertical="center"/>
    </xf>
    <xf numFmtId="0" fontId="24" fillId="8" borderId="1" xfId="0" applyFont="1" applyFill="1" applyBorder="1" applyAlignment="1">
      <alignment vertical="center" wrapText="1"/>
    </xf>
    <xf numFmtId="166" fontId="24" fillId="8" borderId="1" xfId="0" applyNumberFormat="1" applyFont="1" applyFill="1" applyBorder="1" applyAlignment="1">
      <alignment horizontal="center" vertical="center"/>
    </xf>
    <xf numFmtId="0" fontId="18" fillId="11" borderId="1" xfId="0" applyFont="1" applyFill="1" applyBorder="1" applyAlignment="1">
      <alignment wrapText="1"/>
    </xf>
    <xf numFmtId="0" fontId="18" fillId="11" borderId="1" xfId="0" applyFont="1" applyFill="1" applyBorder="1" applyAlignment="1">
      <alignment horizontal="center"/>
    </xf>
    <xf numFmtId="166" fontId="18" fillId="11" borderId="1" xfId="0" applyNumberFormat="1" applyFont="1" applyFill="1" applyBorder="1" applyAlignment="1">
      <alignment horizontal="center"/>
    </xf>
    <xf numFmtId="0" fontId="24" fillId="8" borderId="1" xfId="0" applyFont="1" applyFill="1" applyBorder="1" applyAlignment="1">
      <alignment vertical="top"/>
    </xf>
    <xf numFmtId="0" fontId="24" fillId="7" borderId="1" xfId="0" applyFont="1" applyFill="1" applyBorder="1" applyAlignment="1">
      <alignment vertical="top"/>
    </xf>
    <xf numFmtId="0" fontId="24" fillId="11" borderId="1" xfId="0" applyFont="1" applyFill="1" applyBorder="1" applyAlignment="1">
      <alignment vertical="top"/>
    </xf>
    <xf numFmtId="0" fontId="18" fillId="8" borderId="1" xfId="0" applyFont="1" applyFill="1" applyBorder="1" applyAlignment="1">
      <alignment vertical="center" wrapText="1"/>
    </xf>
    <xf numFmtId="166" fontId="23" fillId="7" borderId="1" xfId="0" applyNumberFormat="1" applyFont="1" applyFill="1" applyBorder="1" applyAlignment="1">
      <alignment horizontal="center"/>
    </xf>
    <xf numFmtId="0" fontId="24" fillId="0" borderId="1" xfId="0" applyFont="1" applyBorder="1"/>
    <xf numFmtId="1" fontId="18" fillId="0" borderId="0" xfId="0" applyNumberFormat="1" applyFont="1"/>
    <xf numFmtId="0" fontId="14" fillId="0" borderId="0" xfId="0" applyFont="1" applyAlignment="1"/>
    <xf numFmtId="2" fontId="18" fillId="0" borderId="0" xfId="0" applyNumberFormat="1" applyFont="1"/>
    <xf numFmtId="174" fontId="18" fillId="0" borderId="1" xfId="7" applyNumberFormat="1" applyFont="1" applyBorder="1"/>
    <xf numFmtId="175" fontId="18" fillId="0" borderId="1" xfId="6" applyNumberFormat="1" applyFont="1" applyBorder="1"/>
    <xf numFmtId="165" fontId="18" fillId="0" borderId="0" xfId="6" applyFont="1" applyBorder="1"/>
    <xf numFmtId="165" fontId="18" fillId="0" borderId="0" xfId="7" applyNumberFormat="1" applyFont="1" applyBorder="1"/>
    <xf numFmtId="174" fontId="24" fillId="0" borderId="4" xfId="6" applyNumberFormat="1" applyFont="1" applyBorder="1"/>
    <xf numFmtId="166" fontId="18" fillId="0" borderId="0" xfId="0" applyNumberFormat="1" applyFont="1" applyAlignment="1">
      <alignment horizontal="center"/>
    </xf>
    <xf numFmtId="166" fontId="23" fillId="11" borderId="1" xfId="0" applyNumberFormat="1" applyFont="1" applyFill="1" applyBorder="1" applyAlignment="1">
      <alignment horizontal="center"/>
    </xf>
    <xf numFmtId="166" fontId="33" fillId="8" borderId="1" xfId="0" applyNumberFormat="1" applyFont="1" applyFill="1" applyBorder="1" applyAlignment="1">
      <alignment horizontal="center" vertical="center"/>
    </xf>
    <xf numFmtId="2" fontId="24" fillId="0" borderId="0" xfId="0" applyNumberFormat="1" applyFont="1" applyFill="1" applyBorder="1" applyAlignment="1">
      <alignment wrapText="1"/>
    </xf>
    <xf numFmtId="167" fontId="26" fillId="0" borderId="0" xfId="0" applyNumberFormat="1" applyFont="1" applyFill="1" applyBorder="1" applyAlignment="1"/>
    <xf numFmtId="2" fontId="24" fillId="0" borderId="0" xfId="0" applyNumberFormat="1" applyFont="1" applyFill="1" applyBorder="1" applyAlignment="1">
      <alignment vertical="center" wrapText="1"/>
    </xf>
    <xf numFmtId="2" fontId="24" fillId="0" borderId="0" xfId="0" applyNumberFormat="1" applyFont="1" applyFill="1" applyBorder="1" applyAlignment="1">
      <alignment vertical="center"/>
    </xf>
    <xf numFmtId="0" fontId="24"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168" fontId="18" fillId="0" borderId="1" xfId="0" applyNumberFormat="1" applyFont="1" applyBorder="1" applyAlignment="1">
      <alignment horizontal="center" vertical="center"/>
    </xf>
    <xf numFmtId="0" fontId="18" fillId="0" borderId="0" xfId="0" applyFont="1" applyAlignment="1">
      <alignment horizontal="center" vertical="center"/>
    </xf>
    <xf numFmtId="2" fontId="24" fillId="5" borderId="1" xfId="0" applyNumberFormat="1" applyFont="1" applyFill="1" applyBorder="1" applyAlignment="1">
      <alignment horizontal="center" vertical="center" wrapText="1"/>
    </xf>
    <xf numFmtId="167" fontId="26" fillId="0" borderId="1" xfId="0" applyNumberFormat="1" applyFont="1" applyBorder="1" applyAlignment="1">
      <alignment horizontal="center" vertical="center"/>
    </xf>
    <xf numFmtId="170" fontId="26" fillId="0" borderId="1" xfId="0" applyNumberFormat="1" applyFont="1" applyBorder="1" applyAlignment="1">
      <alignment horizontal="center" vertical="center"/>
    </xf>
    <xf numFmtId="2" fontId="24" fillId="0" borderId="0" xfId="0"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xf>
    <xf numFmtId="167" fontId="26"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164" fontId="18" fillId="0" borderId="0" xfId="0" applyNumberFormat="1" applyFont="1" applyAlignment="1">
      <alignment horizontal="center" vertical="center"/>
    </xf>
    <xf numFmtId="0" fontId="34" fillId="0" borderId="0" xfId="0" applyFont="1"/>
    <xf numFmtId="0" fontId="24" fillId="2" borderId="2" xfId="0" applyNumberFormat="1" applyFont="1" applyFill="1" applyBorder="1" applyAlignment="1">
      <alignment horizontal="center"/>
    </xf>
    <xf numFmtId="0" fontId="24" fillId="2" borderId="5" xfId="0" applyNumberFormat="1" applyFont="1" applyFill="1" applyBorder="1" applyAlignment="1">
      <alignment horizontal="center"/>
    </xf>
    <xf numFmtId="0" fontId="24" fillId="2" borderId="4" xfId="0" applyNumberFormat="1" applyFont="1" applyFill="1" applyBorder="1" applyAlignment="1">
      <alignment horizontal="center"/>
    </xf>
    <xf numFmtId="2" fontId="24" fillId="0" borderId="0" xfId="0" applyNumberFormat="1" applyFont="1" applyFill="1" applyBorder="1" applyAlignment="1">
      <alignment horizontal="center" vertical="center"/>
    </xf>
    <xf numFmtId="2" fontId="24" fillId="5" borderId="1" xfId="0" applyNumberFormat="1" applyFont="1" applyFill="1" applyBorder="1" applyAlignment="1">
      <alignment horizontal="center" vertical="center" wrapText="1"/>
    </xf>
  </cellXfs>
  <cellStyles count="22">
    <cellStyle name="Comma" xfId="6" builtinId="3"/>
    <cellStyle name="Comma 2" xfId="11"/>
    <cellStyle name="Comma 3" xfId="15"/>
    <cellStyle name="Comma 4 2" xfId="20"/>
    <cellStyle name="Explanatory Text" xfId="18" builtinId="53"/>
    <cellStyle name="Normal" xfId="0" builtinId="0"/>
    <cellStyle name="Normal 2" xfId="4"/>
    <cellStyle name="Normal 2 2" xfId="1"/>
    <cellStyle name="Normal 2 2 2" xfId="10"/>
    <cellStyle name="Normal 2 6" xfId="16"/>
    <cellStyle name="Normal 20" xfId="9"/>
    <cellStyle name="Normal 3" xfId="2"/>
    <cellStyle name="Normal 3 2" xfId="13"/>
    <cellStyle name="Normal 4" xfId="5"/>
    <cellStyle name="Normal 4 2" xfId="14"/>
    <cellStyle name="Normal 5" xfId="8"/>
    <cellStyle name="Normal 5 2" xfId="12"/>
    <cellStyle name="Normal 5 2 2" xfId="19"/>
    <cellStyle name="Normal 6" xfId="17"/>
    <cellStyle name="Normal 9" xfId="3"/>
    <cellStyle name="Percent" xfId="7" builtinId="5"/>
    <cellStyle name="Percent 2 3" xfId="21"/>
  </cellStyles>
  <dxfs count="4">
    <dxf>
      <font>
        <color rgb="FF006100"/>
      </font>
      <fill>
        <patternFill>
          <bgColor rgb="FFC6EFCE"/>
        </patternFill>
      </fill>
    </dxf>
    <dxf>
      <font>
        <color rgb="FF9C0006"/>
      </font>
      <fill>
        <patternFill>
          <bgColor rgb="FFFFC7CE"/>
        </patternFill>
      </fill>
    </dxf>
    <dxf>
      <font>
        <color theme="0"/>
      </font>
    </dxf>
    <dxf>
      <font>
        <color theme="0"/>
      </font>
    </dxf>
  </dxfs>
  <tableStyles count="0" defaultTableStyle="TableStyleMedium2" defaultPivotStyle="PivotStyleMedium9"/>
  <colors>
    <mruColors>
      <color rgb="FFD2ECB6"/>
      <color rgb="FFFFD9D9"/>
      <color rgb="FFE23114"/>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6350</xdr:colOff>
      <xdr:row>15</xdr:row>
      <xdr:rowOff>38100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01600" y="469900"/>
          <a:ext cx="9067800" cy="2844800"/>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i="0" u="sng">
              <a:solidFill>
                <a:schemeClr val="dk1"/>
              </a:solidFill>
              <a:effectLst/>
              <a:latin typeface="+mn-lt"/>
              <a:ea typeface="+mn-ea"/>
              <a:cs typeface="+mn-cs"/>
            </a:rPr>
            <a:t>UV</a:t>
          </a:r>
          <a:r>
            <a:rPr lang="en-GB" sz="1000" b="1" i="0" u="sng" baseline="0">
              <a:solidFill>
                <a:schemeClr val="dk1"/>
              </a:solidFill>
              <a:effectLst/>
              <a:latin typeface="+mn-lt"/>
              <a:ea typeface="+mn-ea"/>
              <a:cs typeface="+mn-cs"/>
            </a:rPr>
            <a:t> disinfection e</a:t>
          </a:r>
          <a:r>
            <a:rPr lang="en-GB" sz="1000" b="1" i="0" u="sng">
              <a:solidFill>
                <a:schemeClr val="dk1"/>
              </a:solidFill>
              <a:effectLst/>
              <a:latin typeface="+mn-lt"/>
              <a:ea typeface="+mn-ea"/>
              <a:cs typeface="+mn-cs"/>
            </a:rPr>
            <a:t>nhancement</a:t>
          </a:r>
          <a:r>
            <a:rPr lang="en-GB" sz="1000" b="1" i="0" u="sng" baseline="0">
              <a:solidFill>
                <a:schemeClr val="dk1"/>
              </a:solidFill>
              <a:effectLst/>
              <a:latin typeface="+mn-lt"/>
              <a:ea typeface="+mn-ea"/>
              <a:cs typeface="+mn-cs"/>
            </a:rPr>
            <a:t> </a:t>
          </a:r>
          <a:r>
            <a:rPr lang="en-GB" sz="1000" b="1" i="0" u="sng">
              <a:solidFill>
                <a:schemeClr val="dk1"/>
              </a:solidFill>
              <a:effectLst/>
              <a:latin typeface="+mn-lt"/>
              <a:ea typeface="+mn-ea"/>
              <a:cs typeface="+mn-cs"/>
            </a:rPr>
            <a:t>lines feeder model</a:t>
          </a:r>
          <a:endParaRPr lang="en-GB" sz="1000" b="1" i="0" u="sng" baseline="0">
            <a:solidFill>
              <a:schemeClr val="dk1"/>
            </a:solidFill>
            <a:effectLst/>
            <a:latin typeface="+mn-lt"/>
            <a:ea typeface="+mn-ea"/>
            <a:cs typeface="+mn-cs"/>
          </a:endParaRPr>
        </a:p>
        <a:p>
          <a:endParaRPr lang="en-GB" sz="1000">
            <a:effectLst/>
          </a:endParaRPr>
        </a:p>
        <a:p>
          <a:r>
            <a:rPr lang="en-GB" sz="1000" b="1" baseline="0">
              <a:solidFill>
                <a:schemeClr val="dk1"/>
              </a:solidFill>
              <a:effectLst/>
              <a:latin typeface="+mn-lt"/>
              <a:ea typeface="+mn-ea"/>
              <a:cs typeface="+mn-cs"/>
            </a:rPr>
            <a:t>Objective</a:t>
          </a:r>
          <a:endParaRPr lang="en-GB" sz="1000">
            <a:effectLst/>
          </a:endParaRPr>
        </a:p>
        <a:p>
          <a:endParaRPr lang="en-GB" sz="1000">
            <a:solidFill>
              <a:schemeClr val="dk1"/>
            </a:solidFill>
            <a:effectLst/>
            <a:latin typeface="+mn-lt"/>
            <a:ea typeface="+mn-ea"/>
            <a:cs typeface="+mn-cs"/>
          </a:endParaRPr>
        </a:p>
        <a:p>
          <a:r>
            <a:rPr lang="en-GB" sz="1000">
              <a:solidFill>
                <a:schemeClr val="dk1"/>
              </a:solidFill>
              <a:effectLst/>
              <a:latin typeface="+mn-lt"/>
              <a:ea typeface="+mn-ea"/>
              <a:cs typeface="+mn-cs"/>
            </a:rPr>
            <a:t>To assess enhancement capex expenditure submitted by companies in their PR19 business plan submissions as pre-defined enhancement capex lines.</a:t>
          </a:r>
        </a:p>
        <a:p>
          <a:endParaRPr lang="en-GB" sz="1000" baseline="0">
            <a:solidFill>
              <a:schemeClr val="dk1"/>
            </a:solidFill>
            <a:effectLst/>
            <a:latin typeface="+mn-lt"/>
            <a:ea typeface="+mn-ea"/>
            <a:cs typeface="+mn-cs"/>
          </a:endParaRPr>
        </a:p>
        <a:p>
          <a:r>
            <a:rPr lang="en-GB" sz="1000" b="1" baseline="0">
              <a:solidFill>
                <a:schemeClr val="dk1"/>
              </a:solidFill>
              <a:effectLst/>
              <a:latin typeface="+mn-lt"/>
              <a:ea typeface="+mn-ea"/>
              <a:cs typeface="+mn-cs"/>
            </a:rPr>
            <a:t>Approach</a:t>
          </a:r>
        </a:p>
        <a:p>
          <a:endParaRPr lang="en-GB" sz="1000" baseline="0">
            <a:solidFill>
              <a:schemeClr val="dk1"/>
            </a:solidFill>
            <a:effectLst/>
            <a:latin typeface="+mn-lt"/>
            <a:ea typeface="+mn-ea"/>
            <a:cs typeface="+mn-cs"/>
          </a:endParaRPr>
        </a:p>
        <a:p>
          <a:pPr rtl="0" fontAlgn="base"/>
          <a:r>
            <a:rPr lang="en-GB" sz="1100" b="0" i="0">
              <a:solidFill>
                <a:schemeClr val="dk1"/>
              </a:solidFill>
              <a:effectLst/>
              <a:latin typeface="+mn-lt"/>
              <a:ea typeface="+mn-ea"/>
              <a:cs typeface="+mn-cs"/>
            </a:rPr>
            <a:t>We assess the investment for this line based on a combination of shallow and deep dives using the materiality of the capex requested and an assessment of the unit cost of each scheme (PE served by the treatment works with new / tightened UV consents) to determine the appropriate level of scrutiny.  Given the availability of PE data and the low number of schemes / solutions within this enhancement category, we incorporate the unit cost assessment to support the need for a deep dive on outlier unit costs. We also reconcile information that has been identified within the companies’ submissions with the list of schemes in the EAs’ WINEP3, March 2018.  </a:t>
          </a:r>
          <a:r>
            <a:rPr lang="en-US" sz="1100" b="0" i="0">
              <a:solidFill>
                <a:schemeClr val="dk1"/>
              </a:solidFill>
              <a:effectLst/>
              <a:latin typeface="+mn-lt"/>
              <a:ea typeface="+mn-ea"/>
              <a:cs typeface="+mn-cs"/>
            </a:rPr>
            <a:t> </a:t>
          </a:r>
          <a:endParaRPr lang="en-US" b="0" i="0">
            <a:effectLst/>
          </a:endParaRPr>
        </a:p>
        <a:p>
          <a:pPr rtl="0" fontAlgn="base"/>
          <a:r>
            <a:rPr lang="en-GB" sz="1100" b="0" i="0">
              <a:solidFill>
                <a:schemeClr val="dk1"/>
              </a:solidFill>
              <a:effectLst/>
              <a:latin typeface="+mn-lt"/>
              <a:ea typeface="+mn-ea"/>
              <a:cs typeface="+mn-cs"/>
            </a:rPr>
            <a:t>We consider the availability and quality of evidence for the deep dives. For claims not considered to be material or outlier unit costs, we apply the company totex efficiency challenge.</a:t>
          </a:r>
          <a:r>
            <a:rPr lang="en-US" sz="1100" b="0" i="0">
              <a:solidFill>
                <a:schemeClr val="dk1"/>
              </a:solidFill>
              <a:effectLst/>
              <a:latin typeface="+mn-lt"/>
              <a:ea typeface="+mn-ea"/>
              <a:cs typeface="+mn-cs"/>
            </a:rPr>
            <a:t> </a:t>
          </a:r>
          <a:endParaRPr lang="en-US" b="0" i="0">
            <a:effectLst/>
          </a:endParaRPr>
        </a:p>
        <a:p>
          <a:endParaRPr lang="en-GB"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1361</xdr:colOff>
      <xdr:row>10</xdr:row>
      <xdr:rowOff>153583</xdr:rowOff>
    </xdr:from>
    <xdr:to>
      <xdr:col>16</xdr:col>
      <xdr:colOff>54428</xdr:colOff>
      <xdr:row>16</xdr:row>
      <xdr:rowOff>289852</xdr:rowOff>
    </xdr:to>
    <xdr:pic>
      <xdr:nvPicPr>
        <xdr:cNvPr id="2" name="Picture 1"/>
        <xdr:cNvPicPr>
          <a:picLocks noChangeAspect="1"/>
        </xdr:cNvPicPr>
      </xdr:nvPicPr>
      <xdr:blipFill>
        <a:blip xmlns:r="http://schemas.openxmlformats.org/officeDocument/2006/relationships" r:embed="rId1"/>
        <a:stretch>
          <a:fillRect/>
        </a:stretch>
      </xdr:blipFill>
      <xdr:spPr>
        <a:xfrm>
          <a:off x="13628915" y="2514422"/>
          <a:ext cx="4774746" cy="17351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756284</xdr:colOff>
      <xdr:row>3</xdr:row>
      <xdr:rowOff>10954</xdr:rowOff>
    </xdr:from>
    <xdr:ext cx="4946809" cy="1571969"/>
    <xdr:sp macro="" textlink="">
      <xdr:nvSpPr>
        <xdr:cNvPr id="4" name="TextBox 3">
          <a:extLst>
            <a:ext uri="{FF2B5EF4-FFF2-40B4-BE49-F238E27FC236}">
              <a16:creationId xmlns="" xmlns:a16="http://schemas.microsoft.com/office/drawing/2014/main" id="{00000000-0008-0000-0400-000005000000}"/>
            </a:ext>
          </a:extLst>
        </xdr:cNvPr>
        <xdr:cNvSpPr txBox="1"/>
      </xdr:nvSpPr>
      <xdr:spPr>
        <a:xfrm>
          <a:off x="4792503" y="814627"/>
          <a:ext cx="4946809" cy="157196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50" b="1"/>
            <a:t>Further arguments</a:t>
          </a:r>
        </a:p>
        <a:p>
          <a:r>
            <a:rPr lang="en-GB" sz="1050" b="0"/>
            <a:t>Although</a:t>
          </a:r>
          <a:r>
            <a:rPr lang="en-GB" sz="1050" b="0" baseline="0"/>
            <a:t> capex requested is relatively small (and lower than our materiality threshold), there is collectively a hi</a:t>
          </a:r>
          <a:r>
            <a:rPr lang="en-GB" sz="1050" b="0"/>
            <a:t>gh unit cost</a:t>
          </a:r>
          <a:r>
            <a:rPr lang="en-GB" sz="1050" b="0" baseline="0"/>
            <a:t> for these 3 schemes.   We are uncertain of the need and solution for Stoke Fleming, as it is listed in WINEP as an investigation, but SWB has priced for new UV plant.  Solution options are not discussed in any supporting documents. </a:t>
          </a:r>
        </a:p>
        <a:p>
          <a:endParaRPr lang="en-GB" sz="1050" b="0" baseline="0"/>
        </a:p>
        <a:p>
          <a:r>
            <a:rPr lang="en-GB" sz="1050" b="1" baseline="0"/>
            <a:t>Overall verdict - Partial pass.  We are making an allowance based on the median unit cost for all 3 schemes (which is based on the PE provided in their table WWn4). </a:t>
          </a:r>
          <a:endParaRPr lang="en-GB" sz="1050" b="1"/>
        </a:p>
      </xdr:txBody>
    </xdr:sp>
    <xdr:clientData/>
  </xdr:oneCellAnchor>
  <xdr:twoCellAnchor editAs="oneCell">
    <xdr:from>
      <xdr:col>7</xdr:col>
      <xdr:colOff>85725</xdr:colOff>
      <xdr:row>16</xdr:row>
      <xdr:rowOff>783171</xdr:rowOff>
    </xdr:from>
    <xdr:to>
      <xdr:col>17</xdr:col>
      <xdr:colOff>93822</xdr:colOff>
      <xdr:row>17</xdr:row>
      <xdr:rowOff>858520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68075" y="6021921"/>
          <a:ext cx="5942172" cy="2418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1768078</xdr:colOff>
      <xdr:row>43</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920478" y="1103542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191588</xdr:colOff>
      <xdr:row>1</xdr:row>
      <xdr:rowOff>194650</xdr:rowOff>
    </xdr:from>
    <xdr:ext cx="7108643" cy="1736373"/>
    <xdr:sp macro="" textlink="">
      <xdr:nvSpPr>
        <xdr:cNvPr id="3" name="TextBox 2">
          <a:extLst>
            <a:ext uri="{FF2B5EF4-FFF2-40B4-BE49-F238E27FC236}">
              <a16:creationId xmlns="" xmlns:a16="http://schemas.microsoft.com/office/drawing/2014/main" id="{00000000-0008-0000-0400-000005000000}"/>
            </a:ext>
          </a:extLst>
        </xdr:cNvPr>
        <xdr:cNvSpPr txBox="1"/>
      </xdr:nvSpPr>
      <xdr:spPr>
        <a:xfrm>
          <a:off x="4192088" y="459989"/>
          <a:ext cx="7108643" cy="173637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50" b="1"/>
            <a:t>Further arguments</a:t>
          </a:r>
          <a:endParaRPr lang="en-GB" sz="105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chemeClr val="dk1"/>
              </a:solidFill>
              <a:effectLst/>
              <a:latin typeface="+mn-lt"/>
              <a:ea typeface="+mn-ea"/>
              <a:cs typeface="+mn-cs"/>
            </a:rPr>
            <a:t>THIS ASSESSMENT IS FOR CORFE CASTLE</a:t>
          </a:r>
          <a:r>
            <a:rPr lang="en-GB" sz="1050" baseline="0">
              <a:solidFill>
                <a:schemeClr val="dk1"/>
              </a:solidFill>
              <a:effectLst/>
              <a:latin typeface="+mn-lt"/>
              <a:ea typeface="+mn-ea"/>
              <a:cs typeface="+mn-cs"/>
            </a:rPr>
            <a:t> ONLY - WEST HUNTSPILL (£13m) IS ASSESSED SEPARATELY DUE TO SCHEME SOLUTION NOT BEING A UV PLANT AND THEREFORE ATYPICAL TO THE REST OF THIS ENHANCEMENT CATEGORY. </a:t>
          </a:r>
          <a:endParaRPr lang="en-GB" sz="105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5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b="0" baseline="0">
              <a:solidFill>
                <a:schemeClr val="dk1"/>
              </a:solidFill>
              <a:effectLst/>
              <a:latin typeface="+mn-lt"/>
              <a:ea typeface="+mn-ea"/>
              <a:cs typeface="+mn-cs"/>
            </a:rPr>
            <a:t>The capex requested is not unfeasible for one scheme, however, the unit cost is high compared with the industry median. We would want to verify the PE reported in WWn4 as WINEP3 provides an estimated PE of 2098 for Corfe Castle.  However, even using our (WINEP3) view of PE, the company unit cost is still very high.  </a:t>
          </a:r>
        </a:p>
        <a:p>
          <a:pPr marL="0" marR="0" lvl="0" indent="0" defTabSz="914400" eaLnBrk="1" fontAlgn="auto" latinLnBrk="0" hangingPunct="1">
            <a:lnSpc>
              <a:spcPct val="100000"/>
            </a:lnSpc>
            <a:spcBef>
              <a:spcPts val="0"/>
            </a:spcBef>
            <a:spcAft>
              <a:spcPts val="0"/>
            </a:spcAft>
            <a:buClrTx/>
            <a:buSzTx/>
            <a:buFontTx/>
            <a:buNone/>
            <a:tabLst/>
            <a:defRPr/>
          </a:pPr>
          <a:endParaRPr lang="en-GB" sz="105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b="1" baseline="0">
              <a:solidFill>
                <a:schemeClr val="dk1"/>
              </a:solidFill>
              <a:effectLst/>
              <a:latin typeface="+mn-lt"/>
              <a:ea typeface="+mn-ea"/>
              <a:cs typeface="+mn-cs"/>
            </a:rPr>
            <a:t>Overall verdict - Partial pass.  We are making an allowance of the median industry unit cost for Corfe Castle based on the PE provided in table WWn4.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175192</xdr:colOff>
      <xdr:row>1</xdr:row>
      <xdr:rowOff>55178</xdr:rowOff>
    </xdr:from>
    <xdr:ext cx="10628879" cy="2065181"/>
    <xdr:sp macro="" textlink="">
      <xdr:nvSpPr>
        <xdr:cNvPr id="3" name="TextBox 2">
          <a:extLst>
            <a:ext uri="{FF2B5EF4-FFF2-40B4-BE49-F238E27FC236}">
              <a16:creationId xmlns="" xmlns:a16="http://schemas.microsoft.com/office/drawing/2014/main" id="{00000000-0008-0000-0400-000005000000}"/>
            </a:ext>
          </a:extLst>
        </xdr:cNvPr>
        <xdr:cNvSpPr txBox="1"/>
      </xdr:nvSpPr>
      <xdr:spPr>
        <a:xfrm>
          <a:off x="4175692" y="320517"/>
          <a:ext cx="10628879" cy="206518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50" b="1"/>
            <a:t>Further arguments</a:t>
          </a:r>
          <a:endParaRPr lang="en-GB" sz="105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b="0" baseline="0">
              <a:solidFill>
                <a:schemeClr val="dk1"/>
              </a:solidFill>
              <a:effectLst/>
              <a:latin typeface="+mn-lt"/>
              <a:ea typeface="+mn-ea"/>
              <a:cs typeface="+mn-cs"/>
            </a:rPr>
            <a:t>This scheme has been treated as a separate deep dive to WSX's other UV scheme, due to the nature of the solution being improvements in other treatment processes rather than the UV plant which other companies have costed.   Capex requested is extremely high for West Huntspill STW as the solution is a new ASP plant to improve the quality of effluent before it reaches the existing old UV plant, rather than building a new UV plant or upgrading the existing plant.</a:t>
          </a:r>
          <a:endParaRPr lang="en-GB" sz="1050"/>
        </a:p>
        <a:p>
          <a:endParaRPr lang="en-GB" sz="1050"/>
        </a:p>
        <a:p>
          <a:r>
            <a:rPr lang="en-GB" sz="1050"/>
            <a:t>We have taken</a:t>
          </a:r>
          <a:r>
            <a:rPr lang="en-GB" sz="1050" baseline="0"/>
            <a:t> out </a:t>
          </a:r>
          <a:r>
            <a:rPr lang="en-GB" sz="1050"/>
            <a:t>£13m from the</a:t>
          </a:r>
          <a:r>
            <a:rPr lang="en-GB" sz="1050" baseline="0"/>
            <a:t> UV disinfection enhancement line unit cost assessment </a:t>
          </a:r>
          <a:r>
            <a:rPr lang="en-GB" sz="1050"/>
            <a:t>for this ASP solution,</a:t>
          </a:r>
          <a:r>
            <a:rPr lang="en-GB" sz="1050" baseline="0"/>
            <a:t> and once deep-dived we will add our allowance back in to WSX's overall UV allowance. </a:t>
          </a:r>
        </a:p>
        <a:p>
          <a:endParaRPr lang="en-GB" sz="1050" baseline="0"/>
        </a:p>
        <a:p>
          <a:r>
            <a:rPr lang="en-GB" sz="1050" b="1" baseline="0"/>
            <a:t>Overall verdict - Partial Pass (borderline fail).  A solution to poor bathing water quality is required under WINEP, with a suggestion that West Huntspill STW treated effluent is a contributing factor, but there is limited evidence that this chosen solution is the best option for customers.  We would want to see the evidence from catchment investigations before accepting the proposed solution. At this stage, we are allowing a small proportion of the requested capex for further investigations and for further analysis / evidence of need, best option and cost efficiency.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16"/>
  <sheetViews>
    <sheetView showGridLines="0" workbookViewId="0"/>
  </sheetViews>
  <sheetFormatPr defaultColWidth="8.6328125" defaultRowHeight="16.5" x14ac:dyDescent="0.5"/>
  <cols>
    <col min="1" max="1" width="1.36328125" style="23" customWidth="1"/>
    <col min="2" max="2" width="11.36328125" style="23" customWidth="1"/>
    <col min="3" max="3" width="100.36328125" style="23" customWidth="1"/>
    <col min="4" max="4" width="18" style="24" customWidth="1"/>
    <col min="5" max="16384" width="8.6328125" style="23"/>
  </cols>
  <sheetData>
    <row r="1" spans="2:4" ht="20.25" customHeight="1" x14ac:dyDescent="0.6">
      <c r="B1" s="21" t="s">
        <v>127</v>
      </c>
      <c r="C1" s="22"/>
      <c r="D1" s="22"/>
    </row>
    <row r="2" spans="2:4" ht="17.25" customHeight="1" x14ac:dyDescent="0.5"/>
    <row r="3" spans="2:4" ht="17.25" customHeight="1" x14ac:dyDescent="0.5"/>
    <row r="4" spans="2:4" ht="17.25" customHeight="1" x14ac:dyDescent="0.5"/>
    <row r="5" spans="2:4" ht="17.25" customHeight="1" x14ac:dyDescent="0.5"/>
    <row r="6" spans="2:4" ht="17.25" customHeight="1" x14ac:dyDescent="0.5"/>
    <row r="7" spans="2:4" ht="17.25" customHeight="1" x14ac:dyDescent="0.5"/>
    <row r="8" spans="2:4" ht="17.25" customHeight="1" x14ac:dyDescent="0.5"/>
    <row r="9" spans="2:4" ht="17.25" customHeight="1" x14ac:dyDescent="0.5"/>
    <row r="10" spans="2:4" ht="17.25" customHeight="1" x14ac:dyDescent="0.5"/>
    <row r="11" spans="2:4" ht="17.25" customHeight="1" x14ac:dyDescent="0.5"/>
    <row r="12" spans="2:4" ht="17.25" customHeight="1" x14ac:dyDescent="0.5"/>
    <row r="13" spans="2:4" ht="17.25" customHeight="1" x14ac:dyDescent="0.5"/>
    <row r="14" spans="2:4" ht="17.25" customHeight="1" x14ac:dyDescent="0.5"/>
    <row r="15" spans="2:4" ht="17.25" customHeight="1" x14ac:dyDescent="0.5"/>
    <row r="16" spans="2:4" ht="17.25" customHeight="1" x14ac:dyDescent="0.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292"/>
  <sheetViews>
    <sheetView showGridLines="0" zoomScale="80" zoomScaleNormal="80" workbookViewId="0">
      <pane xSplit="3" ySplit="5" topLeftCell="D6" activePane="bottomRight" state="frozen"/>
      <selection pane="topRight" activeCell="D1" sqref="D1"/>
      <selection pane="bottomLeft" activeCell="A8" sqref="A8"/>
      <selection pane="bottomRight"/>
    </sheetView>
  </sheetViews>
  <sheetFormatPr defaultColWidth="8.54296875" defaultRowHeight="13" x14ac:dyDescent="0.3"/>
  <cols>
    <col min="1" max="1" width="10.54296875" style="30" customWidth="1"/>
    <col min="2" max="2" width="11.36328125" style="30" customWidth="1"/>
    <col min="3" max="3" width="10.36328125" style="30" customWidth="1"/>
    <col min="4" max="7" width="25.90625" style="6" customWidth="1"/>
    <col min="8" max="16384" width="8.54296875" style="6"/>
  </cols>
  <sheetData>
    <row r="1" spans="1:7" ht="18.5" x14ac:dyDescent="0.3">
      <c r="A1" s="106" t="s">
        <v>151</v>
      </c>
    </row>
    <row r="2" spans="1:7" ht="15.5" x14ac:dyDescent="0.3">
      <c r="A2" s="107" t="s">
        <v>208</v>
      </c>
    </row>
    <row r="3" spans="1:7" x14ac:dyDescent="0.3">
      <c r="A3" s="6"/>
      <c r="B3" s="6"/>
      <c r="C3" s="6"/>
    </row>
    <row r="4" spans="1:7" s="31" customFormat="1" x14ac:dyDescent="0.3">
      <c r="A4" s="6"/>
      <c r="B4" s="6"/>
      <c r="C4" s="6"/>
      <c r="D4" s="109" t="s">
        <v>132</v>
      </c>
      <c r="E4" s="109" t="s">
        <v>133</v>
      </c>
      <c r="F4" s="109" t="s">
        <v>128</v>
      </c>
      <c r="G4" s="109" t="s">
        <v>130</v>
      </c>
    </row>
    <row r="5" spans="1:7" ht="52" x14ac:dyDescent="0.3">
      <c r="A5" s="38" t="s">
        <v>184</v>
      </c>
      <c r="B5" s="38" t="s">
        <v>12</v>
      </c>
      <c r="C5" s="38" t="s">
        <v>185</v>
      </c>
      <c r="D5" s="38" t="s">
        <v>226</v>
      </c>
      <c r="E5" s="38" t="s">
        <v>131</v>
      </c>
      <c r="F5" s="38" t="s">
        <v>189</v>
      </c>
      <c r="G5" s="38" t="s">
        <v>192</v>
      </c>
    </row>
    <row r="6" spans="1:7" x14ac:dyDescent="0.3">
      <c r="A6" s="108" t="str">
        <f t="shared" ref="A6:A42" si="0">B6&amp;RIGHT(C6,2)</f>
        <v>ANH01</v>
      </c>
      <c r="B6" s="20" t="s">
        <v>1</v>
      </c>
      <c r="C6" s="20">
        <v>2001</v>
      </c>
      <c r="D6" s="32" t="s">
        <v>211</v>
      </c>
      <c r="E6" s="32" t="s">
        <v>211</v>
      </c>
      <c r="F6" s="33" t="s">
        <v>211</v>
      </c>
      <c r="G6" s="33" t="s">
        <v>211</v>
      </c>
    </row>
    <row r="7" spans="1:7" x14ac:dyDescent="0.3">
      <c r="A7" s="108" t="str">
        <f t="shared" si="0"/>
        <v>ANH02</v>
      </c>
      <c r="B7" s="20" t="s">
        <v>1</v>
      </c>
      <c r="C7" s="20">
        <v>2002</v>
      </c>
      <c r="D7" s="32" t="s">
        <v>211</v>
      </c>
      <c r="E7" s="32" t="s">
        <v>211</v>
      </c>
      <c r="F7" s="33" t="s">
        <v>211</v>
      </c>
      <c r="G7" s="33" t="s">
        <v>211</v>
      </c>
    </row>
    <row r="8" spans="1:7" x14ac:dyDescent="0.3">
      <c r="A8" s="108" t="str">
        <f t="shared" si="0"/>
        <v>ANH03</v>
      </c>
      <c r="B8" s="20" t="s">
        <v>1</v>
      </c>
      <c r="C8" s="20">
        <v>2003</v>
      </c>
      <c r="D8" s="32" t="s">
        <v>211</v>
      </c>
      <c r="E8" s="32" t="s">
        <v>211</v>
      </c>
      <c r="F8" s="33" t="s">
        <v>211</v>
      </c>
      <c r="G8" s="33" t="s">
        <v>211</v>
      </c>
    </row>
    <row r="9" spans="1:7" x14ac:dyDescent="0.3">
      <c r="A9" s="108" t="str">
        <f t="shared" si="0"/>
        <v>ANH04</v>
      </c>
      <c r="B9" s="20" t="s">
        <v>1</v>
      </c>
      <c r="C9" s="20">
        <v>2004</v>
      </c>
      <c r="D9" s="32" t="s">
        <v>211</v>
      </c>
      <c r="E9" s="32" t="s">
        <v>211</v>
      </c>
      <c r="F9" s="33" t="s">
        <v>211</v>
      </c>
      <c r="G9" s="33" t="s">
        <v>211</v>
      </c>
    </row>
    <row r="10" spans="1:7" x14ac:dyDescent="0.3">
      <c r="A10" s="108" t="str">
        <f t="shared" si="0"/>
        <v>ANH05</v>
      </c>
      <c r="B10" s="20" t="s">
        <v>1</v>
      </c>
      <c r="C10" s="20">
        <v>2005</v>
      </c>
      <c r="D10" s="32" t="s">
        <v>211</v>
      </c>
      <c r="E10" s="32" t="s">
        <v>211</v>
      </c>
      <c r="F10" s="33" t="s">
        <v>211</v>
      </c>
      <c r="G10" s="33" t="s">
        <v>211</v>
      </c>
    </row>
    <row r="11" spans="1:7" x14ac:dyDescent="0.3">
      <c r="A11" s="108" t="str">
        <f t="shared" si="0"/>
        <v>ANH06</v>
      </c>
      <c r="B11" s="20" t="s">
        <v>1</v>
      </c>
      <c r="C11" s="20">
        <v>2006</v>
      </c>
      <c r="D11" s="32" t="s">
        <v>211</v>
      </c>
      <c r="E11" s="32" t="s">
        <v>211</v>
      </c>
      <c r="F11" s="33" t="s">
        <v>211</v>
      </c>
      <c r="G11" s="33" t="s">
        <v>211</v>
      </c>
    </row>
    <row r="12" spans="1:7" x14ac:dyDescent="0.3">
      <c r="A12" s="108" t="str">
        <f t="shared" si="0"/>
        <v>ANH07</v>
      </c>
      <c r="B12" s="20" t="s">
        <v>1</v>
      </c>
      <c r="C12" s="20">
        <v>2007</v>
      </c>
      <c r="D12" s="32" t="s">
        <v>211</v>
      </c>
      <c r="E12" s="32" t="s">
        <v>211</v>
      </c>
      <c r="F12" s="33" t="s">
        <v>211</v>
      </c>
      <c r="G12" s="33" t="s">
        <v>211</v>
      </c>
    </row>
    <row r="13" spans="1:7" x14ac:dyDescent="0.3">
      <c r="A13" s="108" t="str">
        <f t="shared" si="0"/>
        <v>ANH08</v>
      </c>
      <c r="B13" s="20" t="s">
        <v>1</v>
      </c>
      <c r="C13" s="20">
        <v>2008</v>
      </c>
      <c r="D13" s="32" t="s">
        <v>211</v>
      </c>
      <c r="E13" s="32" t="s">
        <v>211</v>
      </c>
      <c r="F13" s="33" t="s">
        <v>211</v>
      </c>
      <c r="G13" s="33" t="s">
        <v>211</v>
      </c>
    </row>
    <row r="14" spans="1:7" x14ac:dyDescent="0.3">
      <c r="A14" s="108" t="str">
        <f t="shared" si="0"/>
        <v>ANH09</v>
      </c>
      <c r="B14" s="20" t="s">
        <v>1</v>
      </c>
      <c r="C14" s="20">
        <v>2009</v>
      </c>
      <c r="D14" s="32" t="s">
        <v>211</v>
      </c>
      <c r="E14" s="32" t="s">
        <v>211</v>
      </c>
      <c r="F14" s="33" t="s">
        <v>211</v>
      </c>
      <c r="G14" s="33" t="s">
        <v>211</v>
      </c>
    </row>
    <row r="15" spans="1:7" x14ac:dyDescent="0.3">
      <c r="A15" s="108" t="str">
        <f t="shared" si="0"/>
        <v>ANH10</v>
      </c>
      <c r="B15" s="20" t="s">
        <v>1</v>
      </c>
      <c r="C15" s="20">
        <v>2010</v>
      </c>
      <c r="D15" s="32" t="s">
        <v>211</v>
      </c>
      <c r="E15" s="32" t="s">
        <v>211</v>
      </c>
      <c r="F15" s="33" t="s">
        <v>211</v>
      </c>
      <c r="G15" s="33" t="s">
        <v>211</v>
      </c>
    </row>
    <row r="16" spans="1:7" x14ac:dyDescent="0.3">
      <c r="A16" s="108" t="str">
        <f t="shared" si="0"/>
        <v>ANH11</v>
      </c>
      <c r="B16" s="20" t="s">
        <v>1</v>
      </c>
      <c r="C16" s="20">
        <v>2011</v>
      </c>
      <c r="D16" s="32" t="s">
        <v>211</v>
      </c>
      <c r="E16" s="32" t="s">
        <v>211</v>
      </c>
      <c r="F16" s="33" t="s">
        <v>211</v>
      </c>
      <c r="G16" s="33" t="s">
        <v>211</v>
      </c>
    </row>
    <row r="17" spans="1:7" x14ac:dyDescent="0.3">
      <c r="A17" s="108" t="str">
        <f t="shared" si="0"/>
        <v>ANH12</v>
      </c>
      <c r="B17" s="20" t="s">
        <v>1</v>
      </c>
      <c r="C17" s="20">
        <v>2012</v>
      </c>
      <c r="D17" s="32">
        <v>3.4295083994575406</v>
      </c>
      <c r="E17" s="32" t="s">
        <v>211</v>
      </c>
      <c r="F17" s="33">
        <v>417.23036937940282</v>
      </c>
      <c r="G17" s="33">
        <v>15</v>
      </c>
    </row>
    <row r="18" spans="1:7" x14ac:dyDescent="0.3">
      <c r="A18" s="108" t="str">
        <f t="shared" si="0"/>
        <v>ANH13</v>
      </c>
      <c r="B18" s="20" t="s">
        <v>1</v>
      </c>
      <c r="C18" s="20">
        <v>2013</v>
      </c>
      <c r="D18" s="32">
        <v>3.037327439880932</v>
      </c>
      <c r="E18" s="32" t="s">
        <v>211</v>
      </c>
      <c r="F18" s="33">
        <v>484.58538061069277</v>
      </c>
      <c r="G18" s="33">
        <v>179.625</v>
      </c>
    </row>
    <row r="19" spans="1:7" x14ac:dyDescent="0.3">
      <c r="A19" s="108" t="str">
        <f t="shared" si="0"/>
        <v>ANH14</v>
      </c>
      <c r="B19" s="20" t="s">
        <v>1</v>
      </c>
      <c r="C19" s="20">
        <v>2014</v>
      </c>
      <c r="D19" s="32">
        <v>1.3463437776791749</v>
      </c>
      <c r="E19" s="32" t="s">
        <v>211</v>
      </c>
      <c r="F19" s="33">
        <v>449.06386939326876</v>
      </c>
      <c r="G19" s="33">
        <v>0</v>
      </c>
    </row>
    <row r="20" spans="1:7" x14ac:dyDescent="0.3">
      <c r="A20" s="108" t="str">
        <f t="shared" si="0"/>
        <v>ANH15</v>
      </c>
      <c r="B20" s="20" t="s">
        <v>1</v>
      </c>
      <c r="C20" s="20">
        <v>2015</v>
      </c>
      <c r="D20" s="32">
        <v>1.5592332404245006</v>
      </c>
      <c r="E20" s="32" t="s">
        <v>211</v>
      </c>
      <c r="F20" s="33">
        <v>463.19510414908859</v>
      </c>
      <c r="G20" s="33">
        <v>0</v>
      </c>
    </row>
    <row r="21" spans="1:7" x14ac:dyDescent="0.3">
      <c r="A21" s="108" t="str">
        <f t="shared" si="0"/>
        <v>ANH16</v>
      </c>
      <c r="B21" s="20" t="s">
        <v>1</v>
      </c>
      <c r="C21" s="20">
        <v>2016</v>
      </c>
      <c r="D21" s="32">
        <v>1.8162839759284024</v>
      </c>
      <c r="E21" s="32" t="s">
        <v>211</v>
      </c>
      <c r="F21" s="33">
        <v>407.04573241162797</v>
      </c>
      <c r="G21" s="33">
        <v>51.259</v>
      </c>
    </row>
    <row r="22" spans="1:7" x14ac:dyDescent="0.3">
      <c r="A22" s="108" t="str">
        <f t="shared" si="0"/>
        <v>ANH17</v>
      </c>
      <c r="B22" s="20" t="s">
        <v>1</v>
      </c>
      <c r="C22" s="20">
        <v>2017</v>
      </c>
      <c r="D22" s="32">
        <v>4.4339931552761582</v>
      </c>
      <c r="E22" s="32" t="s">
        <v>211</v>
      </c>
      <c r="F22" s="33">
        <v>464.71703999737792</v>
      </c>
      <c r="G22" s="33">
        <v>0</v>
      </c>
    </row>
    <row r="23" spans="1:7" x14ac:dyDescent="0.3">
      <c r="A23" s="34" t="s">
        <v>32</v>
      </c>
      <c r="B23" s="35" t="s">
        <v>1</v>
      </c>
      <c r="C23" s="35">
        <v>2018</v>
      </c>
      <c r="D23" s="32">
        <v>0.26272290073296101</v>
      </c>
      <c r="E23" s="32" t="s">
        <v>211</v>
      </c>
      <c r="F23" s="33">
        <v>524.61018517878995</v>
      </c>
      <c r="G23" s="33">
        <v>0</v>
      </c>
    </row>
    <row r="24" spans="1:7" x14ac:dyDescent="0.3">
      <c r="A24" s="34" t="s">
        <v>33</v>
      </c>
      <c r="B24" s="35" t="s">
        <v>1</v>
      </c>
      <c r="C24" s="35">
        <v>2019</v>
      </c>
      <c r="D24" s="32">
        <v>0</v>
      </c>
      <c r="E24" s="32" t="s">
        <v>211</v>
      </c>
      <c r="F24" s="33">
        <v>519.74088801495895</v>
      </c>
      <c r="G24" s="33">
        <v>0</v>
      </c>
    </row>
    <row r="25" spans="1:7" x14ac:dyDescent="0.3">
      <c r="A25" s="34" t="s">
        <v>34</v>
      </c>
      <c r="B25" s="35" t="s">
        <v>1</v>
      </c>
      <c r="C25" s="35">
        <v>2020</v>
      </c>
      <c r="D25" s="32">
        <v>0</v>
      </c>
      <c r="E25" s="32" t="s">
        <v>211</v>
      </c>
      <c r="F25" s="33">
        <v>570.35501611756501</v>
      </c>
      <c r="G25" s="33">
        <v>0</v>
      </c>
    </row>
    <row r="26" spans="1:7" x14ac:dyDescent="0.3">
      <c r="A26" s="34" t="s">
        <v>35</v>
      </c>
      <c r="B26" s="35" t="s">
        <v>1</v>
      </c>
      <c r="C26" s="35">
        <v>2021</v>
      </c>
      <c r="D26" s="32">
        <v>5.7498576726786901</v>
      </c>
      <c r="E26" s="32" t="s">
        <v>211</v>
      </c>
      <c r="F26" s="33">
        <v>551.50375405476098</v>
      </c>
      <c r="G26" s="33">
        <v>36.703000000000003</v>
      </c>
    </row>
    <row r="27" spans="1:7" x14ac:dyDescent="0.3">
      <c r="A27" s="34" t="s">
        <v>36</v>
      </c>
      <c r="B27" s="35" t="s">
        <v>1</v>
      </c>
      <c r="C27" s="35">
        <v>2022</v>
      </c>
      <c r="D27" s="32">
        <v>8.7545807698019598</v>
      </c>
      <c r="E27" s="32" t="s">
        <v>211</v>
      </c>
      <c r="F27" s="33">
        <v>653.12795659695598</v>
      </c>
      <c r="G27" s="33">
        <v>9.8239999999999998</v>
      </c>
    </row>
    <row r="28" spans="1:7" x14ac:dyDescent="0.3">
      <c r="A28" s="34" t="s">
        <v>37</v>
      </c>
      <c r="B28" s="35" t="s">
        <v>1</v>
      </c>
      <c r="C28" s="35">
        <v>2023</v>
      </c>
      <c r="D28" s="32">
        <v>3.16675384957755</v>
      </c>
      <c r="E28" s="32" t="s">
        <v>211</v>
      </c>
      <c r="F28" s="33">
        <v>659.79125581432402</v>
      </c>
      <c r="G28" s="33">
        <v>0</v>
      </c>
    </row>
    <row r="29" spans="1:7" x14ac:dyDescent="0.3">
      <c r="A29" s="34" t="s">
        <v>38</v>
      </c>
      <c r="B29" s="35" t="s">
        <v>1</v>
      </c>
      <c r="C29" s="35">
        <v>2024</v>
      </c>
      <c r="D29" s="32">
        <v>4.64591042763122</v>
      </c>
      <c r="E29" s="32" t="s">
        <v>211</v>
      </c>
      <c r="F29" s="33">
        <v>762.56025220065897</v>
      </c>
      <c r="G29" s="33">
        <v>0</v>
      </c>
    </row>
    <row r="30" spans="1:7" x14ac:dyDescent="0.3">
      <c r="A30" s="34" t="s">
        <v>39</v>
      </c>
      <c r="B30" s="35" t="s">
        <v>1</v>
      </c>
      <c r="C30" s="35">
        <v>2025</v>
      </c>
      <c r="D30" s="32">
        <v>2.58971243155352</v>
      </c>
      <c r="E30" s="32" t="s">
        <v>211</v>
      </c>
      <c r="F30" s="33">
        <v>701.76121450352298</v>
      </c>
      <c r="G30" s="33">
        <v>23.335000000000001</v>
      </c>
    </row>
    <row r="31" spans="1:7" x14ac:dyDescent="0.3">
      <c r="A31" s="108" t="str">
        <f t="shared" si="0"/>
        <v>NES01</v>
      </c>
      <c r="B31" s="20" t="s">
        <v>2</v>
      </c>
      <c r="C31" s="20">
        <v>2001</v>
      </c>
      <c r="D31" s="32" t="s">
        <v>211</v>
      </c>
      <c r="E31" s="32" t="s">
        <v>211</v>
      </c>
      <c r="F31" s="33" t="s">
        <v>211</v>
      </c>
      <c r="G31" s="33" t="s">
        <v>211</v>
      </c>
    </row>
    <row r="32" spans="1:7" x14ac:dyDescent="0.3">
      <c r="A32" s="108" t="str">
        <f t="shared" si="0"/>
        <v>NES02</v>
      </c>
      <c r="B32" s="20" t="s">
        <v>2</v>
      </c>
      <c r="C32" s="20">
        <v>2002</v>
      </c>
      <c r="D32" s="32" t="s">
        <v>211</v>
      </c>
      <c r="E32" s="32" t="s">
        <v>211</v>
      </c>
      <c r="F32" s="33" t="s">
        <v>211</v>
      </c>
      <c r="G32" s="33" t="s">
        <v>211</v>
      </c>
    </row>
    <row r="33" spans="1:7" x14ac:dyDescent="0.3">
      <c r="A33" s="108" t="str">
        <f t="shared" si="0"/>
        <v>NES03</v>
      </c>
      <c r="B33" s="20" t="s">
        <v>2</v>
      </c>
      <c r="C33" s="20">
        <v>2003</v>
      </c>
      <c r="D33" s="32" t="s">
        <v>211</v>
      </c>
      <c r="E33" s="32" t="s">
        <v>211</v>
      </c>
      <c r="F33" s="33" t="s">
        <v>211</v>
      </c>
      <c r="G33" s="33" t="s">
        <v>211</v>
      </c>
    </row>
    <row r="34" spans="1:7" x14ac:dyDescent="0.3">
      <c r="A34" s="108" t="str">
        <f t="shared" si="0"/>
        <v>NES04</v>
      </c>
      <c r="B34" s="20" t="s">
        <v>2</v>
      </c>
      <c r="C34" s="20">
        <v>2004</v>
      </c>
      <c r="D34" s="32" t="s">
        <v>211</v>
      </c>
      <c r="E34" s="32" t="s">
        <v>211</v>
      </c>
      <c r="F34" s="33" t="s">
        <v>211</v>
      </c>
      <c r="G34" s="33" t="s">
        <v>211</v>
      </c>
    </row>
    <row r="35" spans="1:7" x14ac:dyDescent="0.3">
      <c r="A35" s="108" t="str">
        <f t="shared" si="0"/>
        <v>NES05</v>
      </c>
      <c r="B35" s="20" t="s">
        <v>2</v>
      </c>
      <c r="C35" s="20">
        <v>2005</v>
      </c>
      <c r="D35" s="32" t="s">
        <v>211</v>
      </c>
      <c r="E35" s="32" t="s">
        <v>211</v>
      </c>
      <c r="F35" s="33" t="s">
        <v>211</v>
      </c>
      <c r="G35" s="33" t="s">
        <v>211</v>
      </c>
    </row>
    <row r="36" spans="1:7" x14ac:dyDescent="0.3">
      <c r="A36" s="108" t="str">
        <f t="shared" si="0"/>
        <v>NES06</v>
      </c>
      <c r="B36" s="20" t="s">
        <v>2</v>
      </c>
      <c r="C36" s="20">
        <v>2006</v>
      </c>
      <c r="D36" s="32" t="s">
        <v>211</v>
      </c>
      <c r="E36" s="32" t="s">
        <v>211</v>
      </c>
      <c r="F36" s="33" t="s">
        <v>211</v>
      </c>
      <c r="G36" s="33" t="s">
        <v>211</v>
      </c>
    </row>
    <row r="37" spans="1:7" x14ac:dyDescent="0.3">
      <c r="A37" s="108" t="str">
        <f t="shared" si="0"/>
        <v>NES07</v>
      </c>
      <c r="B37" s="20" t="s">
        <v>2</v>
      </c>
      <c r="C37" s="20">
        <v>2007</v>
      </c>
      <c r="D37" s="32" t="s">
        <v>211</v>
      </c>
      <c r="E37" s="32" t="s">
        <v>211</v>
      </c>
      <c r="F37" s="33" t="s">
        <v>211</v>
      </c>
      <c r="G37" s="33" t="s">
        <v>211</v>
      </c>
    </row>
    <row r="38" spans="1:7" x14ac:dyDescent="0.3">
      <c r="A38" s="108" t="str">
        <f t="shared" si="0"/>
        <v>NES08</v>
      </c>
      <c r="B38" s="20" t="s">
        <v>2</v>
      </c>
      <c r="C38" s="20">
        <v>2008</v>
      </c>
      <c r="D38" s="32" t="s">
        <v>211</v>
      </c>
      <c r="E38" s="32" t="s">
        <v>211</v>
      </c>
      <c r="F38" s="33" t="s">
        <v>211</v>
      </c>
      <c r="G38" s="33" t="s">
        <v>211</v>
      </c>
    </row>
    <row r="39" spans="1:7" x14ac:dyDescent="0.3">
      <c r="A39" s="108" t="str">
        <f t="shared" si="0"/>
        <v>NES09</v>
      </c>
      <c r="B39" s="20" t="s">
        <v>2</v>
      </c>
      <c r="C39" s="20">
        <v>2009</v>
      </c>
      <c r="D39" s="32" t="s">
        <v>211</v>
      </c>
      <c r="E39" s="32" t="s">
        <v>211</v>
      </c>
      <c r="F39" s="33" t="s">
        <v>211</v>
      </c>
      <c r="G39" s="33" t="s">
        <v>211</v>
      </c>
    </row>
    <row r="40" spans="1:7" x14ac:dyDescent="0.3">
      <c r="A40" s="108" t="str">
        <f t="shared" si="0"/>
        <v>NES10</v>
      </c>
      <c r="B40" s="20" t="s">
        <v>2</v>
      </c>
      <c r="C40" s="20">
        <v>2010</v>
      </c>
      <c r="D40" s="32" t="s">
        <v>211</v>
      </c>
      <c r="E40" s="32" t="s">
        <v>211</v>
      </c>
      <c r="F40" s="33" t="s">
        <v>211</v>
      </c>
      <c r="G40" s="33" t="s">
        <v>211</v>
      </c>
    </row>
    <row r="41" spans="1:7" x14ac:dyDescent="0.3">
      <c r="A41" s="108" t="str">
        <f t="shared" si="0"/>
        <v>NES11</v>
      </c>
      <c r="B41" s="20" t="s">
        <v>2</v>
      </c>
      <c r="C41" s="20">
        <v>2011</v>
      </c>
      <c r="D41" s="32" t="s">
        <v>211</v>
      </c>
      <c r="E41" s="32" t="s">
        <v>211</v>
      </c>
      <c r="F41" s="33" t="s">
        <v>211</v>
      </c>
      <c r="G41" s="33" t="s">
        <v>211</v>
      </c>
    </row>
    <row r="42" spans="1:7" x14ac:dyDescent="0.3">
      <c r="A42" s="108" t="str">
        <f t="shared" si="0"/>
        <v>NES12</v>
      </c>
      <c r="B42" s="20" t="s">
        <v>2</v>
      </c>
      <c r="C42" s="20">
        <v>2012</v>
      </c>
      <c r="D42" s="32">
        <v>0</v>
      </c>
      <c r="E42" s="32" t="s">
        <v>211</v>
      </c>
      <c r="F42" s="33">
        <v>207.321</v>
      </c>
      <c r="G42" s="33">
        <v>0</v>
      </c>
    </row>
    <row r="43" spans="1:7" x14ac:dyDescent="0.3">
      <c r="A43" s="108" t="str">
        <f>B43&amp;RIGHT(C43,2)</f>
        <v>NES13</v>
      </c>
      <c r="B43" s="20" t="s">
        <v>2</v>
      </c>
      <c r="C43" s="20">
        <v>2013</v>
      </c>
      <c r="D43" s="32">
        <v>0</v>
      </c>
      <c r="E43" s="32" t="s">
        <v>211</v>
      </c>
      <c r="F43" s="33">
        <v>177.28799999999998</v>
      </c>
      <c r="G43" s="33">
        <v>0</v>
      </c>
    </row>
    <row r="44" spans="1:7" x14ac:dyDescent="0.3">
      <c r="A44" s="108" t="str">
        <f>B44&amp;RIGHT(C44,2)</f>
        <v>NES14</v>
      </c>
      <c r="B44" s="20" t="s">
        <v>2</v>
      </c>
      <c r="C44" s="20">
        <v>2014</v>
      </c>
      <c r="D44" s="32">
        <v>0</v>
      </c>
      <c r="E44" s="32" t="s">
        <v>211</v>
      </c>
      <c r="F44" s="33">
        <v>188.78200000000001</v>
      </c>
      <c r="G44" s="33">
        <v>0</v>
      </c>
    </row>
    <row r="45" spans="1:7" x14ac:dyDescent="0.3">
      <c r="A45" s="108" t="str">
        <f>B45&amp;RIGHT(C45,2)</f>
        <v>NES15</v>
      </c>
      <c r="B45" s="20" t="s">
        <v>2</v>
      </c>
      <c r="C45" s="20">
        <v>2015</v>
      </c>
      <c r="D45" s="32">
        <v>0</v>
      </c>
      <c r="E45" s="32" t="s">
        <v>211</v>
      </c>
      <c r="F45" s="33">
        <v>216.16099999999997</v>
      </c>
      <c r="G45" s="33">
        <v>0</v>
      </c>
    </row>
    <row r="46" spans="1:7" x14ac:dyDescent="0.3">
      <c r="A46" s="108" t="str">
        <f>B46&amp;RIGHT(C46,2)</f>
        <v>NES16</v>
      </c>
      <c r="B46" s="20" t="s">
        <v>2</v>
      </c>
      <c r="C46" s="20">
        <v>2016</v>
      </c>
      <c r="D46" s="32">
        <v>0</v>
      </c>
      <c r="E46" s="32" t="s">
        <v>211</v>
      </c>
      <c r="F46" s="33">
        <v>166.10100000000003</v>
      </c>
      <c r="G46" s="33">
        <v>0</v>
      </c>
    </row>
    <row r="47" spans="1:7" x14ac:dyDescent="0.3">
      <c r="A47" s="108" t="str">
        <f>B47&amp;RIGHT(C47,2)</f>
        <v>NES17</v>
      </c>
      <c r="B47" s="20" t="s">
        <v>2</v>
      </c>
      <c r="C47" s="20">
        <v>2017</v>
      </c>
      <c r="D47" s="32">
        <v>0</v>
      </c>
      <c r="E47" s="32" t="s">
        <v>211</v>
      </c>
      <c r="F47" s="33">
        <v>168.74300000000002</v>
      </c>
      <c r="G47" s="33">
        <v>0</v>
      </c>
    </row>
    <row r="48" spans="1:7" x14ac:dyDescent="0.3">
      <c r="A48" s="34" t="s">
        <v>40</v>
      </c>
      <c r="B48" s="35" t="s">
        <v>2</v>
      </c>
      <c r="C48" s="35">
        <v>2018</v>
      </c>
      <c r="D48" s="32">
        <v>0</v>
      </c>
      <c r="E48" s="32" t="s">
        <v>211</v>
      </c>
      <c r="F48" s="33">
        <v>174.43199999999999</v>
      </c>
      <c r="G48" s="33">
        <v>0</v>
      </c>
    </row>
    <row r="49" spans="1:7" x14ac:dyDescent="0.3">
      <c r="A49" s="34" t="s">
        <v>41</v>
      </c>
      <c r="B49" s="35" t="s">
        <v>2</v>
      </c>
      <c r="C49" s="35">
        <v>2019</v>
      </c>
      <c r="D49" s="32">
        <v>0</v>
      </c>
      <c r="E49" s="32" t="s">
        <v>211</v>
      </c>
      <c r="F49" s="33">
        <v>186.17699999999999</v>
      </c>
      <c r="G49" s="33">
        <v>0</v>
      </c>
    </row>
    <row r="50" spans="1:7" x14ac:dyDescent="0.3">
      <c r="A50" s="34" t="s">
        <v>42</v>
      </c>
      <c r="B50" s="35" t="s">
        <v>2</v>
      </c>
      <c r="C50" s="35">
        <v>2020</v>
      </c>
      <c r="D50" s="32">
        <v>0</v>
      </c>
      <c r="E50" s="32" t="s">
        <v>211</v>
      </c>
      <c r="F50" s="33">
        <v>186.56899999999999</v>
      </c>
      <c r="G50" s="33">
        <v>0</v>
      </c>
    </row>
    <row r="51" spans="1:7" x14ac:dyDescent="0.3">
      <c r="A51" s="34" t="s">
        <v>43</v>
      </c>
      <c r="B51" s="35" t="s">
        <v>2</v>
      </c>
      <c r="C51" s="35">
        <v>2021</v>
      </c>
      <c r="D51" s="32">
        <v>0</v>
      </c>
      <c r="E51" s="32" t="s">
        <v>211</v>
      </c>
      <c r="F51" s="33">
        <v>194.71899999999999</v>
      </c>
      <c r="G51" s="33">
        <v>0</v>
      </c>
    </row>
    <row r="52" spans="1:7" x14ac:dyDescent="0.3">
      <c r="A52" s="34" t="s">
        <v>44</v>
      </c>
      <c r="B52" s="35" t="s">
        <v>2</v>
      </c>
      <c r="C52" s="35">
        <v>2022</v>
      </c>
      <c r="D52" s="32">
        <v>0</v>
      </c>
      <c r="E52" s="32" t="s">
        <v>211</v>
      </c>
      <c r="F52" s="33">
        <v>225.87200000000001</v>
      </c>
      <c r="G52" s="33">
        <v>0</v>
      </c>
    </row>
    <row r="53" spans="1:7" x14ac:dyDescent="0.3">
      <c r="A53" s="34" t="s">
        <v>45</v>
      </c>
      <c r="B53" s="35" t="s">
        <v>2</v>
      </c>
      <c r="C53" s="35">
        <v>2023</v>
      </c>
      <c r="D53" s="32">
        <v>0</v>
      </c>
      <c r="E53" s="32" t="s">
        <v>211</v>
      </c>
      <c r="F53" s="33">
        <v>250.01400000000001</v>
      </c>
      <c r="G53" s="33">
        <v>0</v>
      </c>
    </row>
    <row r="54" spans="1:7" x14ac:dyDescent="0.3">
      <c r="A54" s="34" t="s">
        <v>46</v>
      </c>
      <c r="B54" s="35" t="s">
        <v>2</v>
      </c>
      <c r="C54" s="35">
        <v>2024</v>
      </c>
      <c r="D54" s="32">
        <v>0</v>
      </c>
      <c r="E54" s="32" t="s">
        <v>211</v>
      </c>
      <c r="F54" s="33">
        <v>314.52300000000002</v>
      </c>
      <c r="G54" s="33">
        <v>0</v>
      </c>
    </row>
    <row r="55" spans="1:7" x14ac:dyDescent="0.3">
      <c r="A55" s="34" t="s">
        <v>47</v>
      </c>
      <c r="B55" s="35" t="s">
        <v>2</v>
      </c>
      <c r="C55" s="35">
        <v>2025</v>
      </c>
      <c r="D55" s="32">
        <v>0</v>
      </c>
      <c r="E55" s="32" t="s">
        <v>211</v>
      </c>
      <c r="F55" s="33">
        <v>258.24900000000002</v>
      </c>
      <c r="G55" s="33">
        <v>0</v>
      </c>
    </row>
    <row r="56" spans="1:7" x14ac:dyDescent="0.3">
      <c r="A56" s="108" t="str">
        <f t="shared" ref="A56:A67" si="1">B56&amp;RIGHT(C56,2)</f>
        <v>NWT01</v>
      </c>
      <c r="B56" s="20" t="s">
        <v>3</v>
      </c>
      <c r="C56" s="20">
        <v>2001</v>
      </c>
      <c r="D56" s="32" t="s">
        <v>211</v>
      </c>
      <c r="E56" s="32" t="s">
        <v>211</v>
      </c>
      <c r="F56" s="33" t="s">
        <v>211</v>
      </c>
      <c r="G56" s="33" t="s">
        <v>211</v>
      </c>
    </row>
    <row r="57" spans="1:7" x14ac:dyDescent="0.3">
      <c r="A57" s="108" t="str">
        <f t="shared" si="1"/>
        <v>NWT02</v>
      </c>
      <c r="B57" s="20" t="s">
        <v>3</v>
      </c>
      <c r="C57" s="20">
        <v>2002</v>
      </c>
      <c r="D57" s="32" t="s">
        <v>211</v>
      </c>
      <c r="E57" s="32" t="s">
        <v>211</v>
      </c>
      <c r="F57" s="33" t="s">
        <v>211</v>
      </c>
      <c r="G57" s="33" t="s">
        <v>211</v>
      </c>
    </row>
    <row r="58" spans="1:7" x14ac:dyDescent="0.3">
      <c r="A58" s="108" t="str">
        <f t="shared" si="1"/>
        <v>NWT03</v>
      </c>
      <c r="B58" s="20" t="s">
        <v>3</v>
      </c>
      <c r="C58" s="20">
        <v>2003</v>
      </c>
      <c r="D58" s="32" t="s">
        <v>211</v>
      </c>
      <c r="E58" s="32" t="s">
        <v>211</v>
      </c>
      <c r="F58" s="33" t="s">
        <v>211</v>
      </c>
      <c r="G58" s="33" t="s">
        <v>211</v>
      </c>
    </row>
    <row r="59" spans="1:7" x14ac:dyDescent="0.3">
      <c r="A59" s="108" t="str">
        <f t="shared" si="1"/>
        <v>NWT04</v>
      </c>
      <c r="B59" s="20" t="s">
        <v>3</v>
      </c>
      <c r="C59" s="20">
        <v>2004</v>
      </c>
      <c r="D59" s="32" t="s">
        <v>211</v>
      </c>
      <c r="E59" s="32" t="s">
        <v>211</v>
      </c>
      <c r="F59" s="33" t="s">
        <v>211</v>
      </c>
      <c r="G59" s="33" t="s">
        <v>211</v>
      </c>
    </row>
    <row r="60" spans="1:7" x14ac:dyDescent="0.3">
      <c r="A60" s="108" t="str">
        <f t="shared" si="1"/>
        <v>NWT05</v>
      </c>
      <c r="B60" s="20" t="s">
        <v>3</v>
      </c>
      <c r="C60" s="20">
        <v>2005</v>
      </c>
      <c r="D60" s="32" t="s">
        <v>211</v>
      </c>
      <c r="E60" s="32" t="s">
        <v>211</v>
      </c>
      <c r="F60" s="33" t="s">
        <v>211</v>
      </c>
      <c r="G60" s="33" t="s">
        <v>211</v>
      </c>
    </row>
    <row r="61" spans="1:7" x14ac:dyDescent="0.3">
      <c r="A61" s="108" t="str">
        <f t="shared" si="1"/>
        <v>NWT06</v>
      </c>
      <c r="B61" s="20" t="s">
        <v>3</v>
      </c>
      <c r="C61" s="20">
        <v>2006</v>
      </c>
      <c r="D61" s="32" t="s">
        <v>211</v>
      </c>
      <c r="E61" s="32" t="s">
        <v>211</v>
      </c>
      <c r="F61" s="33" t="s">
        <v>211</v>
      </c>
      <c r="G61" s="33" t="s">
        <v>211</v>
      </c>
    </row>
    <row r="62" spans="1:7" x14ac:dyDescent="0.3">
      <c r="A62" s="108" t="str">
        <f t="shared" si="1"/>
        <v>NWT07</v>
      </c>
      <c r="B62" s="20" t="s">
        <v>3</v>
      </c>
      <c r="C62" s="20">
        <v>2007</v>
      </c>
      <c r="D62" s="32" t="s">
        <v>211</v>
      </c>
      <c r="E62" s="32" t="s">
        <v>211</v>
      </c>
      <c r="F62" s="33" t="s">
        <v>211</v>
      </c>
      <c r="G62" s="33" t="s">
        <v>211</v>
      </c>
    </row>
    <row r="63" spans="1:7" x14ac:dyDescent="0.3">
      <c r="A63" s="108" t="str">
        <f t="shared" si="1"/>
        <v>NWT08</v>
      </c>
      <c r="B63" s="20" t="s">
        <v>3</v>
      </c>
      <c r="C63" s="20">
        <v>2008</v>
      </c>
      <c r="D63" s="32" t="s">
        <v>211</v>
      </c>
      <c r="E63" s="32" t="s">
        <v>211</v>
      </c>
      <c r="F63" s="33" t="s">
        <v>211</v>
      </c>
      <c r="G63" s="33" t="s">
        <v>211</v>
      </c>
    </row>
    <row r="64" spans="1:7" x14ac:dyDescent="0.3">
      <c r="A64" s="108" t="str">
        <f t="shared" si="1"/>
        <v>NWT09</v>
      </c>
      <c r="B64" s="20" t="s">
        <v>3</v>
      </c>
      <c r="C64" s="20">
        <v>2009</v>
      </c>
      <c r="D64" s="32" t="s">
        <v>211</v>
      </c>
      <c r="E64" s="32" t="s">
        <v>211</v>
      </c>
      <c r="F64" s="33" t="s">
        <v>211</v>
      </c>
      <c r="G64" s="33" t="s">
        <v>211</v>
      </c>
    </row>
    <row r="65" spans="1:7" x14ac:dyDescent="0.3">
      <c r="A65" s="108" t="str">
        <f t="shared" si="1"/>
        <v>NWT10</v>
      </c>
      <c r="B65" s="20" t="s">
        <v>3</v>
      </c>
      <c r="C65" s="20">
        <v>2010</v>
      </c>
      <c r="D65" s="32" t="s">
        <v>211</v>
      </c>
      <c r="E65" s="32" t="s">
        <v>211</v>
      </c>
      <c r="F65" s="33" t="s">
        <v>211</v>
      </c>
      <c r="G65" s="33" t="s">
        <v>211</v>
      </c>
    </row>
    <row r="66" spans="1:7" x14ac:dyDescent="0.3">
      <c r="A66" s="108" t="str">
        <f t="shared" si="1"/>
        <v>NWT11</v>
      </c>
      <c r="B66" s="20" t="s">
        <v>3</v>
      </c>
      <c r="C66" s="20">
        <v>2011</v>
      </c>
      <c r="D66" s="32" t="s">
        <v>211</v>
      </c>
      <c r="E66" s="32" t="s">
        <v>211</v>
      </c>
      <c r="F66" s="33" t="s">
        <v>211</v>
      </c>
      <c r="G66" s="33" t="s">
        <v>211</v>
      </c>
    </row>
    <row r="67" spans="1:7" x14ac:dyDescent="0.3">
      <c r="A67" s="108" t="str">
        <f t="shared" si="1"/>
        <v>NWT12</v>
      </c>
      <c r="B67" s="20" t="s">
        <v>3</v>
      </c>
      <c r="C67" s="20">
        <v>2012</v>
      </c>
      <c r="D67" s="32">
        <v>0</v>
      </c>
      <c r="E67" s="32" t="s">
        <v>211</v>
      </c>
      <c r="F67" s="33">
        <v>672.33622467192424</v>
      </c>
      <c r="G67" s="33">
        <v>0</v>
      </c>
    </row>
    <row r="68" spans="1:7" x14ac:dyDescent="0.3">
      <c r="A68" s="108" t="str">
        <f>B68&amp;RIGHT(C68,2)</f>
        <v>NWT13</v>
      </c>
      <c r="B68" s="20" t="s">
        <v>3</v>
      </c>
      <c r="C68" s="20">
        <v>2013</v>
      </c>
      <c r="D68" s="32">
        <v>8.7444886971527165</v>
      </c>
      <c r="E68" s="32" t="s">
        <v>211</v>
      </c>
      <c r="F68" s="33">
        <v>714.01920809865612</v>
      </c>
      <c r="G68" s="33">
        <v>303.9598594302891</v>
      </c>
    </row>
    <row r="69" spans="1:7" x14ac:dyDescent="0.3">
      <c r="A69" s="108" t="str">
        <f>B69&amp;RIGHT(C69,2)</f>
        <v>NWT14</v>
      </c>
      <c r="B69" s="20" t="s">
        <v>3</v>
      </c>
      <c r="C69" s="20">
        <v>2014</v>
      </c>
      <c r="D69" s="32">
        <v>2.0371024950777818</v>
      </c>
      <c r="E69" s="32" t="s">
        <v>211</v>
      </c>
      <c r="F69" s="33">
        <v>723.25728479560644</v>
      </c>
      <c r="G69" s="33">
        <v>61.889822098897298</v>
      </c>
    </row>
    <row r="70" spans="1:7" x14ac:dyDescent="0.3">
      <c r="A70" s="108" t="str">
        <f>B70&amp;RIGHT(C70,2)</f>
        <v>NWT15</v>
      </c>
      <c r="B70" s="20" t="s">
        <v>3</v>
      </c>
      <c r="C70" s="20">
        <v>2015</v>
      </c>
      <c r="D70" s="32">
        <v>0.78857812256092263</v>
      </c>
      <c r="E70" s="32" t="s">
        <v>211</v>
      </c>
      <c r="F70" s="33">
        <v>750.84283517758263</v>
      </c>
      <c r="G70" s="33">
        <v>0</v>
      </c>
    </row>
    <row r="71" spans="1:7" x14ac:dyDescent="0.3">
      <c r="A71" s="108" t="str">
        <f>B71&amp;RIGHT(C71,2)</f>
        <v>NWT16</v>
      </c>
      <c r="B71" s="20" t="s">
        <v>3</v>
      </c>
      <c r="C71" s="20">
        <v>2016</v>
      </c>
      <c r="D71" s="32">
        <v>1.1184780012179698</v>
      </c>
      <c r="E71" s="32" t="s">
        <v>211</v>
      </c>
      <c r="F71" s="33">
        <v>701.8841771801641</v>
      </c>
      <c r="G71" s="33">
        <v>0</v>
      </c>
    </row>
    <row r="72" spans="1:7" x14ac:dyDescent="0.3">
      <c r="A72" s="108" t="str">
        <f>B72&amp;RIGHT(C72,2)</f>
        <v>NWT17</v>
      </c>
      <c r="B72" s="20" t="s">
        <v>3</v>
      </c>
      <c r="C72" s="20">
        <v>2017</v>
      </c>
      <c r="D72" s="32">
        <v>0.6848130454782273</v>
      </c>
      <c r="E72" s="32" t="s">
        <v>211</v>
      </c>
      <c r="F72" s="33">
        <v>696.55058774894337</v>
      </c>
      <c r="G72" s="33">
        <v>0</v>
      </c>
    </row>
    <row r="73" spans="1:7" x14ac:dyDescent="0.3">
      <c r="A73" s="34" t="s">
        <v>48</v>
      </c>
      <c r="B73" s="35" t="s">
        <v>3</v>
      </c>
      <c r="C73" s="35">
        <v>2018</v>
      </c>
      <c r="D73" s="32">
        <v>3.2685209228000001</v>
      </c>
      <c r="E73" s="32" t="s">
        <v>211</v>
      </c>
      <c r="F73" s="33">
        <v>711.57839987900195</v>
      </c>
      <c r="G73" s="33">
        <v>65.136364053121895</v>
      </c>
    </row>
    <row r="74" spans="1:7" x14ac:dyDescent="0.3">
      <c r="A74" s="34" t="s">
        <v>49</v>
      </c>
      <c r="B74" s="35" t="s">
        <v>3</v>
      </c>
      <c r="C74" s="35">
        <v>2019</v>
      </c>
      <c r="D74" s="32">
        <v>0.16403128720057578</v>
      </c>
      <c r="E74" s="32" t="s">
        <v>211</v>
      </c>
      <c r="F74" s="33">
        <v>643.676227618702</v>
      </c>
      <c r="G74" s="33">
        <v>0</v>
      </c>
    </row>
    <row r="75" spans="1:7" x14ac:dyDescent="0.3">
      <c r="A75" s="34" t="s">
        <v>50</v>
      </c>
      <c r="B75" s="35" t="s">
        <v>3</v>
      </c>
      <c r="C75" s="35">
        <v>2020</v>
      </c>
      <c r="D75" s="32">
        <v>3.3395368760139265E-3</v>
      </c>
      <c r="E75" s="32" t="s">
        <v>211</v>
      </c>
      <c r="F75" s="33">
        <v>594.45440517874897</v>
      </c>
      <c r="G75" s="33">
        <v>0</v>
      </c>
    </row>
    <row r="76" spans="1:7" x14ac:dyDescent="0.3">
      <c r="A76" s="34" t="s">
        <v>51</v>
      </c>
      <c r="B76" s="35" t="s">
        <v>3</v>
      </c>
      <c r="C76" s="35">
        <v>2021</v>
      </c>
      <c r="D76" s="32">
        <v>8.9244355349217201</v>
      </c>
      <c r="E76" s="32" t="s">
        <v>211</v>
      </c>
      <c r="F76" s="33">
        <v>557.40503234329799</v>
      </c>
      <c r="G76" s="33">
        <v>0</v>
      </c>
    </row>
    <row r="77" spans="1:7" x14ac:dyDescent="0.3">
      <c r="A77" s="34" t="s">
        <v>52</v>
      </c>
      <c r="B77" s="35" t="s">
        <v>3</v>
      </c>
      <c r="C77" s="35">
        <v>2022</v>
      </c>
      <c r="D77" s="32">
        <v>9.5463531352453401</v>
      </c>
      <c r="E77" s="32" t="s">
        <v>211</v>
      </c>
      <c r="F77" s="33">
        <v>584.41680129680901</v>
      </c>
      <c r="G77" s="33">
        <v>0</v>
      </c>
    </row>
    <row r="78" spans="1:7" x14ac:dyDescent="0.3">
      <c r="A78" s="34" t="s">
        <v>53</v>
      </c>
      <c r="B78" s="35" t="s">
        <v>3</v>
      </c>
      <c r="C78" s="35">
        <v>2023</v>
      </c>
      <c r="D78" s="32">
        <v>0.56369976116420095</v>
      </c>
      <c r="E78" s="32" t="s">
        <v>211</v>
      </c>
      <c r="F78" s="33">
        <v>527.23793476313404</v>
      </c>
      <c r="G78" s="33">
        <v>230.08554437612801</v>
      </c>
    </row>
    <row r="79" spans="1:7" x14ac:dyDescent="0.3">
      <c r="A79" s="34" t="s">
        <v>54</v>
      </c>
      <c r="B79" s="35" t="s">
        <v>3</v>
      </c>
      <c r="C79" s="35">
        <v>2024</v>
      </c>
      <c r="D79" s="32">
        <v>6.8397510677865897E-2</v>
      </c>
      <c r="E79" s="32" t="s">
        <v>211</v>
      </c>
      <c r="F79" s="33">
        <v>706.99058633935101</v>
      </c>
      <c r="G79" s="33">
        <v>0</v>
      </c>
    </row>
    <row r="80" spans="1:7" x14ac:dyDescent="0.3">
      <c r="A80" s="34" t="s">
        <v>55</v>
      </c>
      <c r="B80" s="35" t="s">
        <v>3</v>
      </c>
      <c r="C80" s="35">
        <v>2025</v>
      </c>
      <c r="D80" s="32">
        <v>0</v>
      </c>
      <c r="E80" s="32" t="s">
        <v>211</v>
      </c>
      <c r="F80" s="33">
        <v>637.00849885031198</v>
      </c>
      <c r="G80" s="33">
        <v>0</v>
      </c>
    </row>
    <row r="81" spans="1:7" x14ac:dyDescent="0.3">
      <c r="A81" s="108" t="str">
        <f t="shared" ref="A81:A92" si="2">B81&amp;RIGHT(C81,2)</f>
        <v>SRN01</v>
      </c>
      <c r="B81" s="20" t="s">
        <v>4</v>
      </c>
      <c r="C81" s="20">
        <v>2001</v>
      </c>
      <c r="D81" s="32" t="s">
        <v>211</v>
      </c>
      <c r="E81" s="32" t="s">
        <v>211</v>
      </c>
      <c r="F81" s="33" t="s">
        <v>211</v>
      </c>
      <c r="G81" s="33" t="s">
        <v>211</v>
      </c>
    </row>
    <row r="82" spans="1:7" x14ac:dyDescent="0.3">
      <c r="A82" s="108" t="str">
        <f t="shared" si="2"/>
        <v>SRN02</v>
      </c>
      <c r="B82" s="20" t="s">
        <v>4</v>
      </c>
      <c r="C82" s="20">
        <v>2002</v>
      </c>
      <c r="D82" s="32" t="s">
        <v>211</v>
      </c>
      <c r="E82" s="32" t="s">
        <v>211</v>
      </c>
      <c r="F82" s="33" t="s">
        <v>211</v>
      </c>
      <c r="G82" s="33" t="s">
        <v>211</v>
      </c>
    </row>
    <row r="83" spans="1:7" x14ac:dyDescent="0.3">
      <c r="A83" s="108" t="str">
        <f t="shared" si="2"/>
        <v>SRN03</v>
      </c>
      <c r="B83" s="20" t="s">
        <v>4</v>
      </c>
      <c r="C83" s="20">
        <v>2003</v>
      </c>
      <c r="D83" s="32" t="s">
        <v>211</v>
      </c>
      <c r="E83" s="32" t="s">
        <v>211</v>
      </c>
      <c r="F83" s="33" t="s">
        <v>211</v>
      </c>
      <c r="G83" s="33" t="s">
        <v>211</v>
      </c>
    </row>
    <row r="84" spans="1:7" x14ac:dyDescent="0.3">
      <c r="A84" s="108" t="str">
        <f t="shared" si="2"/>
        <v>SRN04</v>
      </c>
      <c r="B84" s="20" t="s">
        <v>4</v>
      </c>
      <c r="C84" s="20">
        <v>2004</v>
      </c>
      <c r="D84" s="32" t="s">
        <v>211</v>
      </c>
      <c r="E84" s="32" t="s">
        <v>211</v>
      </c>
      <c r="F84" s="33" t="s">
        <v>211</v>
      </c>
      <c r="G84" s="33" t="s">
        <v>211</v>
      </c>
    </row>
    <row r="85" spans="1:7" x14ac:dyDescent="0.3">
      <c r="A85" s="108" t="str">
        <f t="shared" si="2"/>
        <v>SRN05</v>
      </c>
      <c r="B85" s="20" t="s">
        <v>4</v>
      </c>
      <c r="C85" s="20">
        <v>2005</v>
      </c>
      <c r="D85" s="32" t="s">
        <v>211</v>
      </c>
      <c r="E85" s="32" t="s">
        <v>211</v>
      </c>
      <c r="F85" s="33" t="s">
        <v>211</v>
      </c>
      <c r="G85" s="33" t="s">
        <v>211</v>
      </c>
    </row>
    <row r="86" spans="1:7" x14ac:dyDescent="0.3">
      <c r="A86" s="108" t="str">
        <f t="shared" si="2"/>
        <v>SRN06</v>
      </c>
      <c r="B86" s="20" t="s">
        <v>4</v>
      </c>
      <c r="C86" s="20">
        <v>2006</v>
      </c>
      <c r="D86" s="32" t="s">
        <v>211</v>
      </c>
      <c r="E86" s="32" t="s">
        <v>211</v>
      </c>
      <c r="F86" s="33" t="s">
        <v>211</v>
      </c>
      <c r="G86" s="33" t="s">
        <v>211</v>
      </c>
    </row>
    <row r="87" spans="1:7" x14ac:dyDescent="0.3">
      <c r="A87" s="108" t="str">
        <f t="shared" si="2"/>
        <v>SRN07</v>
      </c>
      <c r="B87" s="20" t="s">
        <v>4</v>
      </c>
      <c r="C87" s="20">
        <v>2007</v>
      </c>
      <c r="D87" s="32" t="s">
        <v>211</v>
      </c>
      <c r="E87" s="32" t="s">
        <v>211</v>
      </c>
      <c r="F87" s="33" t="s">
        <v>211</v>
      </c>
      <c r="G87" s="33" t="s">
        <v>211</v>
      </c>
    </row>
    <row r="88" spans="1:7" x14ac:dyDescent="0.3">
      <c r="A88" s="108" t="str">
        <f t="shared" si="2"/>
        <v>SRN08</v>
      </c>
      <c r="B88" s="20" t="s">
        <v>4</v>
      </c>
      <c r="C88" s="20">
        <v>2008</v>
      </c>
      <c r="D88" s="32" t="s">
        <v>211</v>
      </c>
      <c r="E88" s="32" t="s">
        <v>211</v>
      </c>
      <c r="F88" s="33" t="s">
        <v>211</v>
      </c>
      <c r="G88" s="33" t="s">
        <v>211</v>
      </c>
    </row>
    <row r="89" spans="1:7" x14ac:dyDescent="0.3">
      <c r="A89" s="108" t="str">
        <f t="shared" si="2"/>
        <v>SRN09</v>
      </c>
      <c r="B89" s="20" t="s">
        <v>4</v>
      </c>
      <c r="C89" s="20">
        <v>2009</v>
      </c>
      <c r="D89" s="32" t="s">
        <v>211</v>
      </c>
      <c r="E89" s="32" t="s">
        <v>211</v>
      </c>
      <c r="F89" s="33" t="s">
        <v>211</v>
      </c>
      <c r="G89" s="33" t="s">
        <v>211</v>
      </c>
    </row>
    <row r="90" spans="1:7" x14ac:dyDescent="0.3">
      <c r="A90" s="108" t="str">
        <f t="shared" si="2"/>
        <v>SRN10</v>
      </c>
      <c r="B90" s="20" t="s">
        <v>4</v>
      </c>
      <c r="C90" s="20">
        <v>2010</v>
      </c>
      <c r="D90" s="32" t="s">
        <v>211</v>
      </c>
      <c r="E90" s="32" t="s">
        <v>211</v>
      </c>
      <c r="F90" s="33" t="s">
        <v>211</v>
      </c>
      <c r="G90" s="33" t="s">
        <v>211</v>
      </c>
    </row>
    <row r="91" spans="1:7" x14ac:dyDescent="0.3">
      <c r="A91" s="108" t="str">
        <f t="shared" si="2"/>
        <v>SRN11</v>
      </c>
      <c r="B91" s="20" t="s">
        <v>4</v>
      </c>
      <c r="C91" s="20">
        <v>2011</v>
      </c>
      <c r="D91" s="32" t="s">
        <v>211</v>
      </c>
      <c r="E91" s="32" t="s">
        <v>211</v>
      </c>
      <c r="F91" s="33" t="s">
        <v>211</v>
      </c>
      <c r="G91" s="33" t="s">
        <v>211</v>
      </c>
    </row>
    <row r="92" spans="1:7" x14ac:dyDescent="0.3">
      <c r="A92" s="108" t="str">
        <f t="shared" si="2"/>
        <v>SRN12</v>
      </c>
      <c r="B92" s="20" t="s">
        <v>4</v>
      </c>
      <c r="C92" s="20">
        <v>2012</v>
      </c>
      <c r="D92" s="32">
        <v>1.8111985508526989</v>
      </c>
      <c r="E92" s="32" t="s">
        <v>211</v>
      </c>
      <c r="F92" s="33">
        <v>402.73982617632771</v>
      </c>
      <c r="G92" s="33">
        <v>0</v>
      </c>
    </row>
    <row r="93" spans="1:7" x14ac:dyDescent="0.3">
      <c r="A93" s="108" t="str">
        <f>B93&amp;RIGHT(C93,2)</f>
        <v>SRN13</v>
      </c>
      <c r="B93" s="20" t="s">
        <v>4</v>
      </c>
      <c r="C93" s="20">
        <v>2013</v>
      </c>
      <c r="D93" s="32">
        <v>3.9395518550474544</v>
      </c>
      <c r="E93" s="32" t="s">
        <v>211</v>
      </c>
      <c r="F93" s="33">
        <v>385.0138364900447</v>
      </c>
      <c r="G93" s="33">
        <v>288.09399999999999</v>
      </c>
    </row>
    <row r="94" spans="1:7" x14ac:dyDescent="0.3">
      <c r="A94" s="108" t="str">
        <f>B94&amp;RIGHT(C94,2)</f>
        <v>SRN14</v>
      </c>
      <c r="B94" s="20" t="s">
        <v>4</v>
      </c>
      <c r="C94" s="20">
        <v>2014</v>
      </c>
      <c r="D94" s="32">
        <v>9.7240703177822824E-2</v>
      </c>
      <c r="E94" s="32" t="s">
        <v>211</v>
      </c>
      <c r="F94" s="33">
        <v>434.381225417618</v>
      </c>
      <c r="G94" s="33">
        <v>0</v>
      </c>
    </row>
    <row r="95" spans="1:7" x14ac:dyDescent="0.3">
      <c r="A95" s="108" t="str">
        <f>B95&amp;RIGHT(C95,2)</f>
        <v>SRN15</v>
      </c>
      <c r="B95" s="20" t="s">
        <v>4</v>
      </c>
      <c r="C95" s="20">
        <v>2015</v>
      </c>
      <c r="D95" s="32">
        <v>-0.48071864293473726</v>
      </c>
      <c r="E95" s="32" t="s">
        <v>211</v>
      </c>
      <c r="F95" s="33">
        <v>337.27662635632777</v>
      </c>
      <c r="G95" s="33">
        <v>0</v>
      </c>
    </row>
    <row r="96" spans="1:7" x14ac:dyDescent="0.3">
      <c r="A96" s="108" t="str">
        <f>B96&amp;RIGHT(C96,2)</f>
        <v>SRN16</v>
      </c>
      <c r="B96" s="20" t="s">
        <v>4</v>
      </c>
      <c r="C96" s="20">
        <v>2016</v>
      </c>
      <c r="D96" s="32">
        <v>0</v>
      </c>
      <c r="E96" s="32" t="s">
        <v>211</v>
      </c>
      <c r="F96" s="33">
        <v>321.40645835999999</v>
      </c>
      <c r="G96" s="33">
        <v>0</v>
      </c>
    </row>
    <row r="97" spans="1:7" x14ac:dyDescent="0.3">
      <c r="A97" s="108" t="str">
        <f t="shared" ref="A97:A117" si="3">B97&amp;RIGHT(C97,2)</f>
        <v>SRN17</v>
      </c>
      <c r="B97" s="20" t="s">
        <v>4</v>
      </c>
      <c r="C97" s="20">
        <v>2017</v>
      </c>
      <c r="D97" s="32">
        <v>0</v>
      </c>
      <c r="E97" s="32" t="s">
        <v>211</v>
      </c>
      <c r="F97" s="33">
        <v>371.78603834999996</v>
      </c>
      <c r="G97" s="33">
        <v>0</v>
      </c>
    </row>
    <row r="98" spans="1:7" x14ac:dyDescent="0.3">
      <c r="A98" s="34" t="s">
        <v>56</v>
      </c>
      <c r="B98" s="35" t="s">
        <v>4</v>
      </c>
      <c r="C98" s="35">
        <v>2018</v>
      </c>
      <c r="D98" s="32">
        <v>0</v>
      </c>
      <c r="E98" s="32" t="s">
        <v>211</v>
      </c>
      <c r="F98" s="33">
        <v>424.745</v>
      </c>
      <c r="G98" s="33">
        <v>0</v>
      </c>
    </row>
    <row r="99" spans="1:7" x14ac:dyDescent="0.3">
      <c r="A99" s="34" t="s">
        <v>57</v>
      </c>
      <c r="B99" s="35" t="s">
        <v>4</v>
      </c>
      <c r="C99" s="35">
        <v>2019</v>
      </c>
      <c r="D99" s="32">
        <v>0</v>
      </c>
      <c r="E99" s="32" t="s">
        <v>211</v>
      </c>
      <c r="F99" s="33">
        <v>526.01800000000003</v>
      </c>
      <c r="G99" s="33">
        <v>0</v>
      </c>
    </row>
    <row r="100" spans="1:7" x14ac:dyDescent="0.3">
      <c r="A100" s="34" t="s">
        <v>58</v>
      </c>
      <c r="B100" s="35" t="s">
        <v>4</v>
      </c>
      <c r="C100" s="35">
        <v>2020</v>
      </c>
      <c r="D100" s="32">
        <v>0</v>
      </c>
      <c r="E100" s="32" t="s">
        <v>211</v>
      </c>
      <c r="F100" s="33">
        <v>430.14800000000002</v>
      </c>
      <c r="G100" s="33">
        <v>0</v>
      </c>
    </row>
    <row r="101" spans="1:7" x14ac:dyDescent="0.3">
      <c r="A101" s="34" t="s">
        <v>59</v>
      </c>
      <c r="B101" s="35" t="s">
        <v>4</v>
      </c>
      <c r="C101" s="35">
        <v>2021</v>
      </c>
      <c r="D101" s="32">
        <v>2.61</v>
      </c>
      <c r="E101" s="32" t="s">
        <v>211</v>
      </c>
      <c r="F101" s="33">
        <v>462.08100000000002</v>
      </c>
      <c r="G101" s="33">
        <v>0</v>
      </c>
    </row>
    <row r="102" spans="1:7" x14ac:dyDescent="0.3">
      <c r="A102" s="34" t="s">
        <v>60</v>
      </c>
      <c r="B102" s="35" t="s">
        <v>4</v>
      </c>
      <c r="C102" s="35">
        <v>2022</v>
      </c>
      <c r="D102" s="32">
        <v>6.2640000000000002</v>
      </c>
      <c r="E102" s="32" t="s">
        <v>211</v>
      </c>
      <c r="F102" s="33">
        <v>610.50400000000002</v>
      </c>
      <c r="G102" s="33">
        <v>204.59800000000001</v>
      </c>
    </row>
    <row r="103" spans="1:7" x14ac:dyDescent="0.3">
      <c r="A103" s="34" t="s">
        <v>61</v>
      </c>
      <c r="B103" s="35" t="s">
        <v>4</v>
      </c>
      <c r="C103" s="35">
        <v>2023</v>
      </c>
      <c r="D103" s="32">
        <v>4.1760000000000002</v>
      </c>
      <c r="E103" s="32" t="s">
        <v>211</v>
      </c>
      <c r="F103" s="33">
        <v>633.11300000000006</v>
      </c>
      <c r="G103" s="33">
        <v>0</v>
      </c>
    </row>
    <row r="104" spans="1:7" x14ac:dyDescent="0.3">
      <c r="A104" s="34" t="s">
        <v>62</v>
      </c>
      <c r="B104" s="35" t="s">
        <v>4</v>
      </c>
      <c r="C104" s="35">
        <v>2024</v>
      </c>
      <c r="D104" s="32">
        <v>0</v>
      </c>
      <c r="E104" s="32" t="s">
        <v>211</v>
      </c>
      <c r="F104" s="33">
        <v>495.7</v>
      </c>
      <c r="G104" s="33">
        <v>0</v>
      </c>
    </row>
    <row r="105" spans="1:7" x14ac:dyDescent="0.3">
      <c r="A105" s="34" t="s">
        <v>63</v>
      </c>
      <c r="B105" s="35" t="s">
        <v>4</v>
      </c>
      <c r="C105" s="35">
        <v>2025</v>
      </c>
      <c r="D105" s="32">
        <v>0</v>
      </c>
      <c r="E105" s="32" t="s">
        <v>211</v>
      </c>
      <c r="F105" s="33">
        <v>408.06400000000002</v>
      </c>
      <c r="G105" s="33">
        <v>0</v>
      </c>
    </row>
    <row r="106" spans="1:7" x14ac:dyDescent="0.3">
      <c r="A106" s="108" t="str">
        <f t="shared" si="3"/>
        <v>SVT01</v>
      </c>
      <c r="B106" s="20" t="s">
        <v>5</v>
      </c>
      <c r="C106" s="20">
        <v>2001</v>
      </c>
      <c r="D106" s="32" t="s">
        <v>211</v>
      </c>
      <c r="E106" s="32" t="s">
        <v>211</v>
      </c>
      <c r="F106" s="33" t="s">
        <v>211</v>
      </c>
      <c r="G106" s="33" t="s">
        <v>211</v>
      </c>
    </row>
    <row r="107" spans="1:7" x14ac:dyDescent="0.3">
      <c r="A107" s="108" t="str">
        <f t="shared" si="3"/>
        <v>SVT02</v>
      </c>
      <c r="B107" s="20" t="s">
        <v>5</v>
      </c>
      <c r="C107" s="20">
        <v>2002</v>
      </c>
      <c r="D107" s="32" t="s">
        <v>211</v>
      </c>
      <c r="E107" s="32" t="s">
        <v>211</v>
      </c>
      <c r="F107" s="33" t="s">
        <v>211</v>
      </c>
      <c r="G107" s="33" t="s">
        <v>211</v>
      </c>
    </row>
    <row r="108" spans="1:7" x14ac:dyDescent="0.3">
      <c r="A108" s="108" t="str">
        <f t="shared" si="3"/>
        <v>SVT03</v>
      </c>
      <c r="B108" s="20" t="s">
        <v>5</v>
      </c>
      <c r="C108" s="20">
        <v>2003</v>
      </c>
      <c r="D108" s="32" t="s">
        <v>211</v>
      </c>
      <c r="E108" s="32" t="s">
        <v>211</v>
      </c>
      <c r="F108" s="33" t="s">
        <v>211</v>
      </c>
      <c r="G108" s="33" t="s">
        <v>211</v>
      </c>
    </row>
    <row r="109" spans="1:7" x14ac:dyDescent="0.3">
      <c r="A109" s="108" t="str">
        <f t="shared" si="3"/>
        <v>SVT04</v>
      </c>
      <c r="B109" s="20" t="s">
        <v>5</v>
      </c>
      <c r="C109" s="20">
        <v>2004</v>
      </c>
      <c r="D109" s="32" t="s">
        <v>211</v>
      </c>
      <c r="E109" s="32" t="s">
        <v>211</v>
      </c>
      <c r="F109" s="33" t="s">
        <v>211</v>
      </c>
      <c r="G109" s="33" t="s">
        <v>211</v>
      </c>
    </row>
    <row r="110" spans="1:7" x14ac:dyDescent="0.3">
      <c r="A110" s="108" t="str">
        <f t="shared" si="3"/>
        <v>SVT05</v>
      </c>
      <c r="B110" s="20" t="s">
        <v>5</v>
      </c>
      <c r="C110" s="20">
        <v>2005</v>
      </c>
      <c r="D110" s="32" t="s">
        <v>211</v>
      </c>
      <c r="E110" s="32" t="s">
        <v>211</v>
      </c>
      <c r="F110" s="33" t="s">
        <v>211</v>
      </c>
      <c r="G110" s="33" t="s">
        <v>211</v>
      </c>
    </row>
    <row r="111" spans="1:7" x14ac:dyDescent="0.3">
      <c r="A111" s="108" t="str">
        <f t="shared" si="3"/>
        <v>SVT06</v>
      </c>
      <c r="B111" s="20" t="s">
        <v>5</v>
      </c>
      <c r="C111" s="20">
        <v>2006</v>
      </c>
      <c r="D111" s="32" t="s">
        <v>211</v>
      </c>
      <c r="E111" s="32" t="s">
        <v>211</v>
      </c>
      <c r="F111" s="33" t="s">
        <v>211</v>
      </c>
      <c r="G111" s="33" t="s">
        <v>211</v>
      </c>
    </row>
    <row r="112" spans="1:7" x14ac:dyDescent="0.3">
      <c r="A112" s="108" t="str">
        <f t="shared" si="3"/>
        <v>SVT07</v>
      </c>
      <c r="B112" s="20" t="s">
        <v>5</v>
      </c>
      <c r="C112" s="20">
        <v>2007</v>
      </c>
      <c r="D112" s="32" t="s">
        <v>211</v>
      </c>
      <c r="E112" s="32" t="s">
        <v>211</v>
      </c>
      <c r="F112" s="33" t="s">
        <v>211</v>
      </c>
      <c r="G112" s="33" t="s">
        <v>211</v>
      </c>
    </row>
    <row r="113" spans="1:7" x14ac:dyDescent="0.3">
      <c r="A113" s="108" t="str">
        <f t="shared" si="3"/>
        <v>SVT08</v>
      </c>
      <c r="B113" s="20" t="s">
        <v>5</v>
      </c>
      <c r="C113" s="20">
        <v>2008</v>
      </c>
      <c r="D113" s="32" t="s">
        <v>211</v>
      </c>
      <c r="E113" s="32" t="s">
        <v>211</v>
      </c>
      <c r="F113" s="33" t="s">
        <v>211</v>
      </c>
      <c r="G113" s="33" t="s">
        <v>211</v>
      </c>
    </row>
    <row r="114" spans="1:7" x14ac:dyDescent="0.3">
      <c r="A114" s="108" t="str">
        <f t="shared" si="3"/>
        <v>SVT09</v>
      </c>
      <c r="B114" s="20" t="s">
        <v>5</v>
      </c>
      <c r="C114" s="20">
        <v>2009</v>
      </c>
      <c r="D114" s="32" t="s">
        <v>211</v>
      </c>
      <c r="E114" s="32" t="s">
        <v>211</v>
      </c>
      <c r="F114" s="33" t="s">
        <v>211</v>
      </c>
      <c r="G114" s="33" t="s">
        <v>211</v>
      </c>
    </row>
    <row r="115" spans="1:7" x14ac:dyDescent="0.3">
      <c r="A115" s="108" t="str">
        <f t="shared" si="3"/>
        <v>SVT10</v>
      </c>
      <c r="B115" s="20" t="s">
        <v>5</v>
      </c>
      <c r="C115" s="20">
        <v>2010</v>
      </c>
      <c r="D115" s="32" t="s">
        <v>211</v>
      </c>
      <c r="E115" s="32" t="s">
        <v>211</v>
      </c>
      <c r="F115" s="33" t="s">
        <v>211</v>
      </c>
      <c r="G115" s="33" t="s">
        <v>211</v>
      </c>
    </row>
    <row r="116" spans="1:7" x14ac:dyDescent="0.3">
      <c r="A116" s="108" t="str">
        <f t="shared" si="3"/>
        <v>SVT11</v>
      </c>
      <c r="B116" s="20" t="s">
        <v>5</v>
      </c>
      <c r="C116" s="20">
        <v>2011</v>
      </c>
      <c r="D116" s="32" t="s">
        <v>211</v>
      </c>
      <c r="E116" s="32" t="s">
        <v>211</v>
      </c>
      <c r="F116" s="33" t="s">
        <v>211</v>
      </c>
      <c r="G116" s="33" t="s">
        <v>211</v>
      </c>
    </row>
    <row r="117" spans="1:7" x14ac:dyDescent="0.3">
      <c r="A117" s="108" t="str">
        <f t="shared" si="3"/>
        <v>SVT12</v>
      </c>
      <c r="B117" s="20" t="s">
        <v>5</v>
      </c>
      <c r="C117" s="20">
        <v>2012</v>
      </c>
      <c r="D117" s="32">
        <v>0</v>
      </c>
      <c r="E117" s="32" t="s">
        <v>211</v>
      </c>
      <c r="F117" s="33">
        <v>457.17854375520113</v>
      </c>
      <c r="G117" s="33">
        <v>0</v>
      </c>
    </row>
    <row r="118" spans="1:7" x14ac:dyDescent="0.3">
      <c r="A118" s="108" t="str">
        <f>B118&amp;RIGHT(C118,2)</f>
        <v>SVT13</v>
      </c>
      <c r="B118" s="20" t="s">
        <v>5</v>
      </c>
      <c r="C118" s="20">
        <v>2013</v>
      </c>
      <c r="D118" s="32">
        <v>0</v>
      </c>
      <c r="E118" s="32" t="s">
        <v>211</v>
      </c>
      <c r="F118" s="33">
        <v>511.18159734522891</v>
      </c>
      <c r="G118" s="33">
        <v>0</v>
      </c>
    </row>
    <row r="119" spans="1:7" x14ac:dyDescent="0.3">
      <c r="A119" s="108" t="str">
        <f>B119&amp;RIGHT(C119,2)</f>
        <v>SVT14</v>
      </c>
      <c r="B119" s="20" t="s">
        <v>5</v>
      </c>
      <c r="C119" s="20">
        <v>2014</v>
      </c>
      <c r="D119" s="32">
        <v>0</v>
      </c>
      <c r="E119" s="32" t="s">
        <v>211</v>
      </c>
      <c r="F119" s="33">
        <v>558.42072572612813</v>
      </c>
      <c r="G119" s="33">
        <v>0</v>
      </c>
    </row>
    <row r="120" spans="1:7" x14ac:dyDescent="0.3">
      <c r="A120" s="108" t="str">
        <f>B120&amp;RIGHT(C120,2)</f>
        <v>SVT15</v>
      </c>
      <c r="B120" s="20" t="s">
        <v>5</v>
      </c>
      <c r="C120" s="20">
        <v>2015</v>
      </c>
      <c r="D120" s="32">
        <v>0</v>
      </c>
      <c r="E120" s="32" t="s">
        <v>211</v>
      </c>
      <c r="F120" s="33">
        <v>511.60293809074346</v>
      </c>
      <c r="G120" s="33">
        <v>0</v>
      </c>
    </row>
    <row r="121" spans="1:7" x14ac:dyDescent="0.3">
      <c r="A121" s="108" t="str">
        <f>B121&amp;RIGHT(C121,2)</f>
        <v>SVT16</v>
      </c>
      <c r="B121" s="20" t="s">
        <v>5</v>
      </c>
      <c r="C121" s="20">
        <v>2016</v>
      </c>
      <c r="D121" s="32">
        <v>0</v>
      </c>
      <c r="E121" s="32" t="s">
        <v>211</v>
      </c>
      <c r="F121" s="33">
        <v>465.97119391385331</v>
      </c>
      <c r="G121" s="33">
        <v>0</v>
      </c>
    </row>
    <row r="122" spans="1:7" x14ac:dyDescent="0.3">
      <c r="A122" s="108" t="str">
        <f t="shared" ref="A122:A176" si="4">B122&amp;RIGHT(C122,2)</f>
        <v>SVT17</v>
      </c>
      <c r="B122" s="20" t="s">
        <v>5</v>
      </c>
      <c r="C122" s="20">
        <v>2017</v>
      </c>
      <c r="D122" s="32">
        <v>0</v>
      </c>
      <c r="E122" s="32" t="s">
        <v>211</v>
      </c>
      <c r="F122" s="33">
        <v>493.92878555107922</v>
      </c>
      <c r="G122" s="33">
        <v>0</v>
      </c>
    </row>
    <row r="123" spans="1:7" x14ac:dyDescent="0.3">
      <c r="A123" s="34" t="s">
        <v>64</v>
      </c>
      <c r="B123" s="35" t="s">
        <v>5</v>
      </c>
      <c r="C123" s="35">
        <v>2018</v>
      </c>
      <c r="D123" s="32">
        <v>0</v>
      </c>
      <c r="E123" s="32" t="s">
        <v>211</v>
      </c>
      <c r="F123" s="33">
        <v>551.12</v>
      </c>
      <c r="G123" s="33">
        <v>0</v>
      </c>
    </row>
    <row r="124" spans="1:7" x14ac:dyDescent="0.3">
      <c r="A124" s="34" t="s">
        <v>65</v>
      </c>
      <c r="B124" s="35" t="s">
        <v>5</v>
      </c>
      <c r="C124" s="35">
        <v>2019</v>
      </c>
      <c r="D124" s="32">
        <v>0</v>
      </c>
      <c r="E124" s="32" t="s">
        <v>211</v>
      </c>
      <c r="F124" s="33">
        <v>0</v>
      </c>
      <c r="G124" s="33">
        <v>0</v>
      </c>
    </row>
    <row r="125" spans="1:7" x14ac:dyDescent="0.3">
      <c r="A125" s="34" t="s">
        <v>66</v>
      </c>
      <c r="B125" s="35" t="s">
        <v>5</v>
      </c>
      <c r="C125" s="35">
        <v>2020</v>
      </c>
      <c r="D125" s="32">
        <v>0</v>
      </c>
      <c r="E125" s="32" t="s">
        <v>211</v>
      </c>
      <c r="F125" s="33">
        <v>0</v>
      </c>
      <c r="G125" s="33">
        <v>0</v>
      </c>
    </row>
    <row r="126" spans="1:7" x14ac:dyDescent="0.3">
      <c r="A126" s="34" t="s">
        <v>67</v>
      </c>
      <c r="B126" s="35" t="s">
        <v>5</v>
      </c>
      <c r="C126" s="35">
        <v>2021</v>
      </c>
      <c r="D126" s="32">
        <v>0</v>
      </c>
      <c r="E126" s="32" t="s">
        <v>211</v>
      </c>
      <c r="F126" s="33">
        <v>0</v>
      </c>
      <c r="G126" s="33">
        <v>0</v>
      </c>
    </row>
    <row r="127" spans="1:7" x14ac:dyDescent="0.3">
      <c r="A127" s="34" t="s">
        <v>68</v>
      </c>
      <c r="B127" s="35" t="s">
        <v>5</v>
      </c>
      <c r="C127" s="35">
        <v>2022</v>
      </c>
      <c r="D127" s="32">
        <v>0</v>
      </c>
      <c r="E127" s="32" t="s">
        <v>211</v>
      </c>
      <c r="F127" s="33">
        <v>0</v>
      </c>
      <c r="G127" s="33">
        <v>0</v>
      </c>
    </row>
    <row r="128" spans="1:7" x14ac:dyDescent="0.3">
      <c r="A128" s="34" t="s">
        <v>69</v>
      </c>
      <c r="B128" s="35" t="s">
        <v>5</v>
      </c>
      <c r="C128" s="35">
        <v>2023</v>
      </c>
      <c r="D128" s="32">
        <v>0</v>
      </c>
      <c r="E128" s="32" t="s">
        <v>211</v>
      </c>
      <c r="F128" s="33">
        <v>0</v>
      </c>
      <c r="G128" s="33">
        <v>0</v>
      </c>
    </row>
    <row r="129" spans="1:7" x14ac:dyDescent="0.3">
      <c r="A129" s="34" t="s">
        <v>70</v>
      </c>
      <c r="B129" s="35" t="s">
        <v>5</v>
      </c>
      <c r="C129" s="35">
        <v>2024</v>
      </c>
      <c r="D129" s="32">
        <v>0</v>
      </c>
      <c r="E129" s="32" t="s">
        <v>211</v>
      </c>
      <c r="F129" s="33">
        <v>0</v>
      </c>
      <c r="G129" s="33">
        <v>0</v>
      </c>
    </row>
    <row r="130" spans="1:7" x14ac:dyDescent="0.3">
      <c r="A130" s="34" t="s">
        <v>71</v>
      </c>
      <c r="B130" s="35" t="s">
        <v>5</v>
      </c>
      <c r="C130" s="35">
        <v>2025</v>
      </c>
      <c r="D130" s="32">
        <v>0</v>
      </c>
      <c r="E130" s="32" t="s">
        <v>211</v>
      </c>
      <c r="F130" s="33">
        <v>0</v>
      </c>
      <c r="G130" s="33">
        <v>0</v>
      </c>
    </row>
    <row r="131" spans="1:7" x14ac:dyDescent="0.3">
      <c r="A131" s="108" t="str">
        <f t="shared" si="4"/>
        <v>SWT01</v>
      </c>
      <c r="B131" s="20" t="s">
        <v>6</v>
      </c>
      <c r="C131" s="20">
        <v>2001</v>
      </c>
      <c r="D131" s="32" t="s">
        <v>211</v>
      </c>
      <c r="E131" s="32" t="s">
        <v>211</v>
      </c>
      <c r="F131" s="33" t="s">
        <v>211</v>
      </c>
      <c r="G131" s="33" t="s">
        <v>211</v>
      </c>
    </row>
    <row r="132" spans="1:7" x14ac:dyDescent="0.3">
      <c r="A132" s="108" t="str">
        <f t="shared" si="4"/>
        <v>SWT02</v>
      </c>
      <c r="B132" s="20" t="s">
        <v>6</v>
      </c>
      <c r="C132" s="20">
        <v>2002</v>
      </c>
      <c r="D132" s="32" t="s">
        <v>211</v>
      </c>
      <c r="E132" s="32" t="s">
        <v>211</v>
      </c>
      <c r="F132" s="33" t="s">
        <v>211</v>
      </c>
      <c r="G132" s="33" t="s">
        <v>211</v>
      </c>
    </row>
    <row r="133" spans="1:7" x14ac:dyDescent="0.3">
      <c r="A133" s="108" t="str">
        <f t="shared" si="4"/>
        <v>SWT03</v>
      </c>
      <c r="B133" s="20" t="s">
        <v>6</v>
      </c>
      <c r="C133" s="20">
        <v>2003</v>
      </c>
      <c r="D133" s="32" t="s">
        <v>211</v>
      </c>
      <c r="E133" s="32" t="s">
        <v>211</v>
      </c>
      <c r="F133" s="33" t="s">
        <v>211</v>
      </c>
      <c r="G133" s="33" t="s">
        <v>211</v>
      </c>
    </row>
    <row r="134" spans="1:7" x14ac:dyDescent="0.3">
      <c r="A134" s="108" t="str">
        <f t="shared" si="4"/>
        <v>SWT04</v>
      </c>
      <c r="B134" s="20" t="s">
        <v>6</v>
      </c>
      <c r="C134" s="20">
        <v>2004</v>
      </c>
      <c r="D134" s="32" t="s">
        <v>211</v>
      </c>
      <c r="E134" s="32" t="s">
        <v>211</v>
      </c>
      <c r="F134" s="33" t="s">
        <v>211</v>
      </c>
      <c r="G134" s="33" t="s">
        <v>211</v>
      </c>
    </row>
    <row r="135" spans="1:7" x14ac:dyDescent="0.3">
      <c r="A135" s="108" t="str">
        <f t="shared" si="4"/>
        <v>SWT05</v>
      </c>
      <c r="B135" s="20" t="s">
        <v>6</v>
      </c>
      <c r="C135" s="20">
        <v>2005</v>
      </c>
      <c r="D135" s="32" t="s">
        <v>211</v>
      </c>
      <c r="E135" s="32" t="s">
        <v>211</v>
      </c>
      <c r="F135" s="33" t="s">
        <v>211</v>
      </c>
      <c r="G135" s="33" t="s">
        <v>211</v>
      </c>
    </row>
    <row r="136" spans="1:7" x14ac:dyDescent="0.3">
      <c r="A136" s="108" t="str">
        <f t="shared" si="4"/>
        <v>SWT06</v>
      </c>
      <c r="B136" s="20" t="s">
        <v>6</v>
      </c>
      <c r="C136" s="20">
        <v>2006</v>
      </c>
      <c r="D136" s="32" t="s">
        <v>211</v>
      </c>
      <c r="E136" s="32" t="s">
        <v>211</v>
      </c>
      <c r="F136" s="33" t="s">
        <v>211</v>
      </c>
      <c r="G136" s="33" t="s">
        <v>211</v>
      </c>
    </row>
    <row r="137" spans="1:7" x14ac:dyDescent="0.3">
      <c r="A137" s="108" t="str">
        <f t="shared" si="4"/>
        <v>SWT07</v>
      </c>
      <c r="B137" s="20" t="s">
        <v>6</v>
      </c>
      <c r="C137" s="20">
        <v>2007</v>
      </c>
      <c r="D137" s="32" t="s">
        <v>211</v>
      </c>
      <c r="E137" s="32" t="s">
        <v>211</v>
      </c>
      <c r="F137" s="33" t="s">
        <v>211</v>
      </c>
      <c r="G137" s="33" t="s">
        <v>211</v>
      </c>
    </row>
    <row r="138" spans="1:7" x14ac:dyDescent="0.3">
      <c r="A138" s="108" t="str">
        <f t="shared" si="4"/>
        <v>SWT08</v>
      </c>
      <c r="B138" s="20" t="s">
        <v>6</v>
      </c>
      <c r="C138" s="20">
        <v>2008</v>
      </c>
      <c r="D138" s="32" t="s">
        <v>211</v>
      </c>
      <c r="E138" s="32" t="s">
        <v>211</v>
      </c>
      <c r="F138" s="33" t="s">
        <v>211</v>
      </c>
      <c r="G138" s="33" t="s">
        <v>211</v>
      </c>
    </row>
    <row r="139" spans="1:7" x14ac:dyDescent="0.3">
      <c r="A139" s="108" t="str">
        <f t="shared" si="4"/>
        <v>SWT09</v>
      </c>
      <c r="B139" s="20" t="s">
        <v>6</v>
      </c>
      <c r="C139" s="20">
        <v>2009</v>
      </c>
      <c r="D139" s="32" t="s">
        <v>211</v>
      </c>
      <c r="E139" s="32" t="s">
        <v>211</v>
      </c>
      <c r="F139" s="33" t="s">
        <v>211</v>
      </c>
      <c r="G139" s="33" t="s">
        <v>211</v>
      </c>
    </row>
    <row r="140" spans="1:7" x14ac:dyDescent="0.3">
      <c r="A140" s="108" t="str">
        <f t="shared" si="4"/>
        <v>SWT10</v>
      </c>
      <c r="B140" s="20" t="s">
        <v>6</v>
      </c>
      <c r="C140" s="20">
        <v>2010</v>
      </c>
      <c r="D140" s="32" t="s">
        <v>211</v>
      </c>
      <c r="E140" s="32" t="s">
        <v>211</v>
      </c>
      <c r="F140" s="33" t="s">
        <v>211</v>
      </c>
      <c r="G140" s="33" t="s">
        <v>211</v>
      </c>
    </row>
    <row r="141" spans="1:7" x14ac:dyDescent="0.3">
      <c r="A141" s="108" t="str">
        <f t="shared" si="4"/>
        <v>SWT11</v>
      </c>
      <c r="B141" s="20" t="s">
        <v>6</v>
      </c>
      <c r="C141" s="20">
        <v>2011</v>
      </c>
      <c r="D141" s="32" t="s">
        <v>211</v>
      </c>
      <c r="E141" s="32" t="s">
        <v>211</v>
      </c>
      <c r="F141" s="33" t="s">
        <v>211</v>
      </c>
      <c r="G141" s="33" t="s">
        <v>211</v>
      </c>
    </row>
    <row r="142" spans="1:7" x14ac:dyDescent="0.3">
      <c r="A142" s="108" t="str">
        <f t="shared" si="4"/>
        <v>SWT12</v>
      </c>
      <c r="B142" s="20" t="s">
        <v>6</v>
      </c>
      <c r="C142" s="20">
        <v>2012</v>
      </c>
      <c r="D142" s="32">
        <v>0.15028859238314038</v>
      </c>
      <c r="E142" s="32" t="s">
        <v>211</v>
      </c>
      <c r="F142" s="33">
        <v>151.52400000000003</v>
      </c>
      <c r="G142" s="33">
        <v>39</v>
      </c>
    </row>
    <row r="143" spans="1:7" x14ac:dyDescent="0.3">
      <c r="A143" s="108" t="str">
        <f t="shared" si="4"/>
        <v>SWT13</v>
      </c>
      <c r="B143" s="20" t="s">
        <v>6</v>
      </c>
      <c r="C143" s="20">
        <v>2013</v>
      </c>
      <c r="D143" s="32">
        <v>0</v>
      </c>
      <c r="E143" s="32" t="s">
        <v>211</v>
      </c>
      <c r="F143" s="33">
        <v>154.517</v>
      </c>
      <c r="G143" s="33">
        <v>190</v>
      </c>
    </row>
    <row r="144" spans="1:7" x14ac:dyDescent="0.3">
      <c r="A144" s="108" t="str">
        <f t="shared" si="4"/>
        <v>SWT14</v>
      </c>
      <c r="B144" s="20" t="s">
        <v>6</v>
      </c>
      <c r="C144" s="20">
        <v>2014</v>
      </c>
      <c r="D144" s="32">
        <v>0</v>
      </c>
      <c r="E144" s="32" t="s">
        <v>211</v>
      </c>
      <c r="F144" s="33">
        <v>165.79199999999997</v>
      </c>
      <c r="G144" s="33">
        <v>8</v>
      </c>
    </row>
    <row r="145" spans="1:7" x14ac:dyDescent="0.3">
      <c r="A145" s="108" t="str">
        <f t="shared" si="4"/>
        <v>SWT15</v>
      </c>
      <c r="B145" s="20" t="s">
        <v>6</v>
      </c>
      <c r="C145" s="20">
        <v>2015</v>
      </c>
      <c r="D145" s="32">
        <v>0</v>
      </c>
      <c r="E145" s="32" t="s">
        <v>211</v>
      </c>
      <c r="F145" s="33">
        <v>174.709</v>
      </c>
      <c r="G145" s="33">
        <v>0</v>
      </c>
    </row>
    <row r="146" spans="1:7" x14ac:dyDescent="0.3">
      <c r="A146" s="108" t="str">
        <f t="shared" si="4"/>
        <v>SWT16</v>
      </c>
      <c r="B146" s="20" t="s">
        <v>6</v>
      </c>
      <c r="C146" s="20">
        <v>2016</v>
      </c>
      <c r="D146" s="32">
        <v>0</v>
      </c>
      <c r="E146" s="32" t="s">
        <v>211</v>
      </c>
      <c r="F146" s="33">
        <v>165.95500000000001</v>
      </c>
      <c r="G146" s="33">
        <v>56</v>
      </c>
    </row>
    <row r="147" spans="1:7" x14ac:dyDescent="0.3">
      <c r="A147" s="108" t="str">
        <f t="shared" si="4"/>
        <v>SWT17</v>
      </c>
      <c r="B147" s="20" t="s">
        <v>6</v>
      </c>
      <c r="C147" s="20">
        <v>2017</v>
      </c>
      <c r="D147" s="32">
        <v>0</v>
      </c>
      <c r="E147" s="32" t="s">
        <v>211</v>
      </c>
      <c r="F147" s="33">
        <v>180.05800000000002</v>
      </c>
      <c r="G147" s="33">
        <v>6</v>
      </c>
    </row>
    <row r="148" spans="1:7" x14ac:dyDescent="0.3">
      <c r="A148" s="34" t="s">
        <v>72</v>
      </c>
      <c r="B148" s="35" t="s">
        <v>6</v>
      </c>
      <c r="C148" s="35">
        <v>2018</v>
      </c>
      <c r="D148" s="32" t="s">
        <v>211</v>
      </c>
      <c r="E148" s="32" t="s">
        <v>211</v>
      </c>
      <c r="F148" s="33" t="s">
        <v>211</v>
      </c>
      <c r="G148" s="33" t="s">
        <v>211</v>
      </c>
    </row>
    <row r="149" spans="1:7" x14ac:dyDescent="0.3">
      <c r="A149" s="34" t="s">
        <v>73</v>
      </c>
      <c r="B149" s="35" t="s">
        <v>6</v>
      </c>
      <c r="C149" s="35">
        <v>2019</v>
      </c>
      <c r="D149" s="32" t="s">
        <v>211</v>
      </c>
      <c r="E149" s="32" t="s">
        <v>211</v>
      </c>
      <c r="F149" s="33" t="s">
        <v>211</v>
      </c>
      <c r="G149" s="33" t="s">
        <v>211</v>
      </c>
    </row>
    <row r="150" spans="1:7" x14ac:dyDescent="0.3">
      <c r="A150" s="34" t="s">
        <v>74</v>
      </c>
      <c r="B150" s="35" t="s">
        <v>6</v>
      </c>
      <c r="C150" s="35">
        <v>2020</v>
      </c>
      <c r="D150" s="32" t="s">
        <v>211</v>
      </c>
      <c r="E150" s="32" t="s">
        <v>211</v>
      </c>
      <c r="F150" s="33" t="s">
        <v>211</v>
      </c>
      <c r="G150" s="33" t="s">
        <v>211</v>
      </c>
    </row>
    <row r="151" spans="1:7" x14ac:dyDescent="0.3">
      <c r="A151" s="34" t="s">
        <v>75</v>
      </c>
      <c r="B151" s="35" t="s">
        <v>6</v>
      </c>
      <c r="C151" s="35">
        <v>2021</v>
      </c>
      <c r="D151" s="32" t="s">
        <v>211</v>
      </c>
      <c r="E151" s="32" t="s">
        <v>211</v>
      </c>
      <c r="F151" s="33" t="s">
        <v>211</v>
      </c>
      <c r="G151" s="33" t="s">
        <v>211</v>
      </c>
    </row>
    <row r="152" spans="1:7" x14ac:dyDescent="0.3">
      <c r="A152" s="34" t="s">
        <v>76</v>
      </c>
      <c r="B152" s="35" t="s">
        <v>6</v>
      </c>
      <c r="C152" s="35">
        <v>2022</v>
      </c>
      <c r="D152" s="32" t="s">
        <v>211</v>
      </c>
      <c r="E152" s="32" t="s">
        <v>211</v>
      </c>
      <c r="F152" s="33" t="s">
        <v>211</v>
      </c>
      <c r="G152" s="33" t="s">
        <v>211</v>
      </c>
    </row>
    <row r="153" spans="1:7" x14ac:dyDescent="0.3">
      <c r="A153" s="34" t="s">
        <v>77</v>
      </c>
      <c r="B153" s="35" t="s">
        <v>6</v>
      </c>
      <c r="C153" s="35">
        <v>2023</v>
      </c>
      <c r="D153" s="32" t="s">
        <v>211</v>
      </c>
      <c r="E153" s="32" t="s">
        <v>211</v>
      </c>
      <c r="F153" s="33" t="s">
        <v>211</v>
      </c>
      <c r="G153" s="33" t="s">
        <v>211</v>
      </c>
    </row>
    <row r="154" spans="1:7" x14ac:dyDescent="0.3">
      <c r="A154" s="34" t="s">
        <v>78</v>
      </c>
      <c r="B154" s="35" t="s">
        <v>6</v>
      </c>
      <c r="C154" s="35">
        <v>2024</v>
      </c>
      <c r="D154" s="32" t="s">
        <v>211</v>
      </c>
      <c r="E154" s="32" t="s">
        <v>211</v>
      </c>
      <c r="F154" s="33" t="s">
        <v>211</v>
      </c>
      <c r="G154" s="33" t="s">
        <v>211</v>
      </c>
    </row>
    <row r="155" spans="1:7" x14ac:dyDescent="0.3">
      <c r="A155" s="34" t="s">
        <v>79</v>
      </c>
      <c r="B155" s="35" t="s">
        <v>6</v>
      </c>
      <c r="C155" s="35">
        <v>2025</v>
      </c>
      <c r="D155" s="32" t="s">
        <v>211</v>
      </c>
      <c r="E155" s="32" t="s">
        <v>211</v>
      </c>
      <c r="F155" s="33" t="s">
        <v>211</v>
      </c>
      <c r="G155" s="33" t="s">
        <v>211</v>
      </c>
    </row>
    <row r="156" spans="1:7" x14ac:dyDescent="0.3">
      <c r="A156" s="108" t="str">
        <f t="shared" si="4"/>
        <v>SWB17</v>
      </c>
      <c r="B156" s="20" t="s">
        <v>7</v>
      </c>
      <c r="C156" s="20">
        <v>2017</v>
      </c>
      <c r="D156" s="32" t="s">
        <v>211</v>
      </c>
      <c r="E156" s="32" t="s">
        <v>211</v>
      </c>
      <c r="F156" s="33" t="s">
        <v>211</v>
      </c>
      <c r="G156" s="33" t="s">
        <v>211</v>
      </c>
    </row>
    <row r="157" spans="1:7" x14ac:dyDescent="0.3">
      <c r="A157" s="34" t="s">
        <v>80</v>
      </c>
      <c r="B157" s="35" t="s">
        <v>7</v>
      </c>
      <c r="C157" s="35">
        <v>2018</v>
      </c>
      <c r="D157" s="32">
        <v>0</v>
      </c>
      <c r="E157" s="32" t="s">
        <v>211</v>
      </c>
      <c r="F157" s="33">
        <v>168.73</v>
      </c>
      <c r="G157" s="33">
        <v>0</v>
      </c>
    </row>
    <row r="158" spans="1:7" x14ac:dyDescent="0.3">
      <c r="A158" s="34" t="s">
        <v>81</v>
      </c>
      <c r="B158" s="35" t="s">
        <v>7</v>
      </c>
      <c r="C158" s="35">
        <v>2019</v>
      </c>
      <c r="D158" s="32">
        <v>1.3476419473314059</v>
      </c>
      <c r="E158" s="32" t="s">
        <v>211</v>
      </c>
      <c r="F158" s="33">
        <v>164.53899999999999</v>
      </c>
      <c r="G158" s="33">
        <v>0</v>
      </c>
    </row>
    <row r="159" spans="1:7" x14ac:dyDescent="0.3">
      <c r="A159" s="34" t="s">
        <v>82</v>
      </c>
      <c r="B159" s="35" t="s">
        <v>7</v>
      </c>
      <c r="C159" s="35">
        <v>2020</v>
      </c>
      <c r="D159" s="32">
        <v>0.33732659003831522</v>
      </c>
      <c r="E159" s="32" t="s">
        <v>211</v>
      </c>
      <c r="F159" s="33">
        <v>160.226</v>
      </c>
      <c r="G159" s="33">
        <v>0</v>
      </c>
    </row>
    <row r="160" spans="1:7" x14ac:dyDescent="0.3">
      <c r="A160" s="34" t="s">
        <v>83</v>
      </c>
      <c r="B160" s="35" t="s">
        <v>7</v>
      </c>
      <c r="C160" s="35">
        <v>2021</v>
      </c>
      <c r="D160" s="32">
        <v>0.28999999999999998</v>
      </c>
      <c r="E160" s="32" t="s">
        <v>211</v>
      </c>
      <c r="F160" s="33">
        <v>209.88399999999999</v>
      </c>
      <c r="G160" s="33">
        <v>0.64100000000000001</v>
      </c>
    </row>
    <row r="161" spans="1:7" x14ac:dyDescent="0.3">
      <c r="A161" s="34" t="s">
        <v>84</v>
      </c>
      <c r="B161" s="35" t="s">
        <v>7</v>
      </c>
      <c r="C161" s="35">
        <v>2022</v>
      </c>
      <c r="D161" s="32">
        <v>0</v>
      </c>
      <c r="E161" s="32" t="s">
        <v>211</v>
      </c>
      <c r="F161" s="33">
        <v>205.41800000000001</v>
      </c>
      <c r="G161" s="33">
        <v>0</v>
      </c>
    </row>
    <row r="162" spans="1:7" x14ac:dyDescent="0.3">
      <c r="A162" s="34" t="s">
        <v>85</v>
      </c>
      <c r="B162" s="35" t="s">
        <v>7</v>
      </c>
      <c r="C162" s="35">
        <v>2023</v>
      </c>
      <c r="D162" s="32">
        <v>0.29699999999999999</v>
      </c>
      <c r="E162" s="32" t="s">
        <v>211</v>
      </c>
      <c r="F162" s="33">
        <v>184.16300000000001</v>
      </c>
      <c r="G162" s="33">
        <v>0</v>
      </c>
    </row>
    <row r="163" spans="1:7" x14ac:dyDescent="0.3">
      <c r="A163" s="34" t="s">
        <v>86</v>
      </c>
      <c r="B163" s="35" t="s">
        <v>7</v>
      </c>
      <c r="C163" s="35">
        <v>2024</v>
      </c>
      <c r="D163" s="32">
        <v>0.378</v>
      </c>
      <c r="E163" s="32" t="s">
        <v>211</v>
      </c>
      <c r="F163" s="33">
        <v>182.45099999999999</v>
      </c>
      <c r="G163" s="33">
        <v>0</v>
      </c>
    </row>
    <row r="164" spans="1:7" x14ac:dyDescent="0.3">
      <c r="A164" s="34" t="s">
        <v>87</v>
      </c>
      <c r="B164" s="35" t="s">
        <v>7</v>
      </c>
      <c r="C164" s="35">
        <v>2025</v>
      </c>
      <c r="D164" s="32">
        <v>0</v>
      </c>
      <c r="E164" s="32" t="s">
        <v>211</v>
      </c>
      <c r="F164" s="33">
        <v>169.172</v>
      </c>
      <c r="G164" s="33">
        <v>0.11600000000000001</v>
      </c>
    </row>
    <row r="165" spans="1:7" x14ac:dyDescent="0.3">
      <c r="A165" s="108" t="str">
        <f t="shared" si="4"/>
        <v>TMS01</v>
      </c>
      <c r="B165" s="20" t="s">
        <v>8</v>
      </c>
      <c r="C165" s="20">
        <v>2001</v>
      </c>
      <c r="D165" s="32" t="s">
        <v>211</v>
      </c>
      <c r="E165" s="32" t="s">
        <v>211</v>
      </c>
      <c r="F165" s="33" t="s">
        <v>211</v>
      </c>
      <c r="G165" s="33" t="s">
        <v>211</v>
      </c>
    </row>
    <row r="166" spans="1:7" x14ac:dyDescent="0.3">
      <c r="A166" s="108" t="str">
        <f t="shared" si="4"/>
        <v>TMS02</v>
      </c>
      <c r="B166" s="20" t="s">
        <v>8</v>
      </c>
      <c r="C166" s="20">
        <v>2002</v>
      </c>
      <c r="D166" s="32" t="s">
        <v>211</v>
      </c>
      <c r="E166" s="32" t="s">
        <v>211</v>
      </c>
      <c r="F166" s="33" t="s">
        <v>211</v>
      </c>
      <c r="G166" s="33" t="s">
        <v>211</v>
      </c>
    </row>
    <row r="167" spans="1:7" x14ac:dyDescent="0.3">
      <c r="A167" s="108" t="str">
        <f t="shared" si="4"/>
        <v>TMS03</v>
      </c>
      <c r="B167" s="20" t="s">
        <v>8</v>
      </c>
      <c r="C167" s="20">
        <v>2003</v>
      </c>
      <c r="D167" s="32" t="s">
        <v>211</v>
      </c>
      <c r="E167" s="32" t="s">
        <v>211</v>
      </c>
      <c r="F167" s="33" t="s">
        <v>211</v>
      </c>
      <c r="G167" s="33" t="s">
        <v>211</v>
      </c>
    </row>
    <row r="168" spans="1:7" x14ac:dyDescent="0.3">
      <c r="A168" s="108" t="str">
        <f t="shared" si="4"/>
        <v>TMS04</v>
      </c>
      <c r="B168" s="20" t="s">
        <v>8</v>
      </c>
      <c r="C168" s="20">
        <v>2004</v>
      </c>
      <c r="D168" s="32" t="s">
        <v>211</v>
      </c>
      <c r="E168" s="32" t="s">
        <v>211</v>
      </c>
      <c r="F168" s="33" t="s">
        <v>211</v>
      </c>
      <c r="G168" s="33" t="s">
        <v>211</v>
      </c>
    </row>
    <row r="169" spans="1:7" x14ac:dyDescent="0.3">
      <c r="A169" s="108" t="str">
        <f t="shared" si="4"/>
        <v>TMS05</v>
      </c>
      <c r="B169" s="20" t="s">
        <v>8</v>
      </c>
      <c r="C169" s="20">
        <v>2005</v>
      </c>
      <c r="D169" s="32" t="s">
        <v>211</v>
      </c>
      <c r="E169" s="32" t="s">
        <v>211</v>
      </c>
      <c r="F169" s="33" t="s">
        <v>211</v>
      </c>
      <c r="G169" s="33" t="s">
        <v>211</v>
      </c>
    </row>
    <row r="170" spans="1:7" x14ac:dyDescent="0.3">
      <c r="A170" s="108" t="str">
        <f t="shared" si="4"/>
        <v>TMS06</v>
      </c>
      <c r="B170" s="20" t="s">
        <v>8</v>
      </c>
      <c r="C170" s="20">
        <v>2006</v>
      </c>
      <c r="D170" s="32" t="s">
        <v>211</v>
      </c>
      <c r="E170" s="32" t="s">
        <v>211</v>
      </c>
      <c r="F170" s="33" t="s">
        <v>211</v>
      </c>
      <c r="G170" s="33" t="s">
        <v>211</v>
      </c>
    </row>
    <row r="171" spans="1:7" x14ac:dyDescent="0.3">
      <c r="A171" s="108" t="str">
        <f t="shared" si="4"/>
        <v>TMS07</v>
      </c>
      <c r="B171" s="20" t="s">
        <v>8</v>
      </c>
      <c r="C171" s="20">
        <v>2007</v>
      </c>
      <c r="D171" s="32" t="s">
        <v>211</v>
      </c>
      <c r="E171" s="32" t="s">
        <v>211</v>
      </c>
      <c r="F171" s="33" t="s">
        <v>211</v>
      </c>
      <c r="G171" s="33" t="s">
        <v>211</v>
      </c>
    </row>
    <row r="172" spans="1:7" x14ac:dyDescent="0.3">
      <c r="A172" s="108" t="str">
        <f t="shared" si="4"/>
        <v>TMS08</v>
      </c>
      <c r="B172" s="20" t="s">
        <v>8</v>
      </c>
      <c r="C172" s="20">
        <v>2008</v>
      </c>
      <c r="D172" s="32" t="s">
        <v>211</v>
      </c>
      <c r="E172" s="32" t="s">
        <v>211</v>
      </c>
      <c r="F172" s="33" t="s">
        <v>211</v>
      </c>
      <c r="G172" s="33" t="s">
        <v>211</v>
      </c>
    </row>
    <row r="173" spans="1:7" x14ac:dyDescent="0.3">
      <c r="A173" s="108" t="str">
        <f t="shared" si="4"/>
        <v>TMS09</v>
      </c>
      <c r="B173" s="20" t="s">
        <v>8</v>
      </c>
      <c r="C173" s="20">
        <v>2009</v>
      </c>
      <c r="D173" s="32" t="s">
        <v>211</v>
      </c>
      <c r="E173" s="32" t="s">
        <v>211</v>
      </c>
      <c r="F173" s="33" t="s">
        <v>211</v>
      </c>
      <c r="G173" s="33" t="s">
        <v>211</v>
      </c>
    </row>
    <row r="174" spans="1:7" x14ac:dyDescent="0.3">
      <c r="A174" s="108" t="str">
        <f t="shared" si="4"/>
        <v>TMS10</v>
      </c>
      <c r="B174" s="20" t="s">
        <v>8</v>
      </c>
      <c r="C174" s="20">
        <v>2010</v>
      </c>
      <c r="D174" s="32" t="s">
        <v>211</v>
      </c>
      <c r="E174" s="32" t="s">
        <v>211</v>
      </c>
      <c r="F174" s="33" t="s">
        <v>211</v>
      </c>
      <c r="G174" s="33" t="s">
        <v>211</v>
      </c>
    </row>
    <row r="175" spans="1:7" x14ac:dyDescent="0.3">
      <c r="A175" s="108" t="str">
        <f t="shared" si="4"/>
        <v>TMS11</v>
      </c>
      <c r="B175" s="20" t="s">
        <v>8</v>
      </c>
      <c r="C175" s="20">
        <v>2011</v>
      </c>
      <c r="D175" s="32" t="s">
        <v>211</v>
      </c>
      <c r="E175" s="32" t="s">
        <v>211</v>
      </c>
      <c r="F175" s="33" t="s">
        <v>211</v>
      </c>
      <c r="G175" s="33" t="s">
        <v>211</v>
      </c>
    </row>
    <row r="176" spans="1:7" x14ac:dyDescent="0.3">
      <c r="A176" s="108" t="str">
        <f t="shared" si="4"/>
        <v>TMS12</v>
      </c>
      <c r="B176" s="20" t="s">
        <v>8</v>
      </c>
      <c r="C176" s="20">
        <v>2012</v>
      </c>
      <c r="D176" s="32">
        <v>0</v>
      </c>
      <c r="E176" s="32" t="s">
        <v>211</v>
      </c>
      <c r="F176" s="33">
        <v>915.85200000000009</v>
      </c>
      <c r="G176" s="33">
        <v>0</v>
      </c>
    </row>
    <row r="177" spans="1:7" x14ac:dyDescent="0.3">
      <c r="A177" s="108" t="str">
        <f>B177&amp;RIGHT(C177,2)</f>
        <v>TMS13</v>
      </c>
      <c r="B177" s="20" t="s">
        <v>8</v>
      </c>
      <c r="C177" s="20">
        <v>2013</v>
      </c>
      <c r="D177" s="32">
        <v>0</v>
      </c>
      <c r="E177" s="32" t="s">
        <v>211</v>
      </c>
      <c r="F177" s="33">
        <v>896.649</v>
      </c>
      <c r="G177" s="33">
        <v>0</v>
      </c>
    </row>
    <row r="178" spans="1:7" x14ac:dyDescent="0.3">
      <c r="A178" s="108" t="str">
        <f>B178&amp;RIGHT(C178,2)</f>
        <v>TMS14</v>
      </c>
      <c r="B178" s="20" t="s">
        <v>8</v>
      </c>
      <c r="C178" s="20">
        <v>2014</v>
      </c>
      <c r="D178" s="32">
        <v>0</v>
      </c>
      <c r="E178" s="32" t="s">
        <v>211</v>
      </c>
      <c r="F178" s="33">
        <v>955.39800000000014</v>
      </c>
      <c r="G178" s="33">
        <v>0</v>
      </c>
    </row>
    <row r="179" spans="1:7" x14ac:dyDescent="0.3">
      <c r="A179" s="108" t="str">
        <f>B179&amp;RIGHT(C179,2)</f>
        <v>TMS15</v>
      </c>
      <c r="B179" s="20" t="s">
        <v>8</v>
      </c>
      <c r="C179" s="20">
        <v>2015</v>
      </c>
      <c r="D179" s="32">
        <v>0</v>
      </c>
      <c r="E179" s="32" t="s">
        <v>211</v>
      </c>
      <c r="F179" s="33">
        <v>985.42300000000012</v>
      </c>
      <c r="G179" s="33">
        <v>0</v>
      </c>
    </row>
    <row r="180" spans="1:7" x14ac:dyDescent="0.3">
      <c r="A180" s="108" t="str">
        <f>B180&amp;RIGHT(C180,2)</f>
        <v>TMS16</v>
      </c>
      <c r="B180" s="20" t="s">
        <v>8</v>
      </c>
      <c r="C180" s="20">
        <v>2016</v>
      </c>
      <c r="D180" s="32">
        <v>0</v>
      </c>
      <c r="E180" s="32" t="s">
        <v>211</v>
      </c>
      <c r="F180" s="33">
        <v>1337.1580000000001</v>
      </c>
      <c r="G180" s="33">
        <v>0</v>
      </c>
    </row>
    <row r="181" spans="1:7" x14ac:dyDescent="0.3">
      <c r="A181" s="108" t="str">
        <f>B181&amp;RIGHT(C181,2)</f>
        <v>TMS17</v>
      </c>
      <c r="B181" s="20" t="s">
        <v>8</v>
      </c>
      <c r="C181" s="20">
        <v>2017</v>
      </c>
      <c r="D181" s="32">
        <v>0</v>
      </c>
      <c r="E181" s="32" t="s">
        <v>211</v>
      </c>
      <c r="F181" s="33">
        <v>904.41099999999994</v>
      </c>
      <c r="G181" s="33">
        <v>0</v>
      </c>
    </row>
    <row r="182" spans="1:7" x14ac:dyDescent="0.3">
      <c r="A182" s="34" t="s">
        <v>88</v>
      </c>
      <c r="B182" s="35" t="s">
        <v>8</v>
      </c>
      <c r="C182" s="35">
        <v>2018</v>
      </c>
      <c r="D182" s="32">
        <v>0</v>
      </c>
      <c r="E182" s="32" t="s">
        <v>211</v>
      </c>
      <c r="F182" s="33">
        <v>888.264794481026</v>
      </c>
      <c r="G182" s="33">
        <v>0</v>
      </c>
    </row>
    <row r="183" spans="1:7" x14ac:dyDescent="0.3">
      <c r="A183" s="34" t="s">
        <v>89</v>
      </c>
      <c r="B183" s="35" t="s">
        <v>8</v>
      </c>
      <c r="C183" s="35">
        <v>2019</v>
      </c>
      <c r="D183" s="32">
        <v>0</v>
      </c>
      <c r="E183" s="32" t="s">
        <v>211</v>
      </c>
      <c r="F183" s="33">
        <v>868.64208021301897</v>
      </c>
      <c r="G183" s="33">
        <v>0</v>
      </c>
    </row>
    <row r="184" spans="1:7" x14ac:dyDescent="0.3">
      <c r="A184" s="34" t="s">
        <v>90</v>
      </c>
      <c r="B184" s="35" t="s">
        <v>8</v>
      </c>
      <c r="C184" s="35">
        <v>2020</v>
      </c>
      <c r="D184" s="32">
        <v>0</v>
      </c>
      <c r="E184" s="32" t="s">
        <v>211</v>
      </c>
      <c r="F184" s="33">
        <v>725.478253161868</v>
      </c>
      <c r="G184" s="33">
        <v>0</v>
      </c>
    </row>
    <row r="185" spans="1:7" x14ac:dyDescent="0.3">
      <c r="A185" s="34" t="s">
        <v>91</v>
      </c>
      <c r="B185" s="35" t="s">
        <v>8</v>
      </c>
      <c r="C185" s="35">
        <v>2021</v>
      </c>
      <c r="D185" s="32">
        <v>0</v>
      </c>
      <c r="E185" s="32" t="s">
        <v>211</v>
      </c>
      <c r="F185" s="33">
        <v>943.20508384003995</v>
      </c>
      <c r="G185" s="33">
        <v>0</v>
      </c>
    </row>
    <row r="186" spans="1:7" x14ac:dyDescent="0.3">
      <c r="A186" s="34" t="s">
        <v>92</v>
      </c>
      <c r="B186" s="35" t="s">
        <v>8</v>
      </c>
      <c r="C186" s="35">
        <v>2022</v>
      </c>
      <c r="D186" s="32">
        <v>0</v>
      </c>
      <c r="E186" s="32" t="s">
        <v>211</v>
      </c>
      <c r="F186" s="33">
        <v>1059.5585860040801</v>
      </c>
      <c r="G186" s="33">
        <v>0</v>
      </c>
    </row>
    <row r="187" spans="1:7" x14ac:dyDescent="0.3">
      <c r="A187" s="34" t="s">
        <v>93</v>
      </c>
      <c r="B187" s="35" t="s">
        <v>8</v>
      </c>
      <c r="C187" s="35">
        <v>2023</v>
      </c>
      <c r="D187" s="32">
        <v>0</v>
      </c>
      <c r="E187" s="32" t="s">
        <v>211</v>
      </c>
      <c r="F187" s="33">
        <v>1043.6785429854101</v>
      </c>
      <c r="G187" s="33">
        <v>0</v>
      </c>
    </row>
    <row r="188" spans="1:7" x14ac:dyDescent="0.3">
      <c r="A188" s="34" t="s">
        <v>94</v>
      </c>
      <c r="B188" s="35" t="s">
        <v>8</v>
      </c>
      <c r="C188" s="35">
        <v>2024</v>
      </c>
      <c r="D188" s="32">
        <v>0</v>
      </c>
      <c r="E188" s="32" t="s">
        <v>211</v>
      </c>
      <c r="F188" s="33">
        <v>989.85067441146896</v>
      </c>
      <c r="G188" s="33">
        <v>0</v>
      </c>
    </row>
    <row r="189" spans="1:7" x14ac:dyDescent="0.3">
      <c r="A189" s="34" t="s">
        <v>95</v>
      </c>
      <c r="B189" s="35" t="s">
        <v>8</v>
      </c>
      <c r="C189" s="35">
        <v>2025</v>
      </c>
      <c r="D189" s="32">
        <v>0</v>
      </c>
      <c r="E189" s="32" t="s">
        <v>211</v>
      </c>
      <c r="F189" s="33">
        <v>960.87480281767398</v>
      </c>
      <c r="G189" s="33">
        <v>0</v>
      </c>
    </row>
    <row r="190" spans="1:7" x14ac:dyDescent="0.3">
      <c r="A190" s="108" t="str">
        <f t="shared" ref="A190:A201" si="5">B190&amp;RIGHT(C190,2)</f>
        <v>WSH01</v>
      </c>
      <c r="B190" s="20" t="s">
        <v>9</v>
      </c>
      <c r="C190" s="20">
        <v>2001</v>
      </c>
      <c r="D190" s="32" t="s">
        <v>211</v>
      </c>
      <c r="E190" s="32" t="s">
        <v>211</v>
      </c>
      <c r="F190" s="33" t="s">
        <v>211</v>
      </c>
      <c r="G190" s="33" t="s">
        <v>211</v>
      </c>
    </row>
    <row r="191" spans="1:7" x14ac:dyDescent="0.3">
      <c r="A191" s="108" t="str">
        <f t="shared" si="5"/>
        <v>WSH02</v>
      </c>
      <c r="B191" s="20" t="s">
        <v>9</v>
      </c>
      <c r="C191" s="20">
        <v>2002</v>
      </c>
      <c r="D191" s="32" t="s">
        <v>211</v>
      </c>
      <c r="E191" s="32" t="s">
        <v>211</v>
      </c>
      <c r="F191" s="33" t="s">
        <v>211</v>
      </c>
      <c r="G191" s="33" t="s">
        <v>211</v>
      </c>
    </row>
    <row r="192" spans="1:7" x14ac:dyDescent="0.3">
      <c r="A192" s="108" t="str">
        <f t="shared" si="5"/>
        <v>WSH03</v>
      </c>
      <c r="B192" s="20" t="s">
        <v>9</v>
      </c>
      <c r="C192" s="20">
        <v>2003</v>
      </c>
      <c r="D192" s="32" t="s">
        <v>211</v>
      </c>
      <c r="E192" s="32" t="s">
        <v>211</v>
      </c>
      <c r="F192" s="33" t="s">
        <v>211</v>
      </c>
      <c r="G192" s="33" t="s">
        <v>211</v>
      </c>
    </row>
    <row r="193" spans="1:7" x14ac:dyDescent="0.3">
      <c r="A193" s="108" t="str">
        <f t="shared" si="5"/>
        <v>WSH04</v>
      </c>
      <c r="B193" s="20" t="s">
        <v>9</v>
      </c>
      <c r="C193" s="20">
        <v>2004</v>
      </c>
      <c r="D193" s="32" t="s">
        <v>211</v>
      </c>
      <c r="E193" s="32" t="s">
        <v>211</v>
      </c>
      <c r="F193" s="33" t="s">
        <v>211</v>
      </c>
      <c r="G193" s="33" t="s">
        <v>211</v>
      </c>
    </row>
    <row r="194" spans="1:7" x14ac:dyDescent="0.3">
      <c r="A194" s="108" t="str">
        <f t="shared" si="5"/>
        <v>WSH05</v>
      </c>
      <c r="B194" s="20" t="s">
        <v>9</v>
      </c>
      <c r="C194" s="20">
        <v>2005</v>
      </c>
      <c r="D194" s="32" t="s">
        <v>211</v>
      </c>
      <c r="E194" s="32" t="s">
        <v>211</v>
      </c>
      <c r="F194" s="33" t="s">
        <v>211</v>
      </c>
      <c r="G194" s="33" t="s">
        <v>211</v>
      </c>
    </row>
    <row r="195" spans="1:7" x14ac:dyDescent="0.3">
      <c r="A195" s="108" t="str">
        <f t="shared" si="5"/>
        <v>WSH06</v>
      </c>
      <c r="B195" s="20" t="s">
        <v>9</v>
      </c>
      <c r="C195" s="20">
        <v>2006</v>
      </c>
      <c r="D195" s="32" t="s">
        <v>211</v>
      </c>
      <c r="E195" s="32" t="s">
        <v>211</v>
      </c>
      <c r="F195" s="33" t="s">
        <v>211</v>
      </c>
      <c r="G195" s="33" t="s">
        <v>211</v>
      </c>
    </row>
    <row r="196" spans="1:7" x14ac:dyDescent="0.3">
      <c r="A196" s="108" t="str">
        <f t="shared" si="5"/>
        <v>WSH07</v>
      </c>
      <c r="B196" s="20" t="s">
        <v>9</v>
      </c>
      <c r="C196" s="20">
        <v>2007</v>
      </c>
      <c r="D196" s="32" t="s">
        <v>211</v>
      </c>
      <c r="E196" s="32" t="s">
        <v>211</v>
      </c>
      <c r="F196" s="33" t="s">
        <v>211</v>
      </c>
      <c r="G196" s="33" t="s">
        <v>211</v>
      </c>
    </row>
    <row r="197" spans="1:7" x14ac:dyDescent="0.3">
      <c r="A197" s="108" t="str">
        <f t="shared" si="5"/>
        <v>WSH08</v>
      </c>
      <c r="B197" s="20" t="s">
        <v>9</v>
      </c>
      <c r="C197" s="20">
        <v>2008</v>
      </c>
      <c r="D197" s="32" t="s">
        <v>211</v>
      </c>
      <c r="E197" s="32" t="s">
        <v>211</v>
      </c>
      <c r="F197" s="33" t="s">
        <v>211</v>
      </c>
      <c r="G197" s="33" t="s">
        <v>211</v>
      </c>
    </row>
    <row r="198" spans="1:7" x14ac:dyDescent="0.3">
      <c r="A198" s="108" t="str">
        <f t="shared" si="5"/>
        <v>WSH09</v>
      </c>
      <c r="B198" s="20" t="s">
        <v>9</v>
      </c>
      <c r="C198" s="20">
        <v>2009</v>
      </c>
      <c r="D198" s="32" t="s">
        <v>211</v>
      </c>
      <c r="E198" s="32" t="s">
        <v>211</v>
      </c>
      <c r="F198" s="33" t="s">
        <v>211</v>
      </c>
      <c r="G198" s="33" t="s">
        <v>211</v>
      </c>
    </row>
    <row r="199" spans="1:7" x14ac:dyDescent="0.3">
      <c r="A199" s="108" t="str">
        <f t="shared" si="5"/>
        <v>WSH10</v>
      </c>
      <c r="B199" s="20" t="s">
        <v>9</v>
      </c>
      <c r="C199" s="20">
        <v>2010</v>
      </c>
      <c r="D199" s="32" t="s">
        <v>211</v>
      </c>
      <c r="E199" s="32" t="s">
        <v>211</v>
      </c>
      <c r="F199" s="33" t="s">
        <v>211</v>
      </c>
      <c r="G199" s="33" t="s">
        <v>211</v>
      </c>
    </row>
    <row r="200" spans="1:7" x14ac:dyDescent="0.3">
      <c r="A200" s="108" t="str">
        <f t="shared" si="5"/>
        <v>WSH11</v>
      </c>
      <c r="B200" s="20" t="s">
        <v>9</v>
      </c>
      <c r="C200" s="20">
        <v>2011</v>
      </c>
      <c r="D200" s="32" t="s">
        <v>211</v>
      </c>
      <c r="E200" s="32" t="s">
        <v>211</v>
      </c>
      <c r="F200" s="33" t="s">
        <v>211</v>
      </c>
      <c r="G200" s="33" t="s">
        <v>211</v>
      </c>
    </row>
    <row r="201" spans="1:7" x14ac:dyDescent="0.3">
      <c r="A201" s="108" t="str">
        <f t="shared" si="5"/>
        <v>WSH12</v>
      </c>
      <c r="B201" s="20" t="s">
        <v>9</v>
      </c>
      <c r="C201" s="20">
        <v>2012</v>
      </c>
      <c r="D201" s="32">
        <v>1.7703112132190504</v>
      </c>
      <c r="E201" s="32" t="s">
        <v>211</v>
      </c>
      <c r="F201" s="33">
        <v>210.922</v>
      </c>
      <c r="G201" s="33">
        <v>11.343999999999999</v>
      </c>
    </row>
    <row r="202" spans="1:7" x14ac:dyDescent="0.3">
      <c r="A202" s="108" t="str">
        <f>B202&amp;RIGHT(C202,2)</f>
        <v>WSH13</v>
      </c>
      <c r="B202" s="20" t="s">
        <v>9</v>
      </c>
      <c r="C202" s="20">
        <v>2013</v>
      </c>
      <c r="D202" s="32">
        <v>1.7674571182053496</v>
      </c>
      <c r="E202" s="32" t="s">
        <v>211</v>
      </c>
      <c r="F202" s="33">
        <v>274.92800000000005</v>
      </c>
      <c r="G202" s="33">
        <v>0.41499999999999998</v>
      </c>
    </row>
    <row r="203" spans="1:7" x14ac:dyDescent="0.3">
      <c r="A203" s="108" t="str">
        <f>B203&amp;RIGHT(C203,2)</f>
        <v>WSH14</v>
      </c>
      <c r="B203" s="20" t="s">
        <v>9</v>
      </c>
      <c r="C203" s="20">
        <v>2014</v>
      </c>
      <c r="D203" s="32">
        <v>1.3793382352941175</v>
      </c>
      <c r="E203" s="32" t="s">
        <v>211</v>
      </c>
      <c r="F203" s="33">
        <v>264.38099999999997</v>
      </c>
      <c r="G203" s="33">
        <v>0</v>
      </c>
    </row>
    <row r="204" spans="1:7" x14ac:dyDescent="0.3">
      <c r="A204" s="108" t="str">
        <f>B204&amp;RIGHT(C204,2)</f>
        <v>WSH15</v>
      </c>
      <c r="B204" s="20" t="s">
        <v>9</v>
      </c>
      <c r="C204" s="20">
        <v>2015</v>
      </c>
      <c r="D204" s="32">
        <v>0.82767209827024335</v>
      </c>
      <c r="E204" s="32" t="s">
        <v>211</v>
      </c>
      <c r="F204" s="33">
        <v>269.51000000000005</v>
      </c>
      <c r="G204" s="33">
        <v>0.78900000000000003</v>
      </c>
    </row>
    <row r="205" spans="1:7" x14ac:dyDescent="0.3">
      <c r="A205" s="108" t="str">
        <f>B205&amp;RIGHT(C205,2)</f>
        <v>WSH16</v>
      </c>
      <c r="B205" s="20" t="s">
        <v>9</v>
      </c>
      <c r="C205" s="20">
        <v>2016</v>
      </c>
      <c r="D205" s="32">
        <v>0</v>
      </c>
      <c r="E205" s="32" t="s">
        <v>211</v>
      </c>
      <c r="F205" s="33">
        <v>232.36</v>
      </c>
      <c r="G205" s="33">
        <v>0</v>
      </c>
    </row>
    <row r="206" spans="1:7" x14ac:dyDescent="0.3">
      <c r="A206" s="108" t="str">
        <f>B206&amp;RIGHT(C206,2)</f>
        <v>WSH17</v>
      </c>
      <c r="B206" s="20" t="s">
        <v>9</v>
      </c>
      <c r="C206" s="20">
        <v>2017</v>
      </c>
      <c r="D206" s="32">
        <v>0</v>
      </c>
      <c r="E206" s="32" t="s">
        <v>211</v>
      </c>
      <c r="F206" s="33">
        <v>289.31600000000003</v>
      </c>
      <c r="G206" s="33">
        <v>0</v>
      </c>
    </row>
    <row r="207" spans="1:7" x14ac:dyDescent="0.3">
      <c r="A207" s="34" t="s">
        <v>96</v>
      </c>
      <c r="B207" s="35" t="s">
        <v>9</v>
      </c>
      <c r="C207" s="35">
        <v>2018</v>
      </c>
      <c r="D207" s="32">
        <v>0</v>
      </c>
      <c r="E207" s="32" t="s">
        <v>211</v>
      </c>
      <c r="F207" s="33">
        <v>289.73399999999998</v>
      </c>
      <c r="G207" s="33">
        <v>0</v>
      </c>
    </row>
    <row r="208" spans="1:7" x14ac:dyDescent="0.3">
      <c r="A208" s="34" t="s">
        <v>97</v>
      </c>
      <c r="B208" s="35" t="s">
        <v>9</v>
      </c>
      <c r="C208" s="35">
        <v>2019</v>
      </c>
      <c r="D208" s="32">
        <v>0</v>
      </c>
      <c r="E208" s="32" t="s">
        <v>211</v>
      </c>
      <c r="F208" s="33">
        <v>330.85500000000002</v>
      </c>
      <c r="G208" s="33">
        <v>0</v>
      </c>
    </row>
    <row r="209" spans="1:7" x14ac:dyDescent="0.3">
      <c r="A209" s="34" t="s">
        <v>98</v>
      </c>
      <c r="B209" s="35" t="s">
        <v>9</v>
      </c>
      <c r="C209" s="35">
        <v>2020</v>
      </c>
      <c r="D209" s="32">
        <v>0</v>
      </c>
      <c r="E209" s="32" t="s">
        <v>211</v>
      </c>
      <c r="F209" s="33">
        <v>345.05399999999997</v>
      </c>
      <c r="G209" s="33">
        <v>0</v>
      </c>
    </row>
    <row r="210" spans="1:7" x14ac:dyDescent="0.3">
      <c r="A210" s="34" t="s">
        <v>99</v>
      </c>
      <c r="B210" s="35" t="s">
        <v>9</v>
      </c>
      <c r="C210" s="35">
        <v>2021</v>
      </c>
      <c r="D210" s="32">
        <v>0</v>
      </c>
      <c r="E210" s="32" t="s">
        <v>211</v>
      </c>
      <c r="F210" s="33">
        <v>358.459</v>
      </c>
      <c r="G210" s="33">
        <v>0</v>
      </c>
    </row>
    <row r="211" spans="1:7" x14ac:dyDescent="0.3">
      <c r="A211" s="34" t="s">
        <v>100</v>
      </c>
      <c r="B211" s="35" t="s">
        <v>9</v>
      </c>
      <c r="C211" s="35">
        <v>2022</v>
      </c>
      <c r="D211" s="32">
        <v>0</v>
      </c>
      <c r="E211" s="32" t="s">
        <v>211</v>
      </c>
      <c r="F211" s="33">
        <v>291.94099999999997</v>
      </c>
      <c r="G211" s="33">
        <v>0</v>
      </c>
    </row>
    <row r="212" spans="1:7" x14ac:dyDescent="0.3">
      <c r="A212" s="34" t="s">
        <v>101</v>
      </c>
      <c r="B212" s="35" t="s">
        <v>9</v>
      </c>
      <c r="C212" s="35">
        <v>2023</v>
      </c>
      <c r="D212" s="32">
        <v>0</v>
      </c>
      <c r="E212" s="32" t="s">
        <v>211</v>
      </c>
      <c r="F212" s="33">
        <v>301.45100000000002</v>
      </c>
      <c r="G212" s="33">
        <v>0</v>
      </c>
    </row>
    <row r="213" spans="1:7" x14ac:dyDescent="0.3">
      <c r="A213" s="34" t="s">
        <v>102</v>
      </c>
      <c r="B213" s="35" t="s">
        <v>9</v>
      </c>
      <c r="C213" s="35">
        <v>2024</v>
      </c>
      <c r="D213" s="32">
        <v>0</v>
      </c>
      <c r="E213" s="32" t="s">
        <v>211</v>
      </c>
      <c r="F213" s="33">
        <v>290.19</v>
      </c>
      <c r="G213" s="33">
        <v>0</v>
      </c>
    </row>
    <row r="214" spans="1:7" x14ac:dyDescent="0.3">
      <c r="A214" s="34" t="s">
        <v>103</v>
      </c>
      <c r="B214" s="35" t="s">
        <v>9</v>
      </c>
      <c r="C214" s="35">
        <v>2025</v>
      </c>
      <c r="D214" s="32">
        <v>0</v>
      </c>
      <c r="E214" s="32" t="s">
        <v>211</v>
      </c>
      <c r="F214" s="33">
        <v>287.05399999999997</v>
      </c>
      <c r="G214" s="33">
        <v>0</v>
      </c>
    </row>
    <row r="215" spans="1:7" x14ac:dyDescent="0.3">
      <c r="A215" s="108" t="str">
        <f t="shared" ref="A215:A226" si="6">B215&amp;RIGHT(C215,2)</f>
        <v>WSX01</v>
      </c>
      <c r="B215" s="20" t="s">
        <v>10</v>
      </c>
      <c r="C215" s="20">
        <v>2001</v>
      </c>
      <c r="D215" s="32" t="s">
        <v>211</v>
      </c>
      <c r="E215" s="32" t="s">
        <v>211</v>
      </c>
      <c r="F215" s="33" t="s">
        <v>211</v>
      </c>
      <c r="G215" s="33" t="s">
        <v>211</v>
      </c>
    </row>
    <row r="216" spans="1:7" x14ac:dyDescent="0.3">
      <c r="A216" s="108" t="str">
        <f t="shared" si="6"/>
        <v>WSX02</v>
      </c>
      <c r="B216" s="20" t="s">
        <v>10</v>
      </c>
      <c r="C216" s="20">
        <v>2002</v>
      </c>
      <c r="D216" s="32" t="s">
        <v>211</v>
      </c>
      <c r="E216" s="32" t="s">
        <v>211</v>
      </c>
      <c r="F216" s="33" t="s">
        <v>211</v>
      </c>
      <c r="G216" s="33" t="s">
        <v>211</v>
      </c>
    </row>
    <row r="217" spans="1:7" x14ac:dyDescent="0.3">
      <c r="A217" s="108" t="str">
        <f t="shared" si="6"/>
        <v>WSX03</v>
      </c>
      <c r="B217" s="20" t="s">
        <v>10</v>
      </c>
      <c r="C217" s="20">
        <v>2003</v>
      </c>
      <c r="D217" s="32" t="s">
        <v>211</v>
      </c>
      <c r="E217" s="32" t="s">
        <v>211</v>
      </c>
      <c r="F217" s="33" t="s">
        <v>211</v>
      </c>
      <c r="G217" s="33" t="s">
        <v>211</v>
      </c>
    </row>
    <row r="218" spans="1:7" x14ac:dyDescent="0.3">
      <c r="A218" s="108" t="str">
        <f t="shared" si="6"/>
        <v>WSX04</v>
      </c>
      <c r="B218" s="20" t="s">
        <v>10</v>
      </c>
      <c r="C218" s="20">
        <v>2004</v>
      </c>
      <c r="D218" s="32" t="s">
        <v>211</v>
      </c>
      <c r="E218" s="32" t="s">
        <v>211</v>
      </c>
      <c r="F218" s="33" t="s">
        <v>211</v>
      </c>
      <c r="G218" s="33" t="s">
        <v>211</v>
      </c>
    </row>
    <row r="219" spans="1:7" x14ac:dyDescent="0.3">
      <c r="A219" s="108" t="str">
        <f t="shared" si="6"/>
        <v>WSX05</v>
      </c>
      <c r="B219" s="20" t="s">
        <v>10</v>
      </c>
      <c r="C219" s="20">
        <v>2005</v>
      </c>
      <c r="D219" s="32" t="s">
        <v>211</v>
      </c>
      <c r="E219" s="32" t="s">
        <v>211</v>
      </c>
      <c r="F219" s="33" t="s">
        <v>211</v>
      </c>
      <c r="G219" s="33" t="s">
        <v>211</v>
      </c>
    </row>
    <row r="220" spans="1:7" x14ac:dyDescent="0.3">
      <c r="A220" s="108" t="str">
        <f t="shared" si="6"/>
        <v>WSX06</v>
      </c>
      <c r="B220" s="20" t="s">
        <v>10</v>
      </c>
      <c r="C220" s="20">
        <v>2006</v>
      </c>
      <c r="D220" s="32" t="s">
        <v>211</v>
      </c>
      <c r="E220" s="32" t="s">
        <v>211</v>
      </c>
      <c r="F220" s="33" t="s">
        <v>211</v>
      </c>
      <c r="G220" s="33" t="s">
        <v>211</v>
      </c>
    </row>
    <row r="221" spans="1:7" x14ac:dyDescent="0.3">
      <c r="A221" s="108" t="str">
        <f t="shared" si="6"/>
        <v>WSX07</v>
      </c>
      <c r="B221" s="20" t="s">
        <v>10</v>
      </c>
      <c r="C221" s="20">
        <v>2007</v>
      </c>
      <c r="D221" s="32" t="s">
        <v>211</v>
      </c>
      <c r="E221" s="32" t="s">
        <v>211</v>
      </c>
      <c r="F221" s="33" t="s">
        <v>211</v>
      </c>
      <c r="G221" s="33" t="s">
        <v>211</v>
      </c>
    </row>
    <row r="222" spans="1:7" x14ac:dyDescent="0.3">
      <c r="A222" s="108" t="str">
        <f t="shared" si="6"/>
        <v>WSX08</v>
      </c>
      <c r="B222" s="20" t="s">
        <v>10</v>
      </c>
      <c r="C222" s="20">
        <v>2008</v>
      </c>
      <c r="D222" s="32" t="s">
        <v>211</v>
      </c>
      <c r="E222" s="32" t="s">
        <v>211</v>
      </c>
      <c r="F222" s="33" t="s">
        <v>211</v>
      </c>
      <c r="G222" s="33" t="s">
        <v>211</v>
      </c>
    </row>
    <row r="223" spans="1:7" x14ac:dyDescent="0.3">
      <c r="A223" s="108" t="str">
        <f t="shared" si="6"/>
        <v>WSX09</v>
      </c>
      <c r="B223" s="20" t="s">
        <v>10</v>
      </c>
      <c r="C223" s="20">
        <v>2009</v>
      </c>
      <c r="D223" s="32" t="s">
        <v>211</v>
      </c>
      <c r="E223" s="32" t="s">
        <v>211</v>
      </c>
      <c r="F223" s="33" t="s">
        <v>211</v>
      </c>
      <c r="G223" s="33" t="s">
        <v>211</v>
      </c>
    </row>
    <row r="224" spans="1:7" x14ac:dyDescent="0.3">
      <c r="A224" s="108" t="str">
        <f t="shared" si="6"/>
        <v>WSX10</v>
      </c>
      <c r="B224" s="20" t="s">
        <v>10</v>
      </c>
      <c r="C224" s="20">
        <v>2010</v>
      </c>
      <c r="D224" s="32" t="s">
        <v>211</v>
      </c>
      <c r="E224" s="32" t="s">
        <v>211</v>
      </c>
      <c r="F224" s="33" t="s">
        <v>211</v>
      </c>
      <c r="G224" s="33" t="s">
        <v>211</v>
      </c>
    </row>
    <row r="225" spans="1:7" x14ac:dyDescent="0.3">
      <c r="A225" s="108" t="str">
        <f t="shared" si="6"/>
        <v>WSX11</v>
      </c>
      <c r="B225" s="20" t="s">
        <v>10</v>
      </c>
      <c r="C225" s="20">
        <v>2011</v>
      </c>
      <c r="D225" s="32" t="s">
        <v>211</v>
      </c>
      <c r="E225" s="32" t="s">
        <v>211</v>
      </c>
      <c r="F225" s="33" t="s">
        <v>211</v>
      </c>
      <c r="G225" s="33" t="s">
        <v>211</v>
      </c>
    </row>
    <row r="226" spans="1:7" x14ac:dyDescent="0.3">
      <c r="A226" s="108" t="str">
        <f t="shared" si="6"/>
        <v>WSX12</v>
      </c>
      <c r="B226" s="20" t="s">
        <v>10</v>
      </c>
      <c r="C226" s="20">
        <v>2012</v>
      </c>
      <c r="D226" s="32">
        <v>0.19488341698329942</v>
      </c>
      <c r="E226" s="32" t="s">
        <v>211</v>
      </c>
      <c r="F226" s="33">
        <v>167.25847667764748</v>
      </c>
      <c r="G226" s="33">
        <v>0</v>
      </c>
    </row>
    <row r="227" spans="1:7" x14ac:dyDescent="0.3">
      <c r="A227" s="108" t="str">
        <f>B227&amp;RIGHT(C227,2)</f>
        <v>WSX13</v>
      </c>
      <c r="B227" s="20" t="s">
        <v>10</v>
      </c>
      <c r="C227" s="20">
        <v>2013</v>
      </c>
      <c r="D227" s="32">
        <v>2.6509321044003449</v>
      </c>
      <c r="E227" s="32" t="s">
        <v>211</v>
      </c>
      <c r="F227" s="33">
        <v>200.83412254253136</v>
      </c>
      <c r="G227" s="33">
        <v>92.775000000000006</v>
      </c>
    </row>
    <row r="228" spans="1:7" x14ac:dyDescent="0.3">
      <c r="A228" s="108" t="str">
        <f>B228&amp;RIGHT(C228,2)</f>
        <v>WSX14</v>
      </c>
      <c r="B228" s="20" t="s">
        <v>10</v>
      </c>
      <c r="C228" s="20">
        <v>2014</v>
      </c>
      <c r="D228" s="32">
        <v>0.59416796609195388</v>
      </c>
      <c r="E228" s="32" t="s">
        <v>211</v>
      </c>
      <c r="F228" s="33">
        <v>198.35223295058751</v>
      </c>
      <c r="G228" s="33">
        <v>0</v>
      </c>
    </row>
    <row r="229" spans="1:7" x14ac:dyDescent="0.3">
      <c r="A229" s="108" t="str">
        <f>B229&amp;RIGHT(C229,2)</f>
        <v>WSX15</v>
      </c>
      <c r="B229" s="20" t="s">
        <v>10</v>
      </c>
      <c r="C229" s="20">
        <v>2015</v>
      </c>
      <c r="D229" s="32">
        <v>0.98699971195526048</v>
      </c>
      <c r="E229" s="32" t="s">
        <v>211</v>
      </c>
      <c r="F229" s="33">
        <v>186.1955124322935</v>
      </c>
      <c r="G229" s="33">
        <v>0</v>
      </c>
    </row>
    <row r="230" spans="1:7" x14ac:dyDescent="0.3">
      <c r="A230" s="108" t="str">
        <f>B230&amp;RIGHT(C230,2)</f>
        <v>WSX16</v>
      </c>
      <c r="B230" s="20" t="s">
        <v>10</v>
      </c>
      <c r="C230" s="20">
        <v>2016</v>
      </c>
      <c r="D230" s="32">
        <v>4.1185086835350893</v>
      </c>
      <c r="E230" s="32" t="s">
        <v>211</v>
      </c>
      <c r="F230" s="33">
        <v>169.63436884544603</v>
      </c>
      <c r="G230" s="33">
        <v>0</v>
      </c>
    </row>
    <row r="231" spans="1:7" x14ac:dyDescent="0.3">
      <c r="A231" s="108" t="str">
        <f>B231&amp;RIGHT(C231,2)</f>
        <v>WSX17</v>
      </c>
      <c r="B231" s="20" t="s">
        <v>10</v>
      </c>
      <c r="C231" s="20">
        <v>2017</v>
      </c>
      <c r="D231" s="32">
        <v>0.81890329297695719</v>
      </c>
      <c r="E231" s="32" t="s">
        <v>211</v>
      </c>
      <c r="F231" s="33">
        <v>187.7503653435395</v>
      </c>
      <c r="G231" s="33">
        <v>0</v>
      </c>
    </row>
    <row r="232" spans="1:7" x14ac:dyDescent="0.3">
      <c r="A232" s="34" t="s">
        <v>104</v>
      </c>
      <c r="B232" s="35" t="s">
        <v>10</v>
      </c>
      <c r="C232" s="35">
        <v>2018</v>
      </c>
      <c r="D232" s="32">
        <v>2.9751740195999998</v>
      </c>
      <c r="E232" s="32" t="s">
        <v>211</v>
      </c>
      <c r="F232" s="33">
        <v>223.29295986593101</v>
      </c>
      <c r="G232" s="33">
        <v>3.8681592361111101</v>
      </c>
    </row>
    <row r="233" spans="1:7" x14ac:dyDescent="0.3">
      <c r="A233" s="34" t="s">
        <v>105</v>
      </c>
      <c r="B233" s="35" t="s">
        <v>10</v>
      </c>
      <c r="C233" s="35">
        <v>2019</v>
      </c>
      <c r="D233" s="32">
        <v>0.1437957992093617</v>
      </c>
      <c r="E233" s="32" t="s">
        <v>211</v>
      </c>
      <c r="F233" s="33">
        <v>238.73001488748901</v>
      </c>
      <c r="G233" s="33">
        <v>0</v>
      </c>
    </row>
    <row r="234" spans="1:7" x14ac:dyDescent="0.3">
      <c r="A234" s="34" t="s">
        <v>106</v>
      </c>
      <c r="B234" s="35" t="s">
        <v>10</v>
      </c>
      <c r="C234" s="35">
        <v>2020</v>
      </c>
      <c r="D234" s="32">
        <v>0</v>
      </c>
      <c r="E234" s="32" t="s">
        <v>211</v>
      </c>
      <c r="F234" s="33">
        <v>233.183986063878</v>
      </c>
      <c r="G234" s="33">
        <v>0</v>
      </c>
    </row>
    <row r="235" spans="1:7" x14ac:dyDescent="0.3">
      <c r="A235" s="34" t="s">
        <v>107</v>
      </c>
      <c r="B235" s="35" t="s">
        <v>10</v>
      </c>
      <c r="C235" s="35">
        <v>2021</v>
      </c>
      <c r="D235" s="32">
        <v>16.8336069230769</v>
      </c>
      <c r="E235" s="32" t="s">
        <v>211</v>
      </c>
      <c r="F235" s="33">
        <v>334.40990139956699</v>
      </c>
      <c r="G235" s="33">
        <v>1.6456682668398099</v>
      </c>
    </row>
    <row r="236" spans="1:7" x14ac:dyDescent="0.3">
      <c r="A236" s="34" t="s">
        <v>108</v>
      </c>
      <c r="B236" s="35" t="s">
        <v>10</v>
      </c>
      <c r="C236" s="35">
        <v>2022</v>
      </c>
      <c r="D236" s="32">
        <v>0</v>
      </c>
      <c r="E236" s="32" t="s">
        <v>211</v>
      </c>
      <c r="F236" s="33">
        <v>310.35824991875199</v>
      </c>
      <c r="G236" s="33">
        <v>0</v>
      </c>
    </row>
    <row r="237" spans="1:7" x14ac:dyDescent="0.3">
      <c r="A237" s="34" t="s">
        <v>109</v>
      </c>
      <c r="B237" s="35" t="s">
        <v>10</v>
      </c>
      <c r="C237" s="35">
        <v>2023</v>
      </c>
      <c r="D237" s="32">
        <v>0</v>
      </c>
      <c r="E237" s="32" t="s">
        <v>211</v>
      </c>
      <c r="F237" s="33">
        <v>316.21891660017798</v>
      </c>
      <c r="G237" s="33">
        <v>0</v>
      </c>
    </row>
    <row r="238" spans="1:7" x14ac:dyDescent="0.3">
      <c r="A238" s="34" t="s">
        <v>110</v>
      </c>
      <c r="B238" s="35" t="s">
        <v>10</v>
      </c>
      <c r="C238" s="35">
        <v>2024</v>
      </c>
      <c r="D238" s="32">
        <v>0</v>
      </c>
      <c r="E238" s="32" t="s">
        <v>211</v>
      </c>
      <c r="F238" s="33">
        <v>314.555053101689</v>
      </c>
      <c r="G238" s="33">
        <v>0</v>
      </c>
    </row>
    <row r="239" spans="1:7" x14ac:dyDescent="0.3">
      <c r="A239" s="34" t="s">
        <v>111</v>
      </c>
      <c r="B239" s="35" t="s">
        <v>10</v>
      </c>
      <c r="C239" s="35">
        <v>2025</v>
      </c>
      <c r="D239" s="32">
        <v>0</v>
      </c>
      <c r="E239" s="32" t="s">
        <v>211</v>
      </c>
      <c r="F239" s="33">
        <v>297.66581065083898</v>
      </c>
      <c r="G239" s="33">
        <v>0</v>
      </c>
    </row>
    <row r="240" spans="1:7" x14ac:dyDescent="0.3">
      <c r="A240" s="108" t="str">
        <f t="shared" ref="A240:A251" si="7">B240&amp;RIGHT(C240,2)</f>
        <v>YKY01</v>
      </c>
      <c r="B240" s="20" t="s">
        <v>11</v>
      </c>
      <c r="C240" s="20">
        <v>2001</v>
      </c>
      <c r="D240" s="32" t="s">
        <v>211</v>
      </c>
      <c r="E240" s="32" t="s">
        <v>211</v>
      </c>
      <c r="F240" s="33" t="s">
        <v>211</v>
      </c>
      <c r="G240" s="33" t="s">
        <v>211</v>
      </c>
    </row>
    <row r="241" spans="1:7" x14ac:dyDescent="0.3">
      <c r="A241" s="108" t="str">
        <f t="shared" si="7"/>
        <v>YKY02</v>
      </c>
      <c r="B241" s="20" t="s">
        <v>11</v>
      </c>
      <c r="C241" s="20">
        <v>2002</v>
      </c>
      <c r="D241" s="32" t="s">
        <v>211</v>
      </c>
      <c r="E241" s="32" t="s">
        <v>211</v>
      </c>
      <c r="F241" s="33" t="s">
        <v>211</v>
      </c>
      <c r="G241" s="33" t="s">
        <v>211</v>
      </c>
    </row>
    <row r="242" spans="1:7" x14ac:dyDescent="0.3">
      <c r="A242" s="108" t="str">
        <f t="shared" si="7"/>
        <v>YKY03</v>
      </c>
      <c r="B242" s="20" t="s">
        <v>11</v>
      </c>
      <c r="C242" s="20">
        <v>2003</v>
      </c>
      <c r="D242" s="32" t="s">
        <v>211</v>
      </c>
      <c r="E242" s="32" t="s">
        <v>211</v>
      </c>
      <c r="F242" s="33" t="s">
        <v>211</v>
      </c>
      <c r="G242" s="33" t="s">
        <v>211</v>
      </c>
    </row>
    <row r="243" spans="1:7" x14ac:dyDescent="0.3">
      <c r="A243" s="108" t="str">
        <f t="shared" si="7"/>
        <v>YKY04</v>
      </c>
      <c r="B243" s="20" t="s">
        <v>11</v>
      </c>
      <c r="C243" s="20">
        <v>2004</v>
      </c>
      <c r="D243" s="32" t="s">
        <v>211</v>
      </c>
      <c r="E243" s="32" t="s">
        <v>211</v>
      </c>
      <c r="F243" s="33" t="s">
        <v>211</v>
      </c>
      <c r="G243" s="33" t="s">
        <v>211</v>
      </c>
    </row>
    <row r="244" spans="1:7" x14ac:dyDescent="0.3">
      <c r="A244" s="108" t="str">
        <f t="shared" si="7"/>
        <v>YKY05</v>
      </c>
      <c r="B244" s="20" t="s">
        <v>11</v>
      </c>
      <c r="C244" s="20">
        <v>2005</v>
      </c>
      <c r="D244" s="32" t="s">
        <v>211</v>
      </c>
      <c r="E244" s="32" t="s">
        <v>211</v>
      </c>
      <c r="F244" s="33" t="s">
        <v>211</v>
      </c>
      <c r="G244" s="33" t="s">
        <v>211</v>
      </c>
    </row>
    <row r="245" spans="1:7" x14ac:dyDescent="0.3">
      <c r="A245" s="108" t="str">
        <f t="shared" si="7"/>
        <v>YKY06</v>
      </c>
      <c r="B245" s="20" t="s">
        <v>11</v>
      </c>
      <c r="C245" s="20">
        <v>2006</v>
      </c>
      <c r="D245" s="32" t="s">
        <v>211</v>
      </c>
      <c r="E245" s="32" t="s">
        <v>211</v>
      </c>
      <c r="F245" s="33" t="s">
        <v>211</v>
      </c>
      <c r="G245" s="33" t="s">
        <v>211</v>
      </c>
    </row>
    <row r="246" spans="1:7" x14ac:dyDescent="0.3">
      <c r="A246" s="108" t="str">
        <f t="shared" si="7"/>
        <v>YKY07</v>
      </c>
      <c r="B246" s="20" t="s">
        <v>11</v>
      </c>
      <c r="C246" s="20">
        <v>2007</v>
      </c>
      <c r="D246" s="32" t="s">
        <v>211</v>
      </c>
      <c r="E246" s="32" t="s">
        <v>211</v>
      </c>
      <c r="F246" s="33" t="s">
        <v>211</v>
      </c>
      <c r="G246" s="33" t="s">
        <v>211</v>
      </c>
    </row>
    <row r="247" spans="1:7" x14ac:dyDescent="0.3">
      <c r="A247" s="108" t="str">
        <f t="shared" si="7"/>
        <v>YKY08</v>
      </c>
      <c r="B247" s="20" t="s">
        <v>11</v>
      </c>
      <c r="C247" s="20">
        <v>2008</v>
      </c>
      <c r="D247" s="32" t="s">
        <v>211</v>
      </c>
      <c r="E247" s="32" t="s">
        <v>211</v>
      </c>
      <c r="F247" s="33" t="s">
        <v>211</v>
      </c>
      <c r="G247" s="33" t="s">
        <v>211</v>
      </c>
    </row>
    <row r="248" spans="1:7" x14ac:dyDescent="0.3">
      <c r="A248" s="108" t="str">
        <f t="shared" si="7"/>
        <v>YKY09</v>
      </c>
      <c r="B248" s="20" t="s">
        <v>11</v>
      </c>
      <c r="C248" s="20">
        <v>2009</v>
      </c>
      <c r="D248" s="32" t="s">
        <v>211</v>
      </c>
      <c r="E248" s="32" t="s">
        <v>211</v>
      </c>
      <c r="F248" s="33" t="s">
        <v>211</v>
      </c>
      <c r="G248" s="33" t="s">
        <v>211</v>
      </c>
    </row>
    <row r="249" spans="1:7" x14ac:dyDescent="0.3">
      <c r="A249" s="108" t="str">
        <f t="shared" si="7"/>
        <v>YKY10</v>
      </c>
      <c r="B249" s="20" t="s">
        <v>11</v>
      </c>
      <c r="C249" s="20">
        <v>2010</v>
      </c>
      <c r="D249" s="32" t="s">
        <v>211</v>
      </c>
      <c r="E249" s="32" t="s">
        <v>211</v>
      </c>
      <c r="F249" s="33" t="s">
        <v>211</v>
      </c>
      <c r="G249" s="33" t="s">
        <v>211</v>
      </c>
    </row>
    <row r="250" spans="1:7" x14ac:dyDescent="0.3">
      <c r="A250" s="108" t="str">
        <f t="shared" si="7"/>
        <v>YKY11</v>
      </c>
      <c r="B250" s="20" t="s">
        <v>11</v>
      </c>
      <c r="C250" s="20">
        <v>2011</v>
      </c>
      <c r="D250" s="32" t="s">
        <v>211</v>
      </c>
      <c r="E250" s="32" t="s">
        <v>211</v>
      </c>
      <c r="F250" s="33" t="s">
        <v>211</v>
      </c>
      <c r="G250" s="33" t="s">
        <v>211</v>
      </c>
    </row>
    <row r="251" spans="1:7" x14ac:dyDescent="0.3">
      <c r="A251" s="108" t="str">
        <f t="shared" si="7"/>
        <v>YKY12</v>
      </c>
      <c r="B251" s="20" t="s">
        <v>11</v>
      </c>
      <c r="C251" s="20">
        <v>2012</v>
      </c>
      <c r="D251" s="32">
        <v>2.6545889565173098</v>
      </c>
      <c r="E251" s="32" t="s">
        <v>211</v>
      </c>
      <c r="F251" s="33">
        <v>349.70068777128068</v>
      </c>
      <c r="G251" s="33">
        <v>0</v>
      </c>
    </row>
    <row r="252" spans="1:7" x14ac:dyDescent="0.3">
      <c r="A252" s="108" t="str">
        <f>B252&amp;RIGHT(C252,2)</f>
        <v>YKY13</v>
      </c>
      <c r="B252" s="20" t="s">
        <v>11</v>
      </c>
      <c r="C252" s="20">
        <v>2013</v>
      </c>
      <c r="D252" s="32">
        <v>0.96444011424503961</v>
      </c>
      <c r="E252" s="32" t="s">
        <v>211</v>
      </c>
      <c r="F252" s="33">
        <v>406.70005848663004</v>
      </c>
      <c r="G252" s="33">
        <v>0</v>
      </c>
    </row>
    <row r="253" spans="1:7" x14ac:dyDescent="0.3">
      <c r="A253" s="108" t="str">
        <f>B253&amp;RIGHT(C253,2)</f>
        <v>YKY14</v>
      </c>
      <c r="B253" s="20" t="s">
        <v>11</v>
      </c>
      <c r="C253" s="20">
        <v>2014</v>
      </c>
      <c r="D253" s="32">
        <v>5.3438613633874406</v>
      </c>
      <c r="E253" s="32" t="s">
        <v>211</v>
      </c>
      <c r="F253" s="33">
        <v>423.76111206916005</v>
      </c>
      <c r="G253" s="33">
        <v>0</v>
      </c>
    </row>
    <row r="254" spans="1:7" x14ac:dyDescent="0.3">
      <c r="A254" s="108" t="str">
        <f>B254&amp;RIGHT(C254,2)</f>
        <v>YKY15</v>
      </c>
      <c r="B254" s="20" t="s">
        <v>11</v>
      </c>
      <c r="C254" s="20">
        <v>2015</v>
      </c>
      <c r="D254" s="32">
        <v>0.13258175235397326</v>
      </c>
      <c r="E254" s="32" t="s">
        <v>211</v>
      </c>
      <c r="F254" s="33">
        <v>321.16242910238395</v>
      </c>
      <c r="G254" s="33">
        <v>43.381999999999998</v>
      </c>
    </row>
    <row r="255" spans="1:7" x14ac:dyDescent="0.3">
      <c r="A255" s="108" t="str">
        <f>B255&amp;RIGHT(C255,2)</f>
        <v>YKY16</v>
      </c>
      <c r="B255" s="20" t="s">
        <v>11</v>
      </c>
      <c r="C255" s="20">
        <v>2016</v>
      </c>
      <c r="D255" s="32">
        <v>4.8087151457570698E-2</v>
      </c>
      <c r="E255" s="32" t="s">
        <v>211</v>
      </c>
      <c r="F255" s="33">
        <v>321.33239319924832</v>
      </c>
      <c r="G255" s="33">
        <v>0</v>
      </c>
    </row>
    <row r="256" spans="1:7" x14ac:dyDescent="0.3">
      <c r="A256" s="108" t="str">
        <f>B256&amp;RIGHT(C256,2)</f>
        <v>YKY17</v>
      </c>
      <c r="B256" s="20" t="s">
        <v>11</v>
      </c>
      <c r="C256" s="20">
        <v>2017</v>
      </c>
      <c r="D256" s="32">
        <v>2.6833975893311445E-2</v>
      </c>
      <c r="E256" s="32" t="s">
        <v>211</v>
      </c>
      <c r="F256" s="33">
        <v>417.54567248434557</v>
      </c>
      <c r="G256" s="33">
        <v>53.704999999999998</v>
      </c>
    </row>
    <row r="257" spans="1:7" x14ac:dyDescent="0.3">
      <c r="A257" s="34" t="s">
        <v>112</v>
      </c>
      <c r="B257" s="35" t="s">
        <v>11</v>
      </c>
      <c r="C257" s="35">
        <v>2018</v>
      </c>
      <c r="D257" s="32">
        <v>6.0000000000000001E-3</v>
      </c>
      <c r="E257" s="32" t="s">
        <v>211</v>
      </c>
      <c r="F257" s="33">
        <v>423.858</v>
      </c>
      <c r="G257" s="33">
        <v>0</v>
      </c>
    </row>
    <row r="258" spans="1:7" x14ac:dyDescent="0.3">
      <c r="A258" s="34" t="s">
        <v>113</v>
      </c>
      <c r="B258" s="35" t="s">
        <v>11</v>
      </c>
      <c r="C258" s="35">
        <v>2019</v>
      </c>
      <c r="D258" s="32">
        <v>9.7558311880802237E-4</v>
      </c>
      <c r="E258" s="32" t="s">
        <v>211</v>
      </c>
      <c r="F258" s="33">
        <v>534.68799999999999</v>
      </c>
      <c r="G258" s="33">
        <v>0</v>
      </c>
    </row>
    <row r="259" spans="1:7" x14ac:dyDescent="0.3">
      <c r="A259" s="34" t="s">
        <v>114</v>
      </c>
      <c r="B259" s="35" t="s">
        <v>11</v>
      </c>
      <c r="C259" s="35">
        <v>2020</v>
      </c>
      <c r="D259" s="32">
        <v>4.3917550958088677E-2</v>
      </c>
      <c r="E259" s="32" t="s">
        <v>211</v>
      </c>
      <c r="F259" s="33">
        <v>479.65</v>
      </c>
      <c r="G259" s="33">
        <v>0</v>
      </c>
    </row>
    <row r="260" spans="1:7" x14ac:dyDescent="0.3">
      <c r="A260" s="34" t="s">
        <v>115</v>
      </c>
      <c r="B260" s="35" t="s">
        <v>11</v>
      </c>
      <c r="C260" s="35">
        <v>2021</v>
      </c>
      <c r="D260" s="32">
        <v>0</v>
      </c>
      <c r="E260" s="32" t="s">
        <v>211</v>
      </c>
      <c r="F260" s="33">
        <v>707.06500000000005</v>
      </c>
      <c r="G260" s="33">
        <v>0</v>
      </c>
    </row>
    <row r="261" spans="1:7" x14ac:dyDescent="0.3">
      <c r="A261" s="34" t="s">
        <v>116</v>
      </c>
      <c r="B261" s="35" t="s">
        <v>11</v>
      </c>
      <c r="C261" s="35">
        <v>2022</v>
      </c>
      <c r="D261" s="32">
        <v>0</v>
      </c>
      <c r="E261" s="32" t="s">
        <v>211</v>
      </c>
      <c r="F261" s="33">
        <v>713.04899999999998</v>
      </c>
      <c r="G261" s="33">
        <v>0</v>
      </c>
    </row>
    <row r="262" spans="1:7" x14ac:dyDescent="0.3">
      <c r="A262" s="34" t="s">
        <v>117</v>
      </c>
      <c r="B262" s="35" t="s">
        <v>11</v>
      </c>
      <c r="C262" s="35">
        <v>2023</v>
      </c>
      <c r="D262" s="32">
        <v>0</v>
      </c>
      <c r="E262" s="32" t="s">
        <v>211</v>
      </c>
      <c r="F262" s="33">
        <v>603.85599999999999</v>
      </c>
      <c r="G262" s="33">
        <v>0</v>
      </c>
    </row>
    <row r="263" spans="1:7" x14ac:dyDescent="0.3">
      <c r="A263" s="34" t="s">
        <v>118</v>
      </c>
      <c r="B263" s="35" t="s">
        <v>11</v>
      </c>
      <c r="C263" s="35">
        <v>2024</v>
      </c>
      <c r="D263" s="32">
        <v>0</v>
      </c>
      <c r="E263" s="32" t="s">
        <v>211</v>
      </c>
      <c r="F263" s="33">
        <v>488.68900000000002</v>
      </c>
      <c r="G263" s="33">
        <v>0</v>
      </c>
    </row>
    <row r="264" spans="1:7" x14ac:dyDescent="0.3">
      <c r="A264" s="34" t="s">
        <v>119</v>
      </c>
      <c r="B264" s="35" t="s">
        <v>11</v>
      </c>
      <c r="C264" s="35">
        <v>2025</v>
      </c>
      <c r="D264" s="32">
        <v>0</v>
      </c>
      <c r="E264" s="32" t="s">
        <v>211</v>
      </c>
      <c r="F264" s="33">
        <v>381.36700000000002</v>
      </c>
      <c r="G264" s="33">
        <v>0</v>
      </c>
    </row>
    <row r="265" spans="1:7" x14ac:dyDescent="0.3">
      <c r="A265" s="20" t="str">
        <f t="shared" ref="A265:A274" si="8">B265&amp;RIGHT(C265,2)</f>
        <v>SVE12</v>
      </c>
      <c r="B265" s="20" t="s">
        <v>120</v>
      </c>
      <c r="C265" s="20">
        <v>2012</v>
      </c>
      <c r="D265" s="32">
        <v>0</v>
      </c>
      <c r="E265" s="32" t="s">
        <v>211</v>
      </c>
      <c r="F265" s="33">
        <v>0</v>
      </c>
      <c r="G265" s="33">
        <v>0</v>
      </c>
    </row>
    <row r="266" spans="1:7" x14ac:dyDescent="0.3">
      <c r="A266" s="20" t="str">
        <f t="shared" si="8"/>
        <v>SVE13</v>
      </c>
      <c r="B266" s="20" t="s">
        <v>120</v>
      </c>
      <c r="C266" s="20">
        <v>2013</v>
      </c>
      <c r="D266" s="32">
        <v>0</v>
      </c>
      <c r="E266" s="32" t="s">
        <v>211</v>
      </c>
      <c r="F266" s="33">
        <v>0</v>
      </c>
      <c r="G266" s="33">
        <v>0</v>
      </c>
    </row>
    <row r="267" spans="1:7" x14ac:dyDescent="0.3">
      <c r="A267" s="20" t="str">
        <f t="shared" si="8"/>
        <v>SVE14</v>
      </c>
      <c r="B267" s="20" t="s">
        <v>120</v>
      </c>
      <c r="C267" s="20">
        <v>2014</v>
      </c>
      <c r="D267" s="32">
        <v>0</v>
      </c>
      <c r="E267" s="32" t="s">
        <v>211</v>
      </c>
      <c r="F267" s="33">
        <v>0</v>
      </c>
      <c r="G267" s="33">
        <v>0</v>
      </c>
    </row>
    <row r="268" spans="1:7" x14ac:dyDescent="0.3">
      <c r="A268" s="20" t="str">
        <f t="shared" si="8"/>
        <v>SVE15</v>
      </c>
      <c r="B268" s="20" t="s">
        <v>120</v>
      </c>
      <c r="C268" s="20">
        <v>2015</v>
      </c>
      <c r="D268" s="32">
        <v>0</v>
      </c>
      <c r="E268" s="32" t="s">
        <v>211</v>
      </c>
      <c r="F268" s="33">
        <v>0</v>
      </c>
      <c r="G268" s="33">
        <v>0</v>
      </c>
    </row>
    <row r="269" spans="1:7" x14ac:dyDescent="0.3">
      <c r="A269" s="20" t="str">
        <f t="shared" si="8"/>
        <v>SVE16</v>
      </c>
      <c r="B269" s="20" t="s">
        <v>120</v>
      </c>
      <c r="C269" s="20">
        <v>2016</v>
      </c>
      <c r="D269" s="32">
        <v>0</v>
      </c>
      <c r="E269" s="32" t="s">
        <v>211</v>
      </c>
      <c r="F269" s="33">
        <v>0</v>
      </c>
      <c r="G269" s="33">
        <v>0</v>
      </c>
    </row>
    <row r="270" spans="1:7" x14ac:dyDescent="0.3">
      <c r="A270" s="20" t="str">
        <f t="shared" si="8"/>
        <v>SVE17</v>
      </c>
      <c r="B270" s="20" t="s">
        <v>120</v>
      </c>
      <c r="C270" s="20">
        <v>2017</v>
      </c>
      <c r="D270" s="32">
        <v>0</v>
      </c>
      <c r="E270" s="32" t="s">
        <v>211</v>
      </c>
      <c r="F270" s="33">
        <v>0</v>
      </c>
      <c r="G270" s="33">
        <v>0</v>
      </c>
    </row>
    <row r="271" spans="1:7" x14ac:dyDescent="0.3">
      <c r="A271" s="34" t="str">
        <f t="shared" si="8"/>
        <v>SVE18</v>
      </c>
      <c r="B271" s="20" t="s">
        <v>120</v>
      </c>
      <c r="C271" s="35">
        <v>2018</v>
      </c>
      <c r="D271" s="32">
        <v>0</v>
      </c>
      <c r="E271" s="32" t="s">
        <v>211</v>
      </c>
      <c r="F271" s="33">
        <v>547.85625660232995</v>
      </c>
      <c r="G271" s="33">
        <v>0</v>
      </c>
    </row>
    <row r="272" spans="1:7" x14ac:dyDescent="0.3">
      <c r="A272" s="34" t="str">
        <f t="shared" si="8"/>
        <v>SVE19</v>
      </c>
      <c r="B272" s="20" t="s">
        <v>120</v>
      </c>
      <c r="C272" s="35">
        <v>2019</v>
      </c>
      <c r="D272" s="32">
        <v>0</v>
      </c>
      <c r="E272" s="32" t="s">
        <v>211</v>
      </c>
      <c r="F272" s="33">
        <v>628.68970993651601</v>
      </c>
      <c r="G272" s="33">
        <v>0</v>
      </c>
    </row>
    <row r="273" spans="1:7" x14ac:dyDescent="0.3">
      <c r="A273" s="34" t="str">
        <f t="shared" si="8"/>
        <v>SVE20</v>
      </c>
      <c r="B273" s="20" t="s">
        <v>120</v>
      </c>
      <c r="C273" s="35">
        <v>2020</v>
      </c>
      <c r="D273" s="32">
        <v>0</v>
      </c>
      <c r="E273" s="32" t="s">
        <v>211</v>
      </c>
      <c r="F273" s="33">
        <v>594.60837860651998</v>
      </c>
      <c r="G273" s="33">
        <v>0</v>
      </c>
    </row>
    <row r="274" spans="1:7" x14ac:dyDescent="0.3">
      <c r="A274" s="34" t="str">
        <f t="shared" si="8"/>
        <v>SVE21</v>
      </c>
      <c r="B274" s="20" t="s">
        <v>120</v>
      </c>
      <c r="C274" s="35">
        <v>2021</v>
      </c>
      <c r="D274" s="32">
        <v>0</v>
      </c>
      <c r="E274" s="32" t="s">
        <v>211</v>
      </c>
      <c r="F274" s="33">
        <v>560.93585269017797</v>
      </c>
      <c r="G274" s="33">
        <v>0</v>
      </c>
    </row>
    <row r="275" spans="1:7" x14ac:dyDescent="0.3">
      <c r="A275" s="34" t="str">
        <f>B275&amp;RIGHT(C275,2)</f>
        <v>SVE22</v>
      </c>
      <c r="B275" s="20" t="s">
        <v>120</v>
      </c>
      <c r="C275" s="35">
        <v>2022</v>
      </c>
      <c r="D275" s="32">
        <v>0</v>
      </c>
      <c r="E275" s="32" t="s">
        <v>211</v>
      </c>
      <c r="F275" s="33">
        <v>614.47872550832301</v>
      </c>
      <c r="G275" s="33">
        <v>0</v>
      </c>
    </row>
    <row r="276" spans="1:7" x14ac:dyDescent="0.3">
      <c r="A276" s="34" t="str">
        <f>B276&amp;RIGHT(C276,2)</f>
        <v>SVE23</v>
      </c>
      <c r="B276" s="20" t="s">
        <v>120</v>
      </c>
      <c r="C276" s="35">
        <v>2023</v>
      </c>
      <c r="D276" s="32">
        <v>0</v>
      </c>
      <c r="E276" s="32" t="s">
        <v>211</v>
      </c>
      <c r="F276" s="33">
        <v>621.22299129652799</v>
      </c>
      <c r="G276" s="33">
        <v>0</v>
      </c>
    </row>
    <row r="277" spans="1:7" x14ac:dyDescent="0.3">
      <c r="A277" s="34" t="str">
        <f>B277&amp;RIGHT(C277,2)</f>
        <v>SVE24</v>
      </c>
      <c r="B277" s="20" t="s">
        <v>120</v>
      </c>
      <c r="C277" s="35">
        <v>2024</v>
      </c>
      <c r="D277" s="32">
        <v>0</v>
      </c>
      <c r="E277" s="32" t="s">
        <v>211</v>
      </c>
      <c r="F277" s="33">
        <v>610.59658027129899</v>
      </c>
      <c r="G277" s="33">
        <v>0</v>
      </c>
    </row>
    <row r="278" spans="1:7" x14ac:dyDescent="0.3">
      <c r="A278" s="34" t="str">
        <f>B278&amp;RIGHT(C278,2)</f>
        <v>SVE25</v>
      </c>
      <c r="B278" s="20" t="s">
        <v>120</v>
      </c>
      <c r="C278" s="35">
        <v>2025</v>
      </c>
      <c r="D278" s="32">
        <v>0</v>
      </c>
      <c r="E278" s="32" t="s">
        <v>211</v>
      </c>
      <c r="F278" s="33">
        <v>545.43688543661597</v>
      </c>
      <c r="G278" s="33">
        <v>0</v>
      </c>
    </row>
    <row r="279" spans="1:7" x14ac:dyDescent="0.3">
      <c r="A279" s="20" t="str">
        <f t="shared" ref="A279:A288" si="9">B279&amp;RIGHT(C279,2)</f>
        <v>HDD12</v>
      </c>
      <c r="B279" s="20" t="s">
        <v>121</v>
      </c>
      <c r="C279" s="20">
        <v>2012</v>
      </c>
      <c r="D279" s="32">
        <v>0</v>
      </c>
      <c r="E279" s="32" t="s">
        <v>211</v>
      </c>
      <c r="F279" s="33">
        <v>0</v>
      </c>
      <c r="G279" s="33">
        <v>0</v>
      </c>
    </row>
    <row r="280" spans="1:7" x14ac:dyDescent="0.3">
      <c r="A280" s="20" t="str">
        <f t="shared" si="9"/>
        <v>HDD13</v>
      </c>
      <c r="B280" s="20" t="s">
        <v>121</v>
      </c>
      <c r="C280" s="20">
        <v>2013</v>
      </c>
      <c r="D280" s="32">
        <v>0</v>
      </c>
      <c r="E280" s="32" t="s">
        <v>211</v>
      </c>
      <c r="F280" s="33">
        <v>0</v>
      </c>
      <c r="G280" s="33">
        <v>0</v>
      </c>
    </row>
    <row r="281" spans="1:7" x14ac:dyDescent="0.3">
      <c r="A281" s="20" t="str">
        <f t="shared" si="9"/>
        <v>HDD14</v>
      </c>
      <c r="B281" s="20" t="s">
        <v>121</v>
      </c>
      <c r="C281" s="20">
        <v>2014</v>
      </c>
      <c r="D281" s="32">
        <v>0</v>
      </c>
      <c r="E281" s="32" t="s">
        <v>211</v>
      </c>
      <c r="F281" s="33">
        <v>0</v>
      </c>
      <c r="G281" s="33">
        <v>0</v>
      </c>
    </row>
    <row r="282" spans="1:7" x14ac:dyDescent="0.3">
      <c r="A282" s="20" t="str">
        <f t="shared" si="9"/>
        <v>HDD15</v>
      </c>
      <c r="B282" s="20" t="s">
        <v>121</v>
      </c>
      <c r="C282" s="20">
        <v>2015</v>
      </c>
      <c r="D282" s="32">
        <v>0</v>
      </c>
      <c r="E282" s="32" t="s">
        <v>211</v>
      </c>
      <c r="F282" s="33">
        <v>0</v>
      </c>
      <c r="G282" s="33">
        <v>0</v>
      </c>
    </row>
    <row r="283" spans="1:7" x14ac:dyDescent="0.3">
      <c r="A283" s="20" t="str">
        <f t="shared" si="9"/>
        <v>HDD16</v>
      </c>
      <c r="B283" s="20" t="s">
        <v>121</v>
      </c>
      <c r="C283" s="20">
        <v>2016</v>
      </c>
      <c r="D283" s="32">
        <v>0</v>
      </c>
      <c r="E283" s="32" t="s">
        <v>211</v>
      </c>
      <c r="F283" s="33">
        <v>0</v>
      </c>
      <c r="G283" s="33">
        <v>0</v>
      </c>
    </row>
    <row r="284" spans="1:7" x14ac:dyDescent="0.3">
      <c r="A284" s="20" t="str">
        <f t="shared" si="9"/>
        <v>HDD17</v>
      </c>
      <c r="B284" s="20" t="s">
        <v>121</v>
      </c>
      <c r="C284" s="20">
        <v>2017</v>
      </c>
      <c r="D284" s="32">
        <v>0</v>
      </c>
      <c r="E284" s="32" t="s">
        <v>211</v>
      </c>
      <c r="F284" s="33">
        <v>0</v>
      </c>
      <c r="G284" s="33">
        <v>0</v>
      </c>
    </row>
    <row r="285" spans="1:7" x14ac:dyDescent="0.3">
      <c r="A285" s="34" t="str">
        <f t="shared" si="9"/>
        <v>HDD18</v>
      </c>
      <c r="B285" s="20" t="s">
        <v>121</v>
      </c>
      <c r="C285" s="35">
        <v>2018</v>
      </c>
      <c r="D285" s="32">
        <v>0</v>
      </c>
      <c r="E285" s="32" t="s">
        <v>211</v>
      </c>
      <c r="F285" s="33">
        <v>3.2649925252117602</v>
      </c>
      <c r="G285" s="33">
        <v>0</v>
      </c>
    </row>
    <row r="286" spans="1:7" x14ac:dyDescent="0.3">
      <c r="A286" s="34" t="str">
        <f t="shared" si="9"/>
        <v>HDD19</v>
      </c>
      <c r="B286" s="20" t="s">
        <v>121</v>
      </c>
      <c r="C286" s="35">
        <v>2019</v>
      </c>
      <c r="D286" s="32">
        <v>0</v>
      </c>
      <c r="E286" s="32" t="s">
        <v>211</v>
      </c>
      <c r="F286" s="33">
        <v>4.2647136009612296</v>
      </c>
      <c r="G286" s="33">
        <v>0</v>
      </c>
    </row>
    <row r="287" spans="1:7" x14ac:dyDescent="0.3">
      <c r="A287" s="34" t="str">
        <f t="shared" si="9"/>
        <v>HDD20</v>
      </c>
      <c r="B287" s="20" t="s">
        <v>121</v>
      </c>
      <c r="C287" s="35">
        <v>2020</v>
      </c>
      <c r="D287" s="32">
        <v>0</v>
      </c>
      <c r="E287" s="32" t="s">
        <v>211</v>
      </c>
      <c r="F287" s="33">
        <v>5.2617820562997499</v>
      </c>
      <c r="G287" s="33">
        <v>0</v>
      </c>
    </row>
    <row r="288" spans="1:7" x14ac:dyDescent="0.3">
      <c r="A288" s="34" t="str">
        <f t="shared" si="9"/>
        <v>HDD21</v>
      </c>
      <c r="B288" s="20" t="s">
        <v>121</v>
      </c>
      <c r="C288" s="35">
        <v>2021</v>
      </c>
      <c r="D288" s="32">
        <v>0</v>
      </c>
      <c r="E288" s="32" t="s">
        <v>211</v>
      </c>
      <c r="F288" s="33">
        <v>4.3490774731552699</v>
      </c>
      <c r="G288" s="33">
        <v>0</v>
      </c>
    </row>
    <row r="289" spans="1:7" x14ac:dyDescent="0.3">
      <c r="A289" s="34" t="str">
        <f>B289&amp;RIGHT(C289,2)</f>
        <v>HDD22</v>
      </c>
      <c r="B289" s="20" t="s">
        <v>121</v>
      </c>
      <c r="C289" s="35">
        <v>2022</v>
      </c>
      <c r="D289" s="32">
        <v>0</v>
      </c>
      <c r="E289" s="32" t="s">
        <v>211</v>
      </c>
      <c r="F289" s="33">
        <v>4.8159413760622201</v>
      </c>
      <c r="G289" s="33">
        <v>0</v>
      </c>
    </row>
    <row r="290" spans="1:7" x14ac:dyDescent="0.3">
      <c r="A290" s="34" t="str">
        <f>B290&amp;RIGHT(C290,2)</f>
        <v>HDD23</v>
      </c>
      <c r="B290" s="20" t="s">
        <v>121</v>
      </c>
      <c r="C290" s="35">
        <v>2023</v>
      </c>
      <c r="D290" s="32">
        <v>0</v>
      </c>
      <c r="E290" s="32" t="s">
        <v>211</v>
      </c>
      <c r="F290" s="33">
        <v>5.0266953078384402</v>
      </c>
      <c r="G290" s="33">
        <v>0</v>
      </c>
    </row>
    <row r="291" spans="1:7" x14ac:dyDescent="0.3">
      <c r="A291" s="34" t="str">
        <f>B291&amp;RIGHT(C291,2)</f>
        <v>HDD24</v>
      </c>
      <c r="B291" s="20" t="s">
        <v>121</v>
      </c>
      <c r="C291" s="35">
        <v>2024</v>
      </c>
      <c r="D291" s="32">
        <v>0</v>
      </c>
      <c r="E291" s="32" t="s">
        <v>211</v>
      </c>
      <c r="F291" s="33">
        <v>6.13945027329786</v>
      </c>
      <c r="G291" s="33">
        <v>0</v>
      </c>
    </row>
    <row r="292" spans="1:7" x14ac:dyDescent="0.3">
      <c r="A292" s="34" t="str">
        <f>B292&amp;RIGHT(C292,2)</f>
        <v>HDD25</v>
      </c>
      <c r="B292" s="20" t="s">
        <v>121</v>
      </c>
      <c r="C292" s="35">
        <v>2025</v>
      </c>
      <c r="D292" s="32">
        <v>0</v>
      </c>
      <c r="E292" s="32" t="s">
        <v>211</v>
      </c>
      <c r="F292" s="33">
        <v>4.5652000305771701</v>
      </c>
      <c r="G292" s="33">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R32"/>
  <sheetViews>
    <sheetView showGridLines="0" zoomScale="80" zoomScaleNormal="80" workbookViewId="0"/>
  </sheetViews>
  <sheetFormatPr defaultColWidth="9.08984375" defaultRowHeight="13" x14ac:dyDescent="0.3"/>
  <cols>
    <col min="1" max="1" width="3.08984375" style="6" customWidth="1"/>
    <col min="2" max="16384" width="9.08984375" style="6"/>
  </cols>
  <sheetData>
    <row r="1" spans="2:18" ht="18.5" x14ac:dyDescent="0.3">
      <c r="B1" s="70" t="s">
        <v>202</v>
      </c>
      <c r="C1" s="70"/>
      <c r="D1" s="70"/>
      <c r="E1" s="70"/>
      <c r="F1" s="70"/>
      <c r="G1" s="70"/>
      <c r="H1" s="70"/>
      <c r="I1" s="70"/>
      <c r="J1" s="70"/>
      <c r="K1" s="70"/>
    </row>
    <row r="4" spans="2:18" x14ac:dyDescent="0.3">
      <c r="B4" s="71" t="str">
        <f>Data!D5</f>
        <v xml:space="preserve">UV disinfection </v>
      </c>
      <c r="C4" s="71"/>
      <c r="D4" s="71"/>
      <c r="E4" s="71"/>
      <c r="F4" s="71"/>
      <c r="G4" s="71"/>
      <c r="H4" s="71"/>
      <c r="I4" s="71"/>
      <c r="J4" s="71"/>
      <c r="K4" s="71"/>
    </row>
    <row r="6" spans="2:18" ht="39" x14ac:dyDescent="0.3">
      <c r="B6" s="72" t="s">
        <v>12</v>
      </c>
      <c r="C6" s="72">
        <v>2012</v>
      </c>
      <c r="D6" s="72">
        <v>2013</v>
      </c>
      <c r="E6" s="72">
        <v>2014</v>
      </c>
      <c r="F6" s="72">
        <v>2015</v>
      </c>
      <c r="G6" s="72">
        <v>2016</v>
      </c>
      <c r="H6" s="72">
        <v>2017</v>
      </c>
      <c r="I6" s="72">
        <v>2018</v>
      </c>
      <c r="J6" s="72">
        <v>2019</v>
      </c>
      <c r="K6" s="72">
        <v>2020</v>
      </c>
      <c r="L6" s="64">
        <v>2021</v>
      </c>
      <c r="M6" s="64">
        <v>2022</v>
      </c>
      <c r="N6" s="64">
        <v>2023</v>
      </c>
      <c r="O6" s="64">
        <v>2024</v>
      </c>
      <c r="P6" s="64">
        <v>2025</v>
      </c>
      <c r="Q6" s="65" t="s">
        <v>194</v>
      </c>
      <c r="R6" s="64" t="s">
        <v>191</v>
      </c>
    </row>
    <row r="7" spans="2:18" x14ac:dyDescent="0.3">
      <c r="B7" s="36" t="s">
        <v>1</v>
      </c>
      <c r="C7" s="68">
        <f>SUMIFS(Data!$D$6:$D$298,Data!$B$6:$B$298,$B7,Data!$C$6:$C$298,C$6)</f>
        <v>3.4295083994575406</v>
      </c>
      <c r="D7" s="68">
        <f>SUMIFS(Data!$D$6:$D$298,Data!$B$6:$B$298,$B7,Data!$C$6:$C$298,D$6)</f>
        <v>3.037327439880932</v>
      </c>
      <c r="E7" s="68">
        <f>SUMIFS(Data!$D$6:$D$298,Data!$B$6:$B$298,$B7,Data!$C$6:$C$298,E$6)</f>
        <v>1.3463437776791749</v>
      </c>
      <c r="F7" s="68">
        <f>SUMIFS(Data!$D$6:$D$298,Data!$B$6:$B$298,$B7,Data!$C$6:$C$298,F$6)</f>
        <v>1.5592332404245006</v>
      </c>
      <c r="G7" s="68">
        <f>SUMIFS(Data!$D$6:$D$298,Data!$B$6:$B$298,$B7,Data!$C$6:$C$298,G$6)</f>
        <v>1.8162839759284024</v>
      </c>
      <c r="H7" s="68">
        <f>SUMIFS(Data!$D$6:$D$298,Data!$B$6:$B$298,$B7,Data!$C$6:$C$298,H$6)</f>
        <v>4.4339931552761582</v>
      </c>
      <c r="I7" s="68">
        <f>SUMIFS(Data!$D$6:$D$298,Data!$B$6:$B$298,$B7,Data!$C$6:$C$298,I$6)</f>
        <v>0.26272290073296101</v>
      </c>
      <c r="J7" s="68">
        <f>SUMIFS(Data!$D$6:$D$298,Data!$B$6:$B$298,$B7,Data!$C$6:$C$298,J$6)</f>
        <v>0</v>
      </c>
      <c r="K7" s="68">
        <f>SUMIFS(Data!$D$6:$D$298,Data!$B$6:$B$298,$B7,Data!$C$6:$C$298,K$6)</f>
        <v>0</v>
      </c>
      <c r="L7" s="68">
        <f>SUMIFS(Data!$D$6:$D$298,Data!$B$6:$B$298,$B7,Data!$C$6:$C$298,L$6)</f>
        <v>5.7498576726786901</v>
      </c>
      <c r="M7" s="68">
        <f>SUMIFS(Data!$D$6:$D$298,Data!$B$6:$B$298,$B7,Data!$C$6:$C$298,M$6)</f>
        <v>8.7545807698019598</v>
      </c>
      <c r="N7" s="68">
        <f>SUMIFS(Data!$D$6:$D$298,Data!$B$6:$B$298,$B7,Data!$C$6:$C$298,N$6)</f>
        <v>3.16675384957755</v>
      </c>
      <c r="O7" s="68">
        <f>SUMIFS(Data!$D$6:$D$298,Data!$B$6:$B$298,$B7,Data!$C$6:$C$298,O$6)</f>
        <v>4.64591042763122</v>
      </c>
      <c r="P7" s="68">
        <f>SUMIFS(Data!$D$6:$D$298,Data!$B$6:$B$298,$B7,Data!$C$6:$C$298,P$6)</f>
        <v>2.58971243155352</v>
      </c>
      <c r="Q7" s="68">
        <f>SUM(C7:I7)</f>
        <v>15.885412889379669</v>
      </c>
      <c r="R7" s="69">
        <f>SUM(L7:P7)</f>
        <v>24.906815151242942</v>
      </c>
    </row>
    <row r="8" spans="2:18" x14ac:dyDescent="0.3">
      <c r="B8" s="36" t="s">
        <v>121</v>
      </c>
      <c r="C8" s="68">
        <f>SUMIFS(Data!$D$6:$D$298,Data!$B$6:$B$298,$B8,Data!$C$6:$C$298,C$6)</f>
        <v>0</v>
      </c>
      <c r="D8" s="68">
        <f>SUMIFS(Data!$D$6:$D$298,Data!$B$6:$B$298,$B8,Data!$C$6:$C$298,D$6)</f>
        <v>0</v>
      </c>
      <c r="E8" s="68">
        <f>SUMIFS(Data!$D$6:$D$298,Data!$B$6:$B$298,$B8,Data!$C$6:$C$298,E$6)</f>
        <v>0</v>
      </c>
      <c r="F8" s="68">
        <f>SUMIFS(Data!$D$6:$D$298,Data!$B$6:$B$298,$B8,Data!$C$6:$C$298,F$6)</f>
        <v>0</v>
      </c>
      <c r="G8" s="68">
        <f>SUMIFS(Data!$D$6:$D$298,Data!$B$6:$B$298,$B8,Data!$C$6:$C$298,G$6)</f>
        <v>0</v>
      </c>
      <c r="H8" s="68">
        <f>SUMIFS(Data!$D$6:$D$298,Data!$B$6:$B$298,$B8,Data!$C$6:$C$298,H$6)</f>
        <v>0</v>
      </c>
      <c r="I8" s="68">
        <f>SUMIFS(Data!$D$6:$D$298,Data!$B$6:$B$298,$B8,Data!$C$6:$C$298,I$6)</f>
        <v>0</v>
      </c>
      <c r="J8" s="68">
        <f>SUMIFS(Data!$D$6:$D$298,Data!$B$6:$B$298,$B8,Data!$C$6:$C$298,J$6)</f>
        <v>0</v>
      </c>
      <c r="K8" s="68">
        <f>SUMIFS(Data!$D$6:$D$298,Data!$B$6:$B$298,$B8,Data!$C$6:$C$298,K$6)</f>
        <v>0</v>
      </c>
      <c r="L8" s="68">
        <f>SUMIFS(Data!$D$6:$D$298,Data!$B$6:$B$298,$B8,Data!$C$6:$C$298,L$6)</f>
        <v>0</v>
      </c>
      <c r="M8" s="68">
        <f>SUMIFS(Data!$D$6:$D$298,Data!$B$6:$B$298,$B8,Data!$C$6:$C$298,M$6)</f>
        <v>0</v>
      </c>
      <c r="N8" s="68">
        <f>SUMIFS(Data!$D$6:$D$298,Data!$B$6:$B$298,$B8,Data!$C$6:$C$298,N$6)</f>
        <v>0</v>
      </c>
      <c r="O8" s="68">
        <f>SUMIFS(Data!$D$6:$D$298,Data!$B$6:$B$298,$B8,Data!$C$6:$C$298,O$6)</f>
        <v>0</v>
      </c>
      <c r="P8" s="68">
        <f>SUMIFS(Data!$D$6:$D$298,Data!$B$6:$B$298,$B8,Data!$C$6:$C$298,P$6)</f>
        <v>0</v>
      </c>
      <c r="Q8" s="68">
        <f t="shared" ref="Q8:Q17" si="0">SUM(C8:I8)</f>
        <v>0</v>
      </c>
      <c r="R8" s="69">
        <f t="shared" ref="R8:R17" si="1">SUM(L8:P8)</f>
        <v>0</v>
      </c>
    </row>
    <row r="9" spans="2:18" x14ac:dyDescent="0.3">
      <c r="B9" s="36" t="s">
        <v>2</v>
      </c>
      <c r="C9" s="68">
        <f>SUMIFS(Data!$D$6:$D$298,Data!$B$6:$B$298,$B9,Data!$C$6:$C$298,C$6)</f>
        <v>0</v>
      </c>
      <c r="D9" s="68">
        <f>SUMIFS(Data!$D$6:$D$298,Data!$B$6:$B$298,$B9,Data!$C$6:$C$298,D$6)</f>
        <v>0</v>
      </c>
      <c r="E9" s="68">
        <f>SUMIFS(Data!$D$6:$D$298,Data!$B$6:$B$298,$B9,Data!$C$6:$C$298,E$6)</f>
        <v>0</v>
      </c>
      <c r="F9" s="68">
        <f>SUMIFS(Data!$D$6:$D$298,Data!$B$6:$B$298,$B9,Data!$C$6:$C$298,F$6)</f>
        <v>0</v>
      </c>
      <c r="G9" s="68">
        <f>SUMIFS(Data!$D$6:$D$298,Data!$B$6:$B$298,$B9,Data!$C$6:$C$298,G$6)</f>
        <v>0</v>
      </c>
      <c r="H9" s="68">
        <f>SUMIFS(Data!$D$6:$D$298,Data!$B$6:$B$298,$B9,Data!$C$6:$C$298,H$6)</f>
        <v>0</v>
      </c>
      <c r="I9" s="68">
        <f>SUMIFS(Data!$D$6:$D$298,Data!$B$6:$B$298,$B9,Data!$C$6:$C$298,I$6)</f>
        <v>0</v>
      </c>
      <c r="J9" s="68">
        <f>SUMIFS(Data!$D$6:$D$298,Data!$B$6:$B$298,$B9,Data!$C$6:$C$298,J$6)</f>
        <v>0</v>
      </c>
      <c r="K9" s="68">
        <f>SUMIFS(Data!$D$6:$D$298,Data!$B$6:$B$298,$B9,Data!$C$6:$C$298,K$6)</f>
        <v>0</v>
      </c>
      <c r="L9" s="68">
        <f>SUMIFS(Data!$D$6:$D$298,Data!$B$6:$B$298,$B9,Data!$C$6:$C$298,L$6)</f>
        <v>0</v>
      </c>
      <c r="M9" s="68">
        <f>SUMIFS(Data!$D$6:$D$298,Data!$B$6:$B$298,$B9,Data!$C$6:$C$298,M$6)</f>
        <v>0</v>
      </c>
      <c r="N9" s="68">
        <f>SUMIFS(Data!$D$6:$D$298,Data!$B$6:$B$298,$B9,Data!$C$6:$C$298,N$6)</f>
        <v>0</v>
      </c>
      <c r="O9" s="68">
        <f>SUMIFS(Data!$D$6:$D$298,Data!$B$6:$B$298,$B9,Data!$C$6:$C$298,O$6)</f>
        <v>0</v>
      </c>
      <c r="P9" s="68">
        <f>SUMIFS(Data!$D$6:$D$298,Data!$B$6:$B$298,$B9,Data!$C$6:$C$298,P$6)</f>
        <v>0</v>
      </c>
      <c r="Q9" s="68">
        <f t="shared" si="0"/>
        <v>0</v>
      </c>
      <c r="R9" s="69">
        <f t="shared" si="1"/>
        <v>0</v>
      </c>
    </row>
    <row r="10" spans="2:18" x14ac:dyDescent="0.3">
      <c r="B10" s="36" t="s">
        <v>3</v>
      </c>
      <c r="C10" s="68">
        <f>SUMIFS(Data!$D$6:$D$298,Data!$B$6:$B$298,$B10,Data!$C$6:$C$298,C$6)</f>
        <v>0</v>
      </c>
      <c r="D10" s="68">
        <f>SUMIFS(Data!$D$6:$D$298,Data!$B$6:$B$298,$B10,Data!$C$6:$C$298,D$6)</f>
        <v>8.7444886971527165</v>
      </c>
      <c r="E10" s="68">
        <f>SUMIFS(Data!$D$6:$D$298,Data!$B$6:$B$298,$B10,Data!$C$6:$C$298,E$6)</f>
        <v>2.0371024950777818</v>
      </c>
      <c r="F10" s="68">
        <f>SUMIFS(Data!$D$6:$D$298,Data!$B$6:$B$298,$B10,Data!$C$6:$C$298,F$6)</f>
        <v>0.78857812256092263</v>
      </c>
      <c r="G10" s="68">
        <f>SUMIFS(Data!$D$6:$D$298,Data!$B$6:$B$298,$B10,Data!$C$6:$C$298,G$6)</f>
        <v>1.1184780012179698</v>
      </c>
      <c r="H10" s="68">
        <f>SUMIFS(Data!$D$6:$D$298,Data!$B$6:$B$298,$B10,Data!$C$6:$C$298,H$6)</f>
        <v>0.6848130454782273</v>
      </c>
      <c r="I10" s="68">
        <f>SUMIFS(Data!$D$6:$D$298,Data!$B$6:$B$298,$B10,Data!$C$6:$C$298,I$6)</f>
        <v>3.2685209228000001</v>
      </c>
      <c r="J10" s="68">
        <f>SUMIFS(Data!$D$6:$D$298,Data!$B$6:$B$298,$B10,Data!$C$6:$C$298,J$6)</f>
        <v>0.16403128720057578</v>
      </c>
      <c r="K10" s="68">
        <f>SUMIFS(Data!$D$6:$D$298,Data!$B$6:$B$298,$B10,Data!$C$6:$C$298,K$6)</f>
        <v>3.3395368760139265E-3</v>
      </c>
      <c r="L10" s="68">
        <f>SUMIFS(Data!$D$6:$D$298,Data!$B$6:$B$298,$B10,Data!$C$6:$C$298,L$6)</f>
        <v>8.9244355349217201</v>
      </c>
      <c r="M10" s="68">
        <f>SUMIFS(Data!$D$6:$D$298,Data!$B$6:$B$298,$B10,Data!$C$6:$C$298,M$6)</f>
        <v>9.5463531352453401</v>
      </c>
      <c r="N10" s="68">
        <f>SUMIFS(Data!$D$6:$D$298,Data!$B$6:$B$298,$B10,Data!$C$6:$C$298,N$6)</f>
        <v>0.56369976116420095</v>
      </c>
      <c r="O10" s="68">
        <f>SUMIFS(Data!$D$6:$D$298,Data!$B$6:$B$298,$B10,Data!$C$6:$C$298,O$6)</f>
        <v>6.8397510677865897E-2</v>
      </c>
      <c r="P10" s="68">
        <f>SUMIFS(Data!$D$6:$D$298,Data!$B$6:$B$298,$B10,Data!$C$6:$C$298,P$6)</f>
        <v>0</v>
      </c>
      <c r="Q10" s="68">
        <f t="shared" si="0"/>
        <v>16.641981284287617</v>
      </c>
      <c r="R10" s="69">
        <f t="shared" si="1"/>
        <v>19.102885942009127</v>
      </c>
    </row>
    <row r="11" spans="2:18" x14ac:dyDescent="0.3">
      <c r="B11" s="36" t="s">
        <v>4</v>
      </c>
      <c r="C11" s="68">
        <f>SUMIFS(Data!$D$6:$D$298,Data!$B$6:$B$298,$B11,Data!$C$6:$C$298,C$6)</f>
        <v>1.8111985508526989</v>
      </c>
      <c r="D11" s="68">
        <f>SUMIFS(Data!$D$6:$D$298,Data!$B$6:$B$298,$B11,Data!$C$6:$C$298,D$6)</f>
        <v>3.9395518550474544</v>
      </c>
      <c r="E11" s="68">
        <f>SUMIFS(Data!$D$6:$D$298,Data!$B$6:$B$298,$B11,Data!$C$6:$C$298,E$6)</f>
        <v>9.7240703177822824E-2</v>
      </c>
      <c r="F11" s="68">
        <f>SUMIFS(Data!$D$6:$D$298,Data!$B$6:$B$298,$B11,Data!$C$6:$C$298,F$6)</f>
        <v>-0.48071864293473726</v>
      </c>
      <c r="G11" s="68">
        <f>SUMIFS(Data!$D$6:$D$298,Data!$B$6:$B$298,$B11,Data!$C$6:$C$298,G$6)</f>
        <v>0</v>
      </c>
      <c r="H11" s="68">
        <f>SUMIFS(Data!$D$6:$D$298,Data!$B$6:$B$298,$B11,Data!$C$6:$C$298,H$6)</f>
        <v>0</v>
      </c>
      <c r="I11" s="68">
        <f>SUMIFS(Data!$D$6:$D$298,Data!$B$6:$B$298,$B11,Data!$C$6:$C$298,I$6)</f>
        <v>0</v>
      </c>
      <c r="J11" s="68">
        <f>SUMIFS(Data!$D$6:$D$298,Data!$B$6:$B$298,$B11,Data!$C$6:$C$298,J$6)</f>
        <v>0</v>
      </c>
      <c r="K11" s="68">
        <f>SUMIFS(Data!$D$6:$D$298,Data!$B$6:$B$298,$B11,Data!$C$6:$C$298,K$6)</f>
        <v>0</v>
      </c>
      <c r="L11" s="68">
        <f>SUMIFS(Data!$D$6:$D$298,Data!$B$6:$B$298,$B11,Data!$C$6:$C$298,L$6)</f>
        <v>2.61</v>
      </c>
      <c r="M11" s="68">
        <f>SUMIFS(Data!$D$6:$D$298,Data!$B$6:$B$298,$B11,Data!$C$6:$C$298,M$6)</f>
        <v>6.2640000000000002</v>
      </c>
      <c r="N11" s="68">
        <f>SUMIFS(Data!$D$6:$D$298,Data!$B$6:$B$298,$B11,Data!$C$6:$C$298,N$6)</f>
        <v>4.1760000000000002</v>
      </c>
      <c r="O11" s="68">
        <f>SUMIFS(Data!$D$6:$D$298,Data!$B$6:$B$298,$B11,Data!$C$6:$C$298,O$6)</f>
        <v>0</v>
      </c>
      <c r="P11" s="68">
        <f>SUMIFS(Data!$D$6:$D$298,Data!$B$6:$B$298,$B11,Data!$C$6:$C$298,P$6)</f>
        <v>0</v>
      </c>
      <c r="Q11" s="68">
        <f t="shared" si="0"/>
        <v>5.3672724661432394</v>
      </c>
      <c r="R11" s="69">
        <f t="shared" si="1"/>
        <v>13.05</v>
      </c>
    </row>
    <row r="12" spans="2:18" x14ac:dyDescent="0.3">
      <c r="B12" s="36" t="s">
        <v>120</v>
      </c>
      <c r="C12" s="68">
        <f>SUMIFS(Data!$D$6:$D$298,Data!$B$6:$B$298,$B12,Data!$C$6:$C$298,C$6)</f>
        <v>0</v>
      </c>
      <c r="D12" s="68">
        <f>SUMIFS(Data!$D$6:$D$298,Data!$B$6:$B$298,$B12,Data!$C$6:$C$298,D$6)</f>
        <v>0</v>
      </c>
      <c r="E12" s="68">
        <f>SUMIFS(Data!$D$6:$D$298,Data!$B$6:$B$298,$B12,Data!$C$6:$C$298,E$6)</f>
        <v>0</v>
      </c>
      <c r="F12" s="68">
        <f>SUMIFS(Data!$D$6:$D$298,Data!$B$6:$B$298,$B12,Data!$C$6:$C$298,F$6)</f>
        <v>0</v>
      </c>
      <c r="G12" s="68">
        <f>SUMIFS(Data!$D$6:$D$298,Data!$B$6:$B$298,$B12,Data!$C$6:$C$298,G$6)</f>
        <v>0</v>
      </c>
      <c r="H12" s="68">
        <f>SUMIFS(Data!$D$6:$D$298,Data!$B$6:$B$298,$B12,Data!$C$6:$C$298,H$6)</f>
        <v>0</v>
      </c>
      <c r="I12" s="68">
        <f>SUMIFS(Data!$D$6:$D$298,Data!$B$6:$B$298,$B12,Data!$C$6:$C$298,I$6)</f>
        <v>0</v>
      </c>
      <c r="J12" s="68">
        <f>SUMIFS(Data!$D$6:$D$298,Data!$B$6:$B$298,$B12,Data!$C$6:$C$298,J$6)</f>
        <v>0</v>
      </c>
      <c r="K12" s="68">
        <f>SUMIFS(Data!$D$6:$D$298,Data!$B$6:$B$298,$B12,Data!$C$6:$C$298,K$6)</f>
        <v>0</v>
      </c>
      <c r="L12" s="68">
        <f>SUMIFS(Data!$D$6:$D$298,Data!$B$6:$B$298,$B12,Data!$C$6:$C$298,L$6)</f>
        <v>0</v>
      </c>
      <c r="M12" s="68">
        <f>SUMIFS(Data!$D$6:$D$298,Data!$B$6:$B$298,$B12,Data!$C$6:$C$298,M$6)</f>
        <v>0</v>
      </c>
      <c r="N12" s="68">
        <f>SUMIFS(Data!$D$6:$D$298,Data!$B$6:$B$298,$B12,Data!$C$6:$C$298,N$6)</f>
        <v>0</v>
      </c>
      <c r="O12" s="68">
        <f>SUMIFS(Data!$D$6:$D$298,Data!$B$6:$B$298,$B12,Data!$C$6:$C$298,O$6)</f>
        <v>0</v>
      </c>
      <c r="P12" s="68">
        <f>SUMIFS(Data!$D$6:$D$298,Data!$B$6:$B$298,$B12,Data!$C$6:$C$298,P$6)</f>
        <v>0</v>
      </c>
      <c r="Q12" s="68">
        <f t="shared" si="0"/>
        <v>0</v>
      </c>
      <c r="R12" s="69">
        <f t="shared" si="1"/>
        <v>0</v>
      </c>
    </row>
    <row r="13" spans="2:18" x14ac:dyDescent="0.3">
      <c r="B13" s="36" t="s">
        <v>7</v>
      </c>
      <c r="C13" s="68">
        <f>SUMIFS(Data!$D$6:$D$298,Data!$B$6:$B$298,$B13,Data!$C$6:$C$298,C$6)</f>
        <v>0</v>
      </c>
      <c r="D13" s="68">
        <f>SUMIFS(Data!$D$6:$D$298,Data!$B$6:$B$298,$B13,Data!$C$6:$C$298,D$6)</f>
        <v>0</v>
      </c>
      <c r="E13" s="68">
        <f>SUMIFS(Data!$D$6:$D$298,Data!$B$6:$B$298,$B13,Data!$C$6:$C$298,E$6)</f>
        <v>0</v>
      </c>
      <c r="F13" s="68">
        <f>SUMIFS(Data!$D$6:$D$298,Data!$B$6:$B$298,$B13,Data!$C$6:$C$298,F$6)</f>
        <v>0</v>
      </c>
      <c r="G13" s="68">
        <f>SUMIFS(Data!$D$6:$D$298,Data!$B$6:$B$298,$B13,Data!$C$6:$C$298,G$6)</f>
        <v>0</v>
      </c>
      <c r="H13" s="68">
        <f>SUMIFS(Data!$D$6:$D$298,Data!$B$6:$B$298,$B13,Data!$C$6:$C$298,H$6)</f>
        <v>0</v>
      </c>
      <c r="I13" s="68">
        <f>SUMIFS(Data!$D$6:$D$298,Data!$B$6:$B$298,$B13,Data!$C$6:$C$298,I$6)</f>
        <v>0</v>
      </c>
      <c r="J13" s="68">
        <f>SUMIFS(Data!$D$6:$D$298,Data!$B$6:$B$298,$B13,Data!$C$6:$C$298,J$6)</f>
        <v>1.3476419473314059</v>
      </c>
      <c r="K13" s="68">
        <f>SUMIFS(Data!$D$6:$D$298,Data!$B$6:$B$298,$B13,Data!$C$6:$C$298,K$6)</f>
        <v>0.33732659003831522</v>
      </c>
      <c r="L13" s="68">
        <f>SUMIFS(Data!$D$6:$D$298,Data!$B$6:$B$298,$B13,Data!$C$6:$C$298,L$6)</f>
        <v>0.28999999999999998</v>
      </c>
      <c r="M13" s="68">
        <f>SUMIFS(Data!$D$6:$D$298,Data!$B$6:$B$298,$B13,Data!$C$6:$C$298,M$6)</f>
        <v>0</v>
      </c>
      <c r="N13" s="68">
        <f>SUMIFS(Data!$D$6:$D$298,Data!$B$6:$B$298,$B13,Data!$C$6:$C$298,N$6)</f>
        <v>0.29699999999999999</v>
      </c>
      <c r="O13" s="68">
        <f>SUMIFS(Data!$D$6:$D$298,Data!$B$6:$B$298,$B13,Data!$C$6:$C$298,O$6)</f>
        <v>0.378</v>
      </c>
      <c r="P13" s="68">
        <f>SUMIFS(Data!$D$6:$D$298,Data!$B$6:$B$298,$B13,Data!$C$6:$C$298,P$6)</f>
        <v>0</v>
      </c>
      <c r="Q13" s="68">
        <f t="shared" si="0"/>
        <v>0</v>
      </c>
      <c r="R13" s="69">
        <f t="shared" si="1"/>
        <v>0.96499999999999997</v>
      </c>
    </row>
    <row r="14" spans="2:18" x14ac:dyDescent="0.3">
      <c r="B14" s="36" t="s">
        <v>8</v>
      </c>
      <c r="C14" s="68">
        <f>SUMIFS(Data!$D$6:$D$298,Data!$B$6:$B$298,$B14,Data!$C$6:$C$298,C$6)</f>
        <v>0</v>
      </c>
      <c r="D14" s="68">
        <f>SUMIFS(Data!$D$6:$D$298,Data!$B$6:$B$298,$B14,Data!$C$6:$C$298,D$6)</f>
        <v>0</v>
      </c>
      <c r="E14" s="68">
        <f>SUMIFS(Data!$D$6:$D$298,Data!$B$6:$B$298,$B14,Data!$C$6:$C$298,E$6)</f>
        <v>0</v>
      </c>
      <c r="F14" s="68">
        <f>SUMIFS(Data!$D$6:$D$298,Data!$B$6:$B$298,$B14,Data!$C$6:$C$298,F$6)</f>
        <v>0</v>
      </c>
      <c r="G14" s="68">
        <f>SUMIFS(Data!$D$6:$D$298,Data!$B$6:$B$298,$B14,Data!$C$6:$C$298,G$6)</f>
        <v>0</v>
      </c>
      <c r="H14" s="68">
        <f>SUMIFS(Data!$D$6:$D$298,Data!$B$6:$B$298,$B14,Data!$C$6:$C$298,H$6)</f>
        <v>0</v>
      </c>
      <c r="I14" s="68">
        <f>SUMIFS(Data!$D$6:$D$298,Data!$B$6:$B$298,$B14,Data!$C$6:$C$298,I$6)</f>
        <v>0</v>
      </c>
      <c r="J14" s="68">
        <f>SUMIFS(Data!$D$6:$D$298,Data!$B$6:$B$298,$B14,Data!$C$6:$C$298,J$6)</f>
        <v>0</v>
      </c>
      <c r="K14" s="68">
        <f>SUMIFS(Data!$D$6:$D$298,Data!$B$6:$B$298,$B14,Data!$C$6:$C$298,K$6)</f>
        <v>0</v>
      </c>
      <c r="L14" s="68">
        <f>SUMIFS(Data!$D$6:$D$298,Data!$B$6:$B$298,$B14,Data!$C$6:$C$298,L$6)</f>
        <v>0</v>
      </c>
      <c r="M14" s="68">
        <f>SUMIFS(Data!$D$6:$D$298,Data!$B$6:$B$298,$B14,Data!$C$6:$C$298,M$6)</f>
        <v>0</v>
      </c>
      <c r="N14" s="68">
        <f>SUMIFS(Data!$D$6:$D$298,Data!$B$6:$B$298,$B14,Data!$C$6:$C$298,N$6)</f>
        <v>0</v>
      </c>
      <c r="O14" s="68">
        <f>SUMIFS(Data!$D$6:$D$298,Data!$B$6:$B$298,$B14,Data!$C$6:$C$298,O$6)</f>
        <v>0</v>
      </c>
      <c r="P14" s="68">
        <f>SUMIFS(Data!$D$6:$D$298,Data!$B$6:$B$298,$B14,Data!$C$6:$C$298,P$6)</f>
        <v>0</v>
      </c>
      <c r="Q14" s="68">
        <f t="shared" si="0"/>
        <v>0</v>
      </c>
      <c r="R14" s="69">
        <f t="shared" si="1"/>
        <v>0</v>
      </c>
    </row>
    <row r="15" spans="2:18" x14ac:dyDescent="0.3">
      <c r="B15" s="36" t="s">
        <v>9</v>
      </c>
      <c r="C15" s="68">
        <f>SUMIFS(Data!$D$6:$D$298,Data!$B$6:$B$298,$B15,Data!$C$6:$C$298,C$6)</f>
        <v>1.7703112132190504</v>
      </c>
      <c r="D15" s="68">
        <f>SUMIFS(Data!$D$6:$D$298,Data!$B$6:$B$298,$B15,Data!$C$6:$C$298,D$6)</f>
        <v>1.7674571182053496</v>
      </c>
      <c r="E15" s="68">
        <f>SUMIFS(Data!$D$6:$D$298,Data!$B$6:$B$298,$B15,Data!$C$6:$C$298,E$6)</f>
        <v>1.3793382352941175</v>
      </c>
      <c r="F15" s="68">
        <f>SUMIFS(Data!$D$6:$D$298,Data!$B$6:$B$298,$B15,Data!$C$6:$C$298,F$6)</f>
        <v>0.82767209827024335</v>
      </c>
      <c r="G15" s="68">
        <f>SUMIFS(Data!$D$6:$D$298,Data!$B$6:$B$298,$B15,Data!$C$6:$C$298,G$6)</f>
        <v>0</v>
      </c>
      <c r="H15" s="68">
        <f>SUMIFS(Data!$D$6:$D$298,Data!$B$6:$B$298,$B15,Data!$C$6:$C$298,H$6)</f>
        <v>0</v>
      </c>
      <c r="I15" s="68">
        <f>SUMIFS(Data!$D$6:$D$298,Data!$B$6:$B$298,$B15,Data!$C$6:$C$298,I$6)</f>
        <v>0</v>
      </c>
      <c r="J15" s="68">
        <f>SUMIFS(Data!$D$6:$D$298,Data!$B$6:$B$298,$B15,Data!$C$6:$C$298,J$6)</f>
        <v>0</v>
      </c>
      <c r="K15" s="68">
        <f>SUMIFS(Data!$D$6:$D$298,Data!$B$6:$B$298,$B15,Data!$C$6:$C$298,K$6)</f>
        <v>0</v>
      </c>
      <c r="L15" s="68">
        <f>SUMIFS(Data!$D$6:$D$298,Data!$B$6:$B$298,$B15,Data!$C$6:$C$298,L$6)</f>
        <v>0</v>
      </c>
      <c r="M15" s="68">
        <f>SUMIFS(Data!$D$6:$D$298,Data!$B$6:$B$298,$B15,Data!$C$6:$C$298,M$6)</f>
        <v>0</v>
      </c>
      <c r="N15" s="68">
        <f>SUMIFS(Data!$D$6:$D$298,Data!$B$6:$B$298,$B15,Data!$C$6:$C$298,N$6)</f>
        <v>0</v>
      </c>
      <c r="O15" s="68">
        <f>SUMIFS(Data!$D$6:$D$298,Data!$B$6:$B$298,$B15,Data!$C$6:$C$298,O$6)</f>
        <v>0</v>
      </c>
      <c r="P15" s="68">
        <f>SUMIFS(Data!$D$6:$D$298,Data!$B$6:$B$298,$B15,Data!$C$6:$C$298,P$6)</f>
        <v>0</v>
      </c>
      <c r="Q15" s="68">
        <f t="shared" si="0"/>
        <v>5.7447786649887602</v>
      </c>
      <c r="R15" s="69">
        <f t="shared" si="1"/>
        <v>0</v>
      </c>
    </row>
    <row r="16" spans="2:18" x14ac:dyDescent="0.3">
      <c r="B16" s="36" t="s">
        <v>10</v>
      </c>
      <c r="C16" s="68">
        <f>SUMIFS(Data!$D$6:$D$298,Data!$B$6:$B$298,$B16,Data!$C$6:$C$298,C$6)</f>
        <v>0.19488341698329942</v>
      </c>
      <c r="D16" s="68">
        <f>SUMIFS(Data!$D$6:$D$298,Data!$B$6:$B$298,$B16,Data!$C$6:$C$298,D$6)</f>
        <v>2.6509321044003449</v>
      </c>
      <c r="E16" s="68">
        <f>SUMIFS(Data!$D$6:$D$298,Data!$B$6:$B$298,$B16,Data!$C$6:$C$298,E$6)</f>
        <v>0.59416796609195388</v>
      </c>
      <c r="F16" s="68">
        <f>SUMIFS(Data!$D$6:$D$298,Data!$B$6:$B$298,$B16,Data!$C$6:$C$298,F$6)</f>
        <v>0.98699971195526048</v>
      </c>
      <c r="G16" s="68">
        <f>SUMIFS(Data!$D$6:$D$298,Data!$B$6:$B$298,$B16,Data!$C$6:$C$298,G$6)</f>
        <v>4.1185086835350893</v>
      </c>
      <c r="H16" s="68">
        <f>SUMIFS(Data!$D$6:$D$298,Data!$B$6:$B$298,$B16,Data!$C$6:$C$298,H$6)</f>
        <v>0.81890329297695719</v>
      </c>
      <c r="I16" s="68">
        <f>SUMIFS(Data!$D$6:$D$298,Data!$B$6:$B$298,$B16,Data!$C$6:$C$298,I$6)</f>
        <v>2.9751740195999998</v>
      </c>
      <c r="J16" s="68">
        <f>SUMIFS(Data!$D$6:$D$298,Data!$B$6:$B$298,$B16,Data!$C$6:$C$298,J$6)</f>
        <v>0.1437957992093617</v>
      </c>
      <c r="K16" s="68">
        <f>SUMIFS(Data!$D$6:$D$298,Data!$B$6:$B$298,$B16,Data!$C$6:$C$298,K$6)</f>
        <v>0</v>
      </c>
      <c r="L16" s="68">
        <f>SUMIFS(Data!$D$6:$D$298,Data!$B$6:$B$298,$B16,Data!$C$6:$C$298,L$6)</f>
        <v>16.8336069230769</v>
      </c>
      <c r="M16" s="68">
        <f>SUMIFS(Data!$D$6:$D$298,Data!$B$6:$B$298,$B16,Data!$C$6:$C$298,M$6)</f>
        <v>0</v>
      </c>
      <c r="N16" s="68">
        <f>SUMIFS(Data!$D$6:$D$298,Data!$B$6:$B$298,$B16,Data!$C$6:$C$298,N$6)</f>
        <v>0</v>
      </c>
      <c r="O16" s="68">
        <f>SUMIFS(Data!$D$6:$D$298,Data!$B$6:$B$298,$B16,Data!$C$6:$C$298,O$6)</f>
        <v>0</v>
      </c>
      <c r="P16" s="68">
        <f>SUMIFS(Data!$D$6:$D$298,Data!$B$6:$B$298,$B16,Data!$C$6:$C$298,P$6)</f>
        <v>0</v>
      </c>
      <c r="Q16" s="68">
        <f t="shared" si="0"/>
        <v>12.339569195542904</v>
      </c>
      <c r="R16" s="69">
        <f t="shared" si="1"/>
        <v>16.8336069230769</v>
      </c>
    </row>
    <row r="17" spans="2:18" x14ac:dyDescent="0.3">
      <c r="B17" s="36" t="s">
        <v>11</v>
      </c>
      <c r="C17" s="68">
        <f>SUMIFS(Data!$D$6:$D$298,Data!$B$6:$B$298,$B17,Data!$C$6:$C$298,C$6)</f>
        <v>2.6545889565173098</v>
      </c>
      <c r="D17" s="68">
        <f>SUMIFS(Data!$D$6:$D$298,Data!$B$6:$B$298,$B17,Data!$C$6:$C$298,D$6)</f>
        <v>0.96444011424503961</v>
      </c>
      <c r="E17" s="68">
        <f>SUMIFS(Data!$D$6:$D$298,Data!$B$6:$B$298,$B17,Data!$C$6:$C$298,E$6)</f>
        <v>5.3438613633874406</v>
      </c>
      <c r="F17" s="68">
        <f>SUMIFS(Data!$D$6:$D$298,Data!$B$6:$B$298,$B17,Data!$C$6:$C$298,F$6)</f>
        <v>0.13258175235397326</v>
      </c>
      <c r="G17" s="68">
        <f>SUMIFS(Data!$D$6:$D$298,Data!$B$6:$B$298,$B17,Data!$C$6:$C$298,G$6)</f>
        <v>4.8087151457570698E-2</v>
      </c>
      <c r="H17" s="68">
        <f>SUMIFS(Data!$D$6:$D$298,Data!$B$6:$B$298,$B17,Data!$C$6:$C$298,H$6)</f>
        <v>2.6833975893311445E-2</v>
      </c>
      <c r="I17" s="68">
        <f>SUMIFS(Data!$D$6:$D$298,Data!$B$6:$B$298,$B17,Data!$C$6:$C$298,I$6)</f>
        <v>6.0000000000000001E-3</v>
      </c>
      <c r="J17" s="68">
        <f>SUMIFS(Data!$D$6:$D$298,Data!$B$6:$B$298,$B17,Data!$C$6:$C$298,J$6)</f>
        <v>9.7558311880802237E-4</v>
      </c>
      <c r="K17" s="68">
        <f>SUMIFS(Data!$D$6:$D$298,Data!$B$6:$B$298,$B17,Data!$C$6:$C$298,K$6)</f>
        <v>4.3917550958088677E-2</v>
      </c>
      <c r="L17" s="68">
        <f>SUMIFS(Data!$D$6:$D$298,Data!$B$6:$B$298,$B17,Data!$C$6:$C$298,L$6)</f>
        <v>0</v>
      </c>
      <c r="M17" s="68">
        <f>SUMIFS(Data!$D$6:$D$298,Data!$B$6:$B$298,$B17,Data!$C$6:$C$298,M$6)</f>
        <v>0</v>
      </c>
      <c r="N17" s="68">
        <f>SUMIFS(Data!$D$6:$D$298,Data!$B$6:$B$298,$B17,Data!$C$6:$C$298,N$6)</f>
        <v>0</v>
      </c>
      <c r="O17" s="68">
        <f>SUMIFS(Data!$D$6:$D$298,Data!$B$6:$B$298,$B17,Data!$C$6:$C$298,O$6)</f>
        <v>0</v>
      </c>
      <c r="P17" s="68">
        <f>SUMIFS(Data!$D$6:$D$298,Data!$B$6:$B$298,$B17,Data!$C$6:$C$298,P$6)</f>
        <v>0</v>
      </c>
      <c r="Q17" s="68">
        <f t="shared" si="0"/>
        <v>9.1763933138546445</v>
      </c>
      <c r="R17" s="69">
        <f t="shared" si="1"/>
        <v>0</v>
      </c>
    </row>
    <row r="19" spans="2:18" x14ac:dyDescent="0.3">
      <c r="B19" s="71" t="str">
        <f>Data!G5</f>
        <v>Current population equivalent served by STWs with tightened/new UV consents (000s)</v>
      </c>
      <c r="C19" s="71"/>
      <c r="D19" s="71"/>
      <c r="E19" s="71"/>
      <c r="F19" s="71"/>
      <c r="G19" s="71"/>
      <c r="H19" s="71"/>
      <c r="I19" s="71"/>
      <c r="J19" s="71"/>
      <c r="K19" s="71"/>
    </row>
    <row r="21" spans="2:18" ht="39" x14ac:dyDescent="0.3">
      <c r="B21" s="72" t="s">
        <v>12</v>
      </c>
      <c r="C21" s="72">
        <v>2012</v>
      </c>
      <c r="D21" s="72">
        <v>2013</v>
      </c>
      <c r="E21" s="72">
        <v>2014</v>
      </c>
      <c r="F21" s="72">
        <v>2015</v>
      </c>
      <c r="G21" s="72">
        <v>2016</v>
      </c>
      <c r="H21" s="72">
        <v>2017</v>
      </c>
      <c r="I21" s="72">
        <v>2018</v>
      </c>
      <c r="J21" s="72">
        <v>2019</v>
      </c>
      <c r="K21" s="72">
        <v>2020</v>
      </c>
      <c r="L21" s="64">
        <v>2021</v>
      </c>
      <c r="M21" s="64">
        <v>2022</v>
      </c>
      <c r="N21" s="64">
        <v>2023</v>
      </c>
      <c r="O21" s="64">
        <v>2024</v>
      </c>
      <c r="P21" s="64">
        <v>2025</v>
      </c>
      <c r="Q21" s="65" t="s">
        <v>194</v>
      </c>
      <c r="R21" s="64" t="s">
        <v>191</v>
      </c>
    </row>
    <row r="22" spans="2:18" x14ac:dyDescent="0.3">
      <c r="B22" s="36" t="s">
        <v>1</v>
      </c>
      <c r="C22" s="68">
        <f>SUMIFS(Data!$G$6:$G$298,Data!$B$6:$B$298,$B22,Data!$C$6:$C$298,C$21)</f>
        <v>15</v>
      </c>
      <c r="D22" s="68">
        <f>SUMIFS(Data!$G$6:$G$298,Data!$B$6:$B$298,$B22,Data!$C$6:$C$298,D$21)</f>
        <v>179.625</v>
      </c>
      <c r="E22" s="68">
        <f>SUMIFS(Data!$G$6:$G$298,Data!$B$6:$B$298,$B22,Data!$C$6:$C$298,E$21)</f>
        <v>0</v>
      </c>
      <c r="F22" s="68">
        <f>SUMIFS(Data!$G$6:$G$298,Data!$B$6:$B$298,$B22,Data!$C$6:$C$298,F$21)</f>
        <v>0</v>
      </c>
      <c r="G22" s="68">
        <f>SUMIFS(Data!$G$6:$G$298,Data!$B$6:$B$298,$B22,Data!$C$6:$C$298,G$21)</f>
        <v>51.259</v>
      </c>
      <c r="H22" s="68">
        <f>SUMIFS(Data!$G$6:$G$298,Data!$B$6:$B$298,$B22,Data!$C$6:$C$298,H$21)</f>
        <v>0</v>
      </c>
      <c r="I22" s="68">
        <f>SUMIFS(Data!$G$6:$G$298,Data!$B$6:$B$298,$B22,Data!$C$6:$C$298,I$21)</f>
        <v>0</v>
      </c>
      <c r="J22" s="68">
        <f>SUMIFS(Data!$G$6:$G$298,Data!$B$6:$B$298,$B22,Data!$C$6:$C$298,J$21)</f>
        <v>0</v>
      </c>
      <c r="K22" s="68">
        <f>SUMIFS(Data!$G$6:$G$298,Data!$B$6:$B$298,$B22,Data!$C$6:$C$298,K$21)</f>
        <v>0</v>
      </c>
      <c r="L22" s="68">
        <f>SUMIFS(Data!$G$6:$G$298,Data!$B$6:$B$298,$B22,Data!$C$6:$C$298,L$21)</f>
        <v>36.703000000000003</v>
      </c>
      <c r="M22" s="68">
        <f>SUMIFS(Data!$G$6:$G$298,Data!$B$6:$B$298,$B22,Data!$C$6:$C$298,M$21)</f>
        <v>9.8239999999999998</v>
      </c>
      <c r="N22" s="68">
        <f>SUMIFS(Data!$G$6:$G$298,Data!$B$6:$B$298,$B22,Data!$C$6:$C$298,N$21)</f>
        <v>0</v>
      </c>
      <c r="O22" s="68">
        <f>SUMIFS(Data!$G$6:$G$298,Data!$B$6:$B$298,$B22,Data!$C$6:$C$298,O$21)</f>
        <v>0</v>
      </c>
      <c r="P22" s="68">
        <f>SUMIFS(Data!$G$6:$G$298,Data!$B$6:$B$298,$B22,Data!$C$6:$C$298,P$21)</f>
        <v>23.335000000000001</v>
      </c>
      <c r="Q22" s="68">
        <f>SUM(C22:I22)</f>
        <v>245.88400000000001</v>
      </c>
      <c r="R22" s="69">
        <f>SUM(L22:P22)</f>
        <v>69.861999999999995</v>
      </c>
    </row>
    <row r="23" spans="2:18" x14ac:dyDescent="0.3">
      <c r="B23" s="36" t="s">
        <v>121</v>
      </c>
      <c r="C23" s="68">
        <f>SUMIFS(Data!$G$6:$G$298,Data!$B$6:$B$298,$B23,Data!$C$6:$C$298,C$21)</f>
        <v>0</v>
      </c>
      <c r="D23" s="68">
        <f>SUMIFS(Data!$G$6:$G$298,Data!$B$6:$B$298,$B23,Data!$C$6:$C$298,D$21)</f>
        <v>0</v>
      </c>
      <c r="E23" s="68">
        <f>SUMIFS(Data!$G$6:$G$298,Data!$B$6:$B$298,$B23,Data!$C$6:$C$298,E$21)</f>
        <v>0</v>
      </c>
      <c r="F23" s="68">
        <f>SUMIFS(Data!$G$6:$G$298,Data!$B$6:$B$298,$B23,Data!$C$6:$C$298,F$21)</f>
        <v>0</v>
      </c>
      <c r="G23" s="68">
        <f>SUMIFS(Data!$G$6:$G$298,Data!$B$6:$B$298,$B23,Data!$C$6:$C$298,G$21)</f>
        <v>0</v>
      </c>
      <c r="H23" s="68">
        <f>SUMIFS(Data!$G$6:$G$298,Data!$B$6:$B$298,$B23,Data!$C$6:$C$298,H$21)</f>
        <v>0</v>
      </c>
      <c r="I23" s="68">
        <f>SUMIFS(Data!$G$6:$G$298,Data!$B$6:$B$298,$B23,Data!$C$6:$C$298,I$21)</f>
        <v>0</v>
      </c>
      <c r="J23" s="68">
        <f>SUMIFS(Data!$G$6:$G$298,Data!$B$6:$B$298,$B23,Data!$C$6:$C$298,J$21)</f>
        <v>0</v>
      </c>
      <c r="K23" s="68">
        <f>SUMIFS(Data!$G$6:$G$298,Data!$B$6:$B$298,$B23,Data!$C$6:$C$298,K$21)</f>
        <v>0</v>
      </c>
      <c r="L23" s="68">
        <f>SUMIFS(Data!$G$6:$G$298,Data!$B$6:$B$298,$B23,Data!$C$6:$C$298,L$21)</f>
        <v>0</v>
      </c>
      <c r="M23" s="68">
        <f>SUMIFS(Data!$G$6:$G$298,Data!$B$6:$B$298,$B23,Data!$C$6:$C$298,M$21)</f>
        <v>0</v>
      </c>
      <c r="N23" s="68">
        <f>SUMIFS(Data!$G$6:$G$298,Data!$B$6:$B$298,$B23,Data!$C$6:$C$298,N$21)</f>
        <v>0</v>
      </c>
      <c r="O23" s="68">
        <f>SUMIFS(Data!$G$6:$G$298,Data!$B$6:$B$298,$B23,Data!$C$6:$C$298,O$21)</f>
        <v>0</v>
      </c>
      <c r="P23" s="68">
        <f>SUMIFS(Data!$G$6:$G$298,Data!$B$6:$B$298,$B23,Data!$C$6:$C$298,P$21)</f>
        <v>0</v>
      </c>
      <c r="Q23" s="68">
        <f t="shared" ref="Q23:Q32" si="2">SUM(C23:I23)</f>
        <v>0</v>
      </c>
      <c r="R23" s="69">
        <f t="shared" ref="R23:R32" si="3">SUM(L23:P23)</f>
        <v>0</v>
      </c>
    </row>
    <row r="24" spans="2:18" x14ac:dyDescent="0.3">
      <c r="B24" s="36" t="s">
        <v>2</v>
      </c>
      <c r="C24" s="68">
        <f>SUMIFS(Data!$G$6:$G$298,Data!$B$6:$B$298,$B24,Data!$C$6:$C$298,C$21)</f>
        <v>0</v>
      </c>
      <c r="D24" s="68">
        <f>SUMIFS(Data!$G$6:$G$298,Data!$B$6:$B$298,$B24,Data!$C$6:$C$298,D$21)</f>
        <v>0</v>
      </c>
      <c r="E24" s="68">
        <f>SUMIFS(Data!$G$6:$G$298,Data!$B$6:$B$298,$B24,Data!$C$6:$C$298,E$21)</f>
        <v>0</v>
      </c>
      <c r="F24" s="68">
        <f>SUMIFS(Data!$G$6:$G$298,Data!$B$6:$B$298,$B24,Data!$C$6:$C$298,F$21)</f>
        <v>0</v>
      </c>
      <c r="G24" s="68">
        <f>SUMIFS(Data!$G$6:$G$298,Data!$B$6:$B$298,$B24,Data!$C$6:$C$298,G$21)</f>
        <v>0</v>
      </c>
      <c r="H24" s="68">
        <f>SUMIFS(Data!$G$6:$G$298,Data!$B$6:$B$298,$B24,Data!$C$6:$C$298,H$21)</f>
        <v>0</v>
      </c>
      <c r="I24" s="68">
        <f>SUMIFS(Data!$G$6:$G$298,Data!$B$6:$B$298,$B24,Data!$C$6:$C$298,I$21)</f>
        <v>0</v>
      </c>
      <c r="J24" s="68">
        <f>SUMIFS(Data!$G$6:$G$298,Data!$B$6:$B$298,$B24,Data!$C$6:$C$298,J$21)</f>
        <v>0</v>
      </c>
      <c r="K24" s="68">
        <f>SUMIFS(Data!$G$6:$G$298,Data!$B$6:$B$298,$B24,Data!$C$6:$C$298,K$21)</f>
        <v>0</v>
      </c>
      <c r="L24" s="68">
        <f>SUMIFS(Data!$G$6:$G$298,Data!$B$6:$B$298,$B24,Data!$C$6:$C$298,L$21)</f>
        <v>0</v>
      </c>
      <c r="M24" s="68">
        <f>SUMIFS(Data!$G$6:$G$298,Data!$B$6:$B$298,$B24,Data!$C$6:$C$298,M$21)</f>
        <v>0</v>
      </c>
      <c r="N24" s="68">
        <f>SUMIFS(Data!$G$6:$G$298,Data!$B$6:$B$298,$B24,Data!$C$6:$C$298,N$21)</f>
        <v>0</v>
      </c>
      <c r="O24" s="68">
        <f>SUMIFS(Data!$G$6:$G$298,Data!$B$6:$B$298,$B24,Data!$C$6:$C$298,O$21)</f>
        <v>0</v>
      </c>
      <c r="P24" s="68">
        <f>SUMIFS(Data!$G$6:$G$298,Data!$B$6:$B$298,$B24,Data!$C$6:$C$298,P$21)</f>
        <v>0</v>
      </c>
      <c r="Q24" s="68">
        <f t="shared" si="2"/>
        <v>0</v>
      </c>
      <c r="R24" s="69">
        <f t="shared" si="3"/>
        <v>0</v>
      </c>
    </row>
    <row r="25" spans="2:18" x14ac:dyDescent="0.3">
      <c r="B25" s="36" t="s">
        <v>3</v>
      </c>
      <c r="C25" s="68">
        <f>SUMIFS(Data!$G$6:$G$298,Data!$B$6:$B$298,$B25,Data!$C$6:$C$298,C$21)</f>
        <v>0</v>
      </c>
      <c r="D25" s="68">
        <f>SUMIFS(Data!$G$6:$G$298,Data!$B$6:$B$298,$B25,Data!$C$6:$C$298,D$21)</f>
        <v>303.9598594302891</v>
      </c>
      <c r="E25" s="68">
        <f>SUMIFS(Data!$G$6:$G$298,Data!$B$6:$B$298,$B25,Data!$C$6:$C$298,E$21)</f>
        <v>61.889822098897298</v>
      </c>
      <c r="F25" s="68">
        <f>SUMIFS(Data!$G$6:$G$298,Data!$B$6:$B$298,$B25,Data!$C$6:$C$298,F$21)</f>
        <v>0</v>
      </c>
      <c r="G25" s="68">
        <f>SUMIFS(Data!$G$6:$G$298,Data!$B$6:$B$298,$B25,Data!$C$6:$C$298,G$21)</f>
        <v>0</v>
      </c>
      <c r="H25" s="68">
        <f>SUMIFS(Data!$G$6:$G$298,Data!$B$6:$B$298,$B25,Data!$C$6:$C$298,H$21)</f>
        <v>0</v>
      </c>
      <c r="I25" s="68">
        <f>SUMIFS(Data!$G$6:$G$298,Data!$B$6:$B$298,$B25,Data!$C$6:$C$298,I$21)</f>
        <v>65.136364053121895</v>
      </c>
      <c r="J25" s="68">
        <f>SUMIFS(Data!$G$6:$G$298,Data!$B$6:$B$298,$B25,Data!$C$6:$C$298,J$21)</f>
        <v>0</v>
      </c>
      <c r="K25" s="68">
        <f>SUMIFS(Data!$G$6:$G$298,Data!$B$6:$B$298,$B25,Data!$C$6:$C$298,K$21)</f>
        <v>0</v>
      </c>
      <c r="L25" s="68">
        <f>SUMIFS(Data!$G$6:$G$298,Data!$B$6:$B$298,$B25,Data!$C$6:$C$298,L$21)</f>
        <v>0</v>
      </c>
      <c r="M25" s="68">
        <f>SUMIFS(Data!$G$6:$G$298,Data!$B$6:$B$298,$B25,Data!$C$6:$C$298,M$21)</f>
        <v>0</v>
      </c>
      <c r="N25" s="68">
        <f>SUMIFS(Data!$G$6:$G$298,Data!$B$6:$B$298,$B25,Data!$C$6:$C$298,N$21)</f>
        <v>230.08554437612801</v>
      </c>
      <c r="O25" s="68">
        <f>SUMIFS(Data!$G$6:$G$298,Data!$B$6:$B$298,$B25,Data!$C$6:$C$298,O$21)</f>
        <v>0</v>
      </c>
      <c r="P25" s="68">
        <f>SUMIFS(Data!$G$6:$G$298,Data!$B$6:$B$298,$B25,Data!$C$6:$C$298,P$21)</f>
        <v>0</v>
      </c>
      <c r="Q25" s="68">
        <f t="shared" si="2"/>
        <v>430.98604558230829</v>
      </c>
      <c r="R25" s="69">
        <f t="shared" si="3"/>
        <v>230.08554437612801</v>
      </c>
    </row>
    <row r="26" spans="2:18" x14ac:dyDescent="0.3">
      <c r="B26" s="36" t="s">
        <v>4</v>
      </c>
      <c r="C26" s="68">
        <f>SUMIFS(Data!$G$6:$G$298,Data!$B$6:$B$298,$B26,Data!$C$6:$C$298,C$21)</f>
        <v>0</v>
      </c>
      <c r="D26" s="68">
        <f>SUMIFS(Data!$G$6:$G$298,Data!$B$6:$B$298,$B26,Data!$C$6:$C$298,D$21)</f>
        <v>288.09399999999999</v>
      </c>
      <c r="E26" s="68">
        <f>SUMIFS(Data!$G$6:$G$298,Data!$B$6:$B$298,$B26,Data!$C$6:$C$298,E$21)</f>
        <v>0</v>
      </c>
      <c r="F26" s="68">
        <f>SUMIFS(Data!$G$6:$G$298,Data!$B$6:$B$298,$B26,Data!$C$6:$C$298,F$21)</f>
        <v>0</v>
      </c>
      <c r="G26" s="68">
        <f>SUMIFS(Data!$G$6:$G$298,Data!$B$6:$B$298,$B26,Data!$C$6:$C$298,G$21)</f>
        <v>0</v>
      </c>
      <c r="H26" s="68">
        <f>SUMIFS(Data!$G$6:$G$298,Data!$B$6:$B$298,$B26,Data!$C$6:$C$298,H$21)</f>
        <v>0</v>
      </c>
      <c r="I26" s="68">
        <f>SUMIFS(Data!$G$6:$G$298,Data!$B$6:$B$298,$B26,Data!$C$6:$C$298,I$21)</f>
        <v>0</v>
      </c>
      <c r="J26" s="68">
        <f>SUMIFS(Data!$G$6:$G$298,Data!$B$6:$B$298,$B26,Data!$C$6:$C$298,J$21)</f>
        <v>0</v>
      </c>
      <c r="K26" s="68">
        <f>SUMIFS(Data!$G$6:$G$298,Data!$B$6:$B$298,$B26,Data!$C$6:$C$298,K$21)</f>
        <v>0</v>
      </c>
      <c r="L26" s="68">
        <f>SUMIFS(Data!$G$6:$G$298,Data!$B$6:$B$298,$B26,Data!$C$6:$C$298,L$21)</f>
        <v>0</v>
      </c>
      <c r="M26" s="68">
        <f>SUMIFS(Data!$G$6:$G$298,Data!$B$6:$B$298,$B26,Data!$C$6:$C$298,M$21)</f>
        <v>204.59800000000001</v>
      </c>
      <c r="N26" s="68">
        <f>SUMIFS(Data!$G$6:$G$298,Data!$B$6:$B$298,$B26,Data!$C$6:$C$298,N$21)</f>
        <v>0</v>
      </c>
      <c r="O26" s="68">
        <f>SUMIFS(Data!$G$6:$G$298,Data!$B$6:$B$298,$B26,Data!$C$6:$C$298,O$21)</f>
        <v>0</v>
      </c>
      <c r="P26" s="68">
        <f>SUMIFS(Data!$G$6:$G$298,Data!$B$6:$B$298,$B26,Data!$C$6:$C$298,P$21)</f>
        <v>0</v>
      </c>
      <c r="Q26" s="68">
        <f t="shared" si="2"/>
        <v>288.09399999999999</v>
      </c>
      <c r="R26" s="69">
        <f t="shared" si="3"/>
        <v>204.59800000000001</v>
      </c>
    </row>
    <row r="27" spans="2:18" x14ac:dyDescent="0.3">
      <c r="B27" s="36" t="s">
        <v>120</v>
      </c>
      <c r="C27" s="68">
        <f>SUMIFS(Data!$G$6:$G$298,Data!$B$6:$B$298,$B27,Data!$C$6:$C$298,C$21)</f>
        <v>0</v>
      </c>
      <c r="D27" s="68">
        <f>SUMIFS(Data!$G$6:$G$298,Data!$B$6:$B$298,$B27,Data!$C$6:$C$298,D$21)</f>
        <v>0</v>
      </c>
      <c r="E27" s="68">
        <f>SUMIFS(Data!$G$6:$G$298,Data!$B$6:$B$298,$B27,Data!$C$6:$C$298,E$21)</f>
        <v>0</v>
      </c>
      <c r="F27" s="68">
        <f>SUMIFS(Data!$G$6:$G$298,Data!$B$6:$B$298,$B27,Data!$C$6:$C$298,F$21)</f>
        <v>0</v>
      </c>
      <c r="G27" s="68">
        <f>SUMIFS(Data!$G$6:$G$298,Data!$B$6:$B$298,$B27,Data!$C$6:$C$298,G$21)</f>
        <v>0</v>
      </c>
      <c r="H27" s="68">
        <f>SUMIFS(Data!$G$6:$G$298,Data!$B$6:$B$298,$B27,Data!$C$6:$C$298,H$21)</f>
        <v>0</v>
      </c>
      <c r="I27" s="68">
        <f>SUMIFS(Data!$G$6:$G$298,Data!$B$6:$B$298,$B27,Data!$C$6:$C$298,I$21)</f>
        <v>0</v>
      </c>
      <c r="J27" s="68">
        <f>SUMIFS(Data!$G$6:$G$298,Data!$B$6:$B$298,$B27,Data!$C$6:$C$298,J$21)</f>
        <v>0</v>
      </c>
      <c r="K27" s="68">
        <f>SUMIFS(Data!$G$6:$G$298,Data!$B$6:$B$298,$B27,Data!$C$6:$C$298,K$21)</f>
        <v>0</v>
      </c>
      <c r="L27" s="68">
        <f>SUMIFS(Data!$G$6:$G$298,Data!$B$6:$B$298,$B27,Data!$C$6:$C$298,L$21)</f>
        <v>0</v>
      </c>
      <c r="M27" s="68">
        <f>SUMIFS(Data!$G$6:$G$298,Data!$B$6:$B$298,$B27,Data!$C$6:$C$298,M$21)</f>
        <v>0</v>
      </c>
      <c r="N27" s="68">
        <f>SUMIFS(Data!$G$6:$G$298,Data!$B$6:$B$298,$B27,Data!$C$6:$C$298,N$21)</f>
        <v>0</v>
      </c>
      <c r="O27" s="68">
        <f>SUMIFS(Data!$G$6:$G$298,Data!$B$6:$B$298,$B27,Data!$C$6:$C$298,O$21)</f>
        <v>0</v>
      </c>
      <c r="P27" s="68">
        <f>SUMIFS(Data!$G$6:$G$298,Data!$B$6:$B$298,$B27,Data!$C$6:$C$298,P$21)</f>
        <v>0</v>
      </c>
      <c r="Q27" s="68">
        <f t="shared" si="2"/>
        <v>0</v>
      </c>
      <c r="R27" s="69">
        <f t="shared" si="3"/>
        <v>0</v>
      </c>
    </row>
    <row r="28" spans="2:18" x14ac:dyDescent="0.3">
      <c r="B28" s="36" t="s">
        <v>7</v>
      </c>
      <c r="C28" s="68">
        <f>SUMIFS(Data!$G$6:$G$298,Data!$B$6:$B$298,$B28,Data!$C$6:$C$298,C$21)</f>
        <v>0</v>
      </c>
      <c r="D28" s="68">
        <f>SUMIFS(Data!$G$6:$G$298,Data!$B$6:$B$298,$B28,Data!$C$6:$C$298,D$21)</f>
        <v>0</v>
      </c>
      <c r="E28" s="68">
        <f>SUMIFS(Data!$G$6:$G$298,Data!$B$6:$B$298,$B28,Data!$C$6:$C$298,E$21)</f>
        <v>0</v>
      </c>
      <c r="F28" s="68">
        <f>SUMIFS(Data!$G$6:$G$298,Data!$B$6:$B$298,$B28,Data!$C$6:$C$298,F$21)</f>
        <v>0</v>
      </c>
      <c r="G28" s="68">
        <f>SUMIFS(Data!$G$6:$G$298,Data!$B$6:$B$298,$B28,Data!$C$6:$C$298,G$21)</f>
        <v>0</v>
      </c>
      <c r="H28" s="68">
        <f>SUMIFS(Data!$G$6:$G$298,Data!$B$6:$B$298,$B28,Data!$C$6:$C$298,H$21)</f>
        <v>0</v>
      </c>
      <c r="I28" s="68">
        <f>SUMIFS(Data!$G$6:$G$298,Data!$B$6:$B$298,$B28,Data!$C$6:$C$298,I$21)</f>
        <v>0</v>
      </c>
      <c r="J28" s="68">
        <f>SUMIFS(Data!$G$6:$G$298,Data!$B$6:$B$298,$B28,Data!$C$6:$C$298,J$21)</f>
        <v>0</v>
      </c>
      <c r="K28" s="68">
        <f>SUMIFS(Data!$G$6:$G$298,Data!$B$6:$B$298,$B28,Data!$C$6:$C$298,K$21)</f>
        <v>0</v>
      </c>
      <c r="L28" s="68">
        <f>SUMIFS(Data!$G$6:$G$298,Data!$B$6:$B$298,$B28,Data!$C$6:$C$298,L$21)</f>
        <v>0.64100000000000001</v>
      </c>
      <c r="M28" s="68">
        <f>SUMIFS(Data!$G$6:$G$298,Data!$B$6:$B$298,$B28,Data!$C$6:$C$298,M$21)</f>
        <v>0</v>
      </c>
      <c r="N28" s="68">
        <f>SUMIFS(Data!$G$6:$G$298,Data!$B$6:$B$298,$B28,Data!$C$6:$C$298,N$21)</f>
        <v>0</v>
      </c>
      <c r="O28" s="68">
        <f>SUMIFS(Data!$G$6:$G$298,Data!$B$6:$B$298,$B28,Data!$C$6:$C$298,O$21)</f>
        <v>0</v>
      </c>
      <c r="P28" s="68">
        <f>SUMIFS(Data!$G$6:$G$298,Data!$B$6:$B$298,$B28,Data!$C$6:$C$298,P$21)</f>
        <v>0.11600000000000001</v>
      </c>
      <c r="Q28" s="68">
        <f t="shared" si="2"/>
        <v>0</v>
      </c>
      <c r="R28" s="69">
        <f t="shared" si="3"/>
        <v>0.75700000000000001</v>
      </c>
    </row>
    <row r="29" spans="2:18" x14ac:dyDescent="0.3">
      <c r="B29" s="36" t="s">
        <v>8</v>
      </c>
      <c r="C29" s="68">
        <f>SUMIFS(Data!$G$6:$G$298,Data!$B$6:$B$298,$B29,Data!$C$6:$C$298,C$21)</f>
        <v>0</v>
      </c>
      <c r="D29" s="68">
        <f>SUMIFS(Data!$G$6:$G$298,Data!$B$6:$B$298,$B29,Data!$C$6:$C$298,D$21)</f>
        <v>0</v>
      </c>
      <c r="E29" s="68">
        <f>SUMIFS(Data!$G$6:$G$298,Data!$B$6:$B$298,$B29,Data!$C$6:$C$298,E$21)</f>
        <v>0</v>
      </c>
      <c r="F29" s="68">
        <f>SUMIFS(Data!$G$6:$G$298,Data!$B$6:$B$298,$B29,Data!$C$6:$C$298,F$21)</f>
        <v>0</v>
      </c>
      <c r="G29" s="68">
        <f>SUMIFS(Data!$G$6:$G$298,Data!$B$6:$B$298,$B29,Data!$C$6:$C$298,G$21)</f>
        <v>0</v>
      </c>
      <c r="H29" s="68">
        <f>SUMIFS(Data!$G$6:$G$298,Data!$B$6:$B$298,$B29,Data!$C$6:$C$298,H$21)</f>
        <v>0</v>
      </c>
      <c r="I29" s="68">
        <f>SUMIFS(Data!$G$6:$G$298,Data!$B$6:$B$298,$B29,Data!$C$6:$C$298,I$21)</f>
        <v>0</v>
      </c>
      <c r="J29" s="68">
        <f>SUMIFS(Data!$G$6:$G$298,Data!$B$6:$B$298,$B29,Data!$C$6:$C$298,J$21)</f>
        <v>0</v>
      </c>
      <c r="K29" s="68">
        <f>SUMIFS(Data!$G$6:$G$298,Data!$B$6:$B$298,$B29,Data!$C$6:$C$298,K$21)</f>
        <v>0</v>
      </c>
      <c r="L29" s="68">
        <f>SUMIFS(Data!$G$6:$G$298,Data!$B$6:$B$298,$B29,Data!$C$6:$C$298,L$21)</f>
        <v>0</v>
      </c>
      <c r="M29" s="68">
        <f>SUMIFS(Data!$G$6:$G$298,Data!$B$6:$B$298,$B29,Data!$C$6:$C$298,M$21)</f>
        <v>0</v>
      </c>
      <c r="N29" s="68">
        <f>SUMIFS(Data!$G$6:$G$298,Data!$B$6:$B$298,$B29,Data!$C$6:$C$298,N$21)</f>
        <v>0</v>
      </c>
      <c r="O29" s="68">
        <f>SUMIFS(Data!$G$6:$G$298,Data!$B$6:$B$298,$B29,Data!$C$6:$C$298,O$21)</f>
        <v>0</v>
      </c>
      <c r="P29" s="68">
        <f>SUMIFS(Data!$G$6:$G$298,Data!$B$6:$B$298,$B29,Data!$C$6:$C$298,P$21)</f>
        <v>0</v>
      </c>
      <c r="Q29" s="68">
        <f t="shared" si="2"/>
        <v>0</v>
      </c>
      <c r="R29" s="69">
        <f t="shared" si="3"/>
        <v>0</v>
      </c>
    </row>
    <row r="30" spans="2:18" x14ac:dyDescent="0.3">
      <c r="B30" s="36" t="s">
        <v>9</v>
      </c>
      <c r="C30" s="68">
        <f>SUMIFS(Data!$G$6:$G$298,Data!$B$6:$B$298,$B30,Data!$C$6:$C$298,C$21)</f>
        <v>11.343999999999999</v>
      </c>
      <c r="D30" s="68">
        <f>SUMIFS(Data!$G$6:$G$298,Data!$B$6:$B$298,$B30,Data!$C$6:$C$298,D$21)</f>
        <v>0.41499999999999998</v>
      </c>
      <c r="E30" s="68">
        <f>SUMIFS(Data!$G$6:$G$298,Data!$B$6:$B$298,$B30,Data!$C$6:$C$298,E$21)</f>
        <v>0</v>
      </c>
      <c r="F30" s="68">
        <f>SUMIFS(Data!$G$6:$G$298,Data!$B$6:$B$298,$B30,Data!$C$6:$C$298,F$21)</f>
        <v>0.78900000000000003</v>
      </c>
      <c r="G30" s="68">
        <f>SUMIFS(Data!$G$6:$G$298,Data!$B$6:$B$298,$B30,Data!$C$6:$C$298,G$21)</f>
        <v>0</v>
      </c>
      <c r="H30" s="68">
        <f>SUMIFS(Data!$G$6:$G$298,Data!$B$6:$B$298,$B30,Data!$C$6:$C$298,H$21)</f>
        <v>0</v>
      </c>
      <c r="I30" s="68">
        <f>SUMIFS(Data!$G$6:$G$298,Data!$B$6:$B$298,$B30,Data!$C$6:$C$298,I$21)</f>
        <v>0</v>
      </c>
      <c r="J30" s="68">
        <f>SUMIFS(Data!$G$6:$G$298,Data!$B$6:$B$298,$B30,Data!$C$6:$C$298,J$21)</f>
        <v>0</v>
      </c>
      <c r="K30" s="68">
        <f>SUMIFS(Data!$G$6:$G$298,Data!$B$6:$B$298,$B30,Data!$C$6:$C$298,K$21)</f>
        <v>0</v>
      </c>
      <c r="L30" s="68">
        <f>SUMIFS(Data!$G$6:$G$298,Data!$B$6:$B$298,$B30,Data!$C$6:$C$298,L$21)</f>
        <v>0</v>
      </c>
      <c r="M30" s="68">
        <f>SUMIFS(Data!$G$6:$G$298,Data!$B$6:$B$298,$B30,Data!$C$6:$C$298,M$21)</f>
        <v>0</v>
      </c>
      <c r="N30" s="68">
        <f>SUMIFS(Data!$G$6:$G$298,Data!$B$6:$B$298,$B30,Data!$C$6:$C$298,N$21)</f>
        <v>0</v>
      </c>
      <c r="O30" s="68">
        <f>SUMIFS(Data!$G$6:$G$298,Data!$B$6:$B$298,$B30,Data!$C$6:$C$298,O$21)</f>
        <v>0</v>
      </c>
      <c r="P30" s="68">
        <f>SUMIFS(Data!$G$6:$G$298,Data!$B$6:$B$298,$B30,Data!$C$6:$C$298,P$21)</f>
        <v>0</v>
      </c>
      <c r="Q30" s="68">
        <f t="shared" si="2"/>
        <v>12.547999999999998</v>
      </c>
      <c r="R30" s="69">
        <f t="shared" si="3"/>
        <v>0</v>
      </c>
    </row>
    <row r="31" spans="2:18" x14ac:dyDescent="0.3">
      <c r="B31" s="36" t="s">
        <v>10</v>
      </c>
      <c r="C31" s="68">
        <f>SUMIFS(Data!$G$6:$G$298,Data!$B$6:$B$298,$B31,Data!$C$6:$C$298,C$21)</f>
        <v>0</v>
      </c>
      <c r="D31" s="68">
        <f>SUMIFS(Data!$G$6:$G$298,Data!$B$6:$B$298,$B31,Data!$C$6:$C$298,D$21)</f>
        <v>92.775000000000006</v>
      </c>
      <c r="E31" s="68">
        <f>SUMIFS(Data!$G$6:$G$298,Data!$B$6:$B$298,$B31,Data!$C$6:$C$298,E$21)</f>
        <v>0</v>
      </c>
      <c r="F31" s="68">
        <f>SUMIFS(Data!$G$6:$G$298,Data!$B$6:$B$298,$B31,Data!$C$6:$C$298,F$21)</f>
        <v>0</v>
      </c>
      <c r="G31" s="68">
        <f>SUMIFS(Data!$G$6:$G$298,Data!$B$6:$B$298,$B31,Data!$C$6:$C$298,G$21)</f>
        <v>0</v>
      </c>
      <c r="H31" s="68">
        <f>SUMIFS(Data!$G$6:$G$298,Data!$B$6:$B$298,$B31,Data!$C$6:$C$298,H$21)</f>
        <v>0</v>
      </c>
      <c r="I31" s="68">
        <f>SUMIFS(Data!$G$6:$G$298,Data!$B$6:$B$298,$B31,Data!$C$6:$C$298,I$21)</f>
        <v>3.8681592361111101</v>
      </c>
      <c r="J31" s="68">
        <f>SUMIFS(Data!$G$6:$G$298,Data!$B$6:$B$298,$B31,Data!$C$6:$C$298,J$21)</f>
        <v>0</v>
      </c>
      <c r="K31" s="68">
        <f>SUMIFS(Data!$G$6:$G$298,Data!$B$6:$B$298,$B31,Data!$C$6:$C$298,K$21)</f>
        <v>0</v>
      </c>
      <c r="L31" s="68">
        <f>SUMIFS(Data!$G$6:$G$298,Data!$B$6:$B$298,$B31,Data!$C$6:$C$298,L$21)</f>
        <v>1.6456682668398099</v>
      </c>
      <c r="M31" s="68">
        <f>SUMIFS(Data!$G$6:$G$298,Data!$B$6:$B$298,$B31,Data!$C$6:$C$298,M$21)</f>
        <v>0</v>
      </c>
      <c r="N31" s="68">
        <f>SUMIFS(Data!$G$6:$G$298,Data!$B$6:$B$298,$B31,Data!$C$6:$C$298,N$21)</f>
        <v>0</v>
      </c>
      <c r="O31" s="68">
        <f>SUMIFS(Data!$G$6:$G$298,Data!$B$6:$B$298,$B31,Data!$C$6:$C$298,O$21)</f>
        <v>0</v>
      </c>
      <c r="P31" s="68">
        <f>SUMIFS(Data!$G$6:$G$298,Data!$B$6:$B$298,$B31,Data!$C$6:$C$298,P$21)</f>
        <v>0</v>
      </c>
      <c r="Q31" s="68">
        <f t="shared" si="2"/>
        <v>96.643159236111117</v>
      </c>
      <c r="R31" s="69">
        <f t="shared" si="3"/>
        <v>1.6456682668398099</v>
      </c>
    </row>
    <row r="32" spans="2:18" x14ac:dyDescent="0.3">
      <c r="B32" s="36" t="s">
        <v>11</v>
      </c>
      <c r="C32" s="68">
        <f>SUMIFS(Data!$G$6:$G$298,Data!$B$6:$B$298,$B32,Data!$C$6:$C$298,C$21)</f>
        <v>0</v>
      </c>
      <c r="D32" s="68">
        <f>SUMIFS(Data!$G$6:$G$298,Data!$B$6:$B$298,$B32,Data!$C$6:$C$298,D$21)</f>
        <v>0</v>
      </c>
      <c r="E32" s="68">
        <f>SUMIFS(Data!$G$6:$G$298,Data!$B$6:$B$298,$B32,Data!$C$6:$C$298,E$21)</f>
        <v>0</v>
      </c>
      <c r="F32" s="68">
        <f>SUMIFS(Data!$G$6:$G$298,Data!$B$6:$B$298,$B32,Data!$C$6:$C$298,F$21)</f>
        <v>43.381999999999998</v>
      </c>
      <c r="G32" s="68">
        <f>SUMIFS(Data!$G$6:$G$298,Data!$B$6:$B$298,$B32,Data!$C$6:$C$298,G$21)</f>
        <v>0</v>
      </c>
      <c r="H32" s="68">
        <f>SUMIFS(Data!$G$6:$G$298,Data!$B$6:$B$298,$B32,Data!$C$6:$C$298,H$21)</f>
        <v>53.704999999999998</v>
      </c>
      <c r="I32" s="68">
        <f>SUMIFS(Data!$G$6:$G$298,Data!$B$6:$B$298,$B32,Data!$C$6:$C$298,I$21)</f>
        <v>0</v>
      </c>
      <c r="J32" s="68">
        <f>SUMIFS(Data!$G$6:$G$298,Data!$B$6:$B$298,$B32,Data!$C$6:$C$298,J$21)</f>
        <v>0</v>
      </c>
      <c r="K32" s="68">
        <f>SUMIFS(Data!$G$6:$G$298,Data!$B$6:$B$298,$B32,Data!$C$6:$C$298,K$21)</f>
        <v>0</v>
      </c>
      <c r="L32" s="68">
        <f>SUMIFS(Data!$G$6:$G$298,Data!$B$6:$B$298,$B32,Data!$C$6:$C$298,L$21)</f>
        <v>0</v>
      </c>
      <c r="M32" s="68">
        <f>SUMIFS(Data!$G$6:$G$298,Data!$B$6:$B$298,$B32,Data!$C$6:$C$298,M$21)</f>
        <v>0</v>
      </c>
      <c r="N32" s="68">
        <f>SUMIFS(Data!$G$6:$G$298,Data!$B$6:$B$298,$B32,Data!$C$6:$C$298,N$21)</f>
        <v>0</v>
      </c>
      <c r="O32" s="68">
        <f>SUMIFS(Data!$G$6:$G$298,Data!$B$6:$B$298,$B32,Data!$C$6:$C$298,O$21)</f>
        <v>0</v>
      </c>
      <c r="P32" s="68">
        <f>SUMIFS(Data!$G$6:$G$298,Data!$B$6:$B$298,$B32,Data!$C$6:$C$298,P$21)</f>
        <v>0</v>
      </c>
      <c r="Q32" s="68">
        <f t="shared" si="2"/>
        <v>97.086999999999989</v>
      </c>
      <c r="R32" s="69">
        <f t="shared" si="3"/>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showGridLines="0" zoomScale="80" zoomScaleNormal="80" workbookViewId="0"/>
  </sheetViews>
  <sheetFormatPr defaultColWidth="9.08984375" defaultRowHeight="13" x14ac:dyDescent="0.3"/>
  <cols>
    <col min="1" max="1" width="2.6328125" style="6" customWidth="1"/>
    <col min="2" max="4" width="9.08984375" style="6"/>
    <col min="5" max="5" width="11.6328125" style="6" customWidth="1"/>
    <col min="6" max="6" width="12.54296875" style="6" customWidth="1"/>
    <col min="7" max="8" width="14.90625" style="6" customWidth="1"/>
    <col min="9" max="9" width="9.08984375" style="6"/>
    <col min="10" max="10" width="14.90625" style="6" customWidth="1"/>
    <col min="11" max="16384" width="9.08984375" style="6"/>
  </cols>
  <sheetData>
    <row r="1" spans="1:21" ht="18.5" x14ac:dyDescent="0.3">
      <c r="A1" s="70" t="s">
        <v>193</v>
      </c>
    </row>
    <row r="2" spans="1:21" x14ac:dyDescent="0.3">
      <c r="B2" s="76" t="s">
        <v>203</v>
      </c>
    </row>
    <row r="4" spans="1:21" x14ac:dyDescent="0.3">
      <c r="B4" s="71" t="s">
        <v>155</v>
      </c>
    </row>
    <row r="6" spans="1:21" x14ac:dyDescent="0.3">
      <c r="B6" s="77" t="s">
        <v>12</v>
      </c>
      <c r="C6" s="79" t="s">
        <v>191</v>
      </c>
      <c r="D6" s="79" t="s">
        <v>0</v>
      </c>
      <c r="E6" s="79" t="s">
        <v>156</v>
      </c>
      <c r="F6" s="79" t="s">
        <v>157</v>
      </c>
      <c r="G6" s="162" t="s">
        <v>204</v>
      </c>
      <c r="H6" s="163"/>
      <c r="I6" s="163"/>
      <c r="J6" s="163"/>
      <c r="K6" s="163"/>
      <c r="L6" s="163"/>
      <c r="M6" s="163"/>
      <c r="N6" s="163"/>
      <c r="O6" s="163"/>
      <c r="P6" s="163"/>
      <c r="Q6" s="163"/>
      <c r="R6" s="163"/>
      <c r="S6" s="163"/>
      <c r="T6" s="163"/>
      <c r="U6" s="164"/>
    </row>
    <row r="7" spans="1:21" x14ac:dyDescent="0.3">
      <c r="B7" s="36" t="s">
        <v>1</v>
      </c>
      <c r="C7" s="68">
        <f>'Data tables'!R7</f>
        <v>24.906815151242942</v>
      </c>
      <c r="D7" s="73">
        <f>SUMIFS(Data!$F$6:$F$298,Data!$B$6:$B$298,'Data tables'!$B7,Data!$C$6:$C$298,"&gt;=2021")</f>
        <v>3328.7444331702227</v>
      </c>
      <c r="E7" s="74">
        <f t="shared" ref="E7:E17" si="0">C7/D7</f>
        <v>7.4823452659963565E-3</v>
      </c>
      <c r="F7" s="67" t="s">
        <v>235</v>
      </c>
      <c r="G7" s="6" t="s">
        <v>236</v>
      </c>
    </row>
    <row r="8" spans="1:21" x14ac:dyDescent="0.3">
      <c r="B8" s="36" t="s">
        <v>121</v>
      </c>
      <c r="C8" s="68">
        <f>'Data tables'!R8</f>
        <v>0</v>
      </c>
      <c r="D8" s="73">
        <f>SUMIFS(Data!$F$6:$F$298,Data!$B$6:$B$298,'Data tables'!$B8,Data!$C$6:$C$298,"&gt;=2021")</f>
        <v>24.896364460930961</v>
      </c>
      <c r="E8" s="74">
        <f t="shared" si="0"/>
        <v>0</v>
      </c>
      <c r="F8" s="67"/>
    </row>
    <row r="9" spans="1:21" x14ac:dyDescent="0.3">
      <c r="B9" s="36" t="s">
        <v>2</v>
      </c>
      <c r="C9" s="68">
        <f>'Data tables'!R9</f>
        <v>0</v>
      </c>
      <c r="D9" s="73">
        <f>SUMIFS(Data!$F$6:$F$298,Data!$B$6:$B$298,'Data tables'!$B9,Data!$C$6:$C$298,"&gt;=2021")</f>
        <v>1243.377</v>
      </c>
      <c r="E9" s="74">
        <f t="shared" si="0"/>
        <v>0</v>
      </c>
      <c r="F9" s="36"/>
    </row>
    <row r="10" spans="1:21" x14ac:dyDescent="0.3">
      <c r="B10" s="36" t="s">
        <v>3</v>
      </c>
      <c r="C10" s="68">
        <f>'Data tables'!R10</f>
        <v>19.102885942009127</v>
      </c>
      <c r="D10" s="73">
        <f>SUMIFS(Data!$F$6:$F$298,Data!$B$6:$B$298,'Data tables'!$B10,Data!$C$6:$C$298,"&gt;=2021")</f>
        <v>3013.0588535929037</v>
      </c>
      <c r="E10" s="74">
        <f t="shared" si="0"/>
        <v>6.3400308026608926E-3</v>
      </c>
      <c r="F10" s="67" t="s">
        <v>235</v>
      </c>
      <c r="G10" s="82" t="s">
        <v>143</v>
      </c>
    </row>
    <row r="11" spans="1:21" x14ac:dyDescent="0.3">
      <c r="B11" s="36" t="s">
        <v>4</v>
      </c>
      <c r="C11" s="68">
        <f>'Data tables'!R11</f>
        <v>13.05</v>
      </c>
      <c r="D11" s="73">
        <f>SUMIFS(Data!$F$6:$F$298,Data!$B$6:$B$298,'Data tables'!$B11,Data!$C$6:$C$298,"&gt;=2021")</f>
        <v>2609.462</v>
      </c>
      <c r="E11" s="74">
        <f t="shared" si="0"/>
        <v>5.001030863833235E-3</v>
      </c>
      <c r="F11" s="67" t="s">
        <v>235</v>
      </c>
      <c r="G11" s="83" t="s">
        <v>238</v>
      </c>
    </row>
    <row r="12" spans="1:21" x14ac:dyDescent="0.3">
      <c r="B12" s="36" t="s">
        <v>120</v>
      </c>
      <c r="C12" s="68">
        <f>'Data tables'!R12</f>
        <v>0</v>
      </c>
      <c r="D12" s="73">
        <f>SUMIFS(Data!$F$6:$F$298,Data!$B$6:$B$298,'Data tables'!$B12,Data!$C$6:$C$298,"&gt;=2021")</f>
        <v>2952.671035202944</v>
      </c>
      <c r="E12" s="74">
        <f t="shared" si="0"/>
        <v>0</v>
      </c>
      <c r="F12" s="36"/>
    </row>
    <row r="13" spans="1:21" x14ac:dyDescent="0.3">
      <c r="B13" s="36" t="s">
        <v>7</v>
      </c>
      <c r="C13" s="68">
        <f>'Data tables'!R13</f>
        <v>0.96499999999999997</v>
      </c>
      <c r="D13" s="73">
        <f>SUMIFS(Data!$F$6:$F$298,Data!$B$6:$B$298,'Data tables'!$B13,Data!$C$6:$C$298,"&gt;=2021")</f>
        <v>951.08800000000008</v>
      </c>
      <c r="E13" s="74">
        <f t="shared" si="0"/>
        <v>1.0146274582373029E-3</v>
      </c>
      <c r="F13" s="132" t="s">
        <v>165</v>
      </c>
      <c r="G13" s="83" t="s">
        <v>239</v>
      </c>
    </row>
    <row r="14" spans="1:21" x14ac:dyDescent="0.3">
      <c r="B14" s="36" t="s">
        <v>8</v>
      </c>
      <c r="C14" s="68">
        <f>'Data tables'!R14</f>
        <v>0</v>
      </c>
      <c r="D14" s="73">
        <f>SUMIFS(Data!$F$6:$F$298,Data!$B$6:$B$298,'Data tables'!$B14,Data!$C$6:$C$298,"&gt;=2021")</f>
        <v>4997.1676900586726</v>
      </c>
      <c r="E14" s="74">
        <f t="shared" si="0"/>
        <v>0</v>
      </c>
      <c r="F14" s="36"/>
    </row>
    <row r="15" spans="1:21" x14ac:dyDescent="0.3">
      <c r="B15" s="36" t="s">
        <v>9</v>
      </c>
      <c r="C15" s="68">
        <f>'Data tables'!R15</f>
        <v>0</v>
      </c>
      <c r="D15" s="73">
        <f>SUMIFS(Data!$F$6:$F$298,Data!$B$6:$B$298,'Data tables'!$B15,Data!$C$6:$C$298,"&gt;=2021")</f>
        <v>1529.0949999999998</v>
      </c>
      <c r="E15" s="74">
        <f t="shared" si="0"/>
        <v>0</v>
      </c>
      <c r="F15" s="36"/>
    </row>
    <row r="16" spans="1:21" x14ac:dyDescent="0.3">
      <c r="B16" s="36" t="s">
        <v>10</v>
      </c>
      <c r="C16" s="68">
        <f>'Data tables'!R16</f>
        <v>16.8336069230769</v>
      </c>
      <c r="D16" s="73">
        <f>SUMIFS(Data!$F$6:$F$298,Data!$B$6:$B$298,'Data tables'!$B16,Data!$C$6:$C$298,"&gt;=2021")</f>
        <v>1573.2079316710249</v>
      </c>
      <c r="E16" s="74">
        <f t="shared" si="0"/>
        <v>1.0700179286025232E-2</v>
      </c>
      <c r="F16" s="67" t="s">
        <v>165</v>
      </c>
      <c r="G16" s="82" t="s">
        <v>234</v>
      </c>
    </row>
    <row r="17" spans="2:9" x14ac:dyDescent="0.3">
      <c r="B17" s="36" t="s">
        <v>11</v>
      </c>
      <c r="C17" s="68">
        <f>'Data tables'!R17</f>
        <v>0</v>
      </c>
      <c r="D17" s="73">
        <f>SUMIFS(Data!$F$6:$F$298,Data!$B$6:$B$298,'Data tables'!$B17,Data!$C$6:$C$298,"&gt;=2021")</f>
        <v>2894.0260000000003</v>
      </c>
      <c r="E17" s="74">
        <f t="shared" si="0"/>
        <v>0</v>
      </c>
      <c r="F17" s="36"/>
    </row>
    <row r="19" spans="2:9" x14ac:dyDescent="0.3">
      <c r="B19" s="71" t="s">
        <v>195</v>
      </c>
    </row>
    <row r="21" spans="2:9" x14ac:dyDescent="0.3">
      <c r="C21" s="80" t="s">
        <v>196</v>
      </c>
      <c r="D21" s="81"/>
      <c r="E21" s="80" t="s">
        <v>197</v>
      </c>
      <c r="F21" s="81"/>
    </row>
    <row r="22" spans="2:9" ht="39" x14ac:dyDescent="0.3">
      <c r="B22" s="77" t="s">
        <v>12</v>
      </c>
      <c r="C22" s="78" t="s">
        <v>194</v>
      </c>
      <c r="D22" s="78" t="s">
        <v>191</v>
      </c>
      <c r="E22" s="78" t="s">
        <v>194</v>
      </c>
      <c r="F22" s="78" t="s">
        <v>191</v>
      </c>
      <c r="G22" s="78" t="s">
        <v>200</v>
      </c>
    </row>
    <row r="23" spans="2:9" x14ac:dyDescent="0.3">
      <c r="B23" s="36" t="s">
        <v>1</v>
      </c>
      <c r="C23" s="68">
        <f>'Data tables'!Q7</f>
        <v>15.885412889379669</v>
      </c>
      <c r="D23" s="68">
        <f>'Data tables'!R7</f>
        <v>24.906815151242942</v>
      </c>
      <c r="E23" s="75">
        <f>'Data tables'!Q22</f>
        <v>245.88400000000001</v>
      </c>
      <c r="F23" s="75">
        <f>'Data tables'!R22</f>
        <v>69.861999999999995</v>
      </c>
      <c r="G23" s="68">
        <f>D23/F23*1000000</f>
        <v>356514.48786526214</v>
      </c>
      <c r="I23" s="133"/>
    </row>
    <row r="24" spans="2:9" x14ac:dyDescent="0.3">
      <c r="B24" s="36" t="s">
        <v>121</v>
      </c>
      <c r="C24" s="68">
        <f>'Data tables'!Q8</f>
        <v>0</v>
      </c>
      <c r="D24" s="68">
        <f>'Data tables'!R8</f>
        <v>0</v>
      </c>
      <c r="E24" s="75">
        <f>'Data tables'!Q23</f>
        <v>0</v>
      </c>
      <c r="F24" s="75">
        <f>'Data tables'!R23</f>
        <v>0</v>
      </c>
      <c r="G24" s="68"/>
      <c r="I24" s="133"/>
    </row>
    <row r="25" spans="2:9" x14ac:dyDescent="0.3">
      <c r="B25" s="36" t="s">
        <v>2</v>
      </c>
      <c r="C25" s="68">
        <f>'Data tables'!Q9</f>
        <v>0</v>
      </c>
      <c r="D25" s="68">
        <f>'Data tables'!R9</f>
        <v>0</v>
      </c>
      <c r="E25" s="75">
        <f>'Data tables'!Q24</f>
        <v>0</v>
      </c>
      <c r="F25" s="75">
        <f>'Data tables'!R24</f>
        <v>0</v>
      </c>
      <c r="G25" s="68"/>
      <c r="I25" s="133"/>
    </row>
    <row r="26" spans="2:9" x14ac:dyDescent="0.3">
      <c r="B26" s="36" t="s">
        <v>3</v>
      </c>
      <c r="C26" s="68">
        <f>'Data tables'!Q10</f>
        <v>16.641981284287617</v>
      </c>
      <c r="D26" s="68">
        <f>'Data tables'!R10</f>
        <v>19.102885942009127</v>
      </c>
      <c r="E26" s="75">
        <f>'Data tables'!Q25</f>
        <v>430.98604558230829</v>
      </c>
      <c r="F26" s="75">
        <f>'Data tables'!R25</f>
        <v>230.08554437612801</v>
      </c>
      <c r="G26" s="68">
        <f>D26/F26*1000000</f>
        <v>83025.146120353587</v>
      </c>
      <c r="I26" s="133"/>
    </row>
    <row r="27" spans="2:9" x14ac:dyDescent="0.3">
      <c r="B27" s="36" t="s">
        <v>4</v>
      </c>
      <c r="C27" s="68">
        <f>'Data tables'!Q11</f>
        <v>5.3672724661432394</v>
      </c>
      <c r="D27" s="68">
        <f>'Data tables'!R11</f>
        <v>13.05</v>
      </c>
      <c r="E27" s="75">
        <f>'Data tables'!Q26</f>
        <v>288.09399999999999</v>
      </c>
      <c r="F27" s="75">
        <f>'Data tables'!R26</f>
        <v>204.59800000000001</v>
      </c>
      <c r="G27" s="68">
        <f>D27/F27*1000000</f>
        <v>63783.614698090896</v>
      </c>
      <c r="I27" s="133"/>
    </row>
    <row r="28" spans="2:9" x14ac:dyDescent="0.3">
      <c r="B28" s="36" t="s">
        <v>120</v>
      </c>
      <c r="C28" s="68">
        <f>'Data tables'!Q12</f>
        <v>0</v>
      </c>
      <c r="D28" s="68">
        <f>'Data tables'!R12</f>
        <v>0</v>
      </c>
      <c r="E28" s="75">
        <f>'Data tables'!Q27</f>
        <v>0</v>
      </c>
      <c r="F28" s="75">
        <f>'Data tables'!R27</f>
        <v>0</v>
      </c>
      <c r="G28" s="68"/>
      <c r="I28" s="133"/>
    </row>
    <row r="29" spans="2:9" x14ac:dyDescent="0.3">
      <c r="B29" s="36" t="s">
        <v>7</v>
      </c>
      <c r="C29" s="68">
        <f>'Data tables'!Q13</f>
        <v>0</v>
      </c>
      <c r="D29" s="68">
        <f>'Data tables'!R13</f>
        <v>0.96499999999999997</v>
      </c>
      <c r="E29" s="75">
        <f>'Data tables'!Q28</f>
        <v>0</v>
      </c>
      <c r="F29" s="75">
        <f>'Data tables'!R28</f>
        <v>0.75700000000000001</v>
      </c>
      <c r="G29" s="68">
        <f>D29/F29*1000000</f>
        <v>1274768.8243064727</v>
      </c>
      <c r="I29" s="133"/>
    </row>
    <row r="30" spans="2:9" x14ac:dyDescent="0.3">
      <c r="B30" s="36" t="s">
        <v>8</v>
      </c>
      <c r="C30" s="68">
        <f>'Data tables'!Q14</f>
        <v>0</v>
      </c>
      <c r="D30" s="68">
        <f>'Data tables'!R14</f>
        <v>0</v>
      </c>
      <c r="E30" s="75">
        <f>'Data tables'!Q29</f>
        <v>0</v>
      </c>
      <c r="F30" s="75">
        <f>'Data tables'!R29</f>
        <v>0</v>
      </c>
      <c r="G30" s="68"/>
      <c r="I30" s="133"/>
    </row>
    <row r="31" spans="2:9" x14ac:dyDescent="0.3">
      <c r="B31" s="36" t="s">
        <v>9</v>
      </c>
      <c r="C31" s="68">
        <f>'Data tables'!Q15</f>
        <v>5.7447786649887602</v>
      </c>
      <c r="D31" s="68">
        <f>'Data tables'!R15</f>
        <v>0</v>
      </c>
      <c r="E31" s="75">
        <f>'Data tables'!Q30</f>
        <v>12.547999999999998</v>
      </c>
      <c r="F31" s="75">
        <f>'Data tables'!R30</f>
        <v>0</v>
      </c>
      <c r="G31" s="68"/>
      <c r="I31" s="135"/>
    </row>
    <row r="32" spans="2:9" ht="16" x14ac:dyDescent="0.5">
      <c r="B32" s="36" t="s">
        <v>10</v>
      </c>
      <c r="C32" s="68">
        <f>'Data tables'!Q16</f>
        <v>12.339569195542904</v>
      </c>
      <c r="D32" s="137">
        <f>('Data tables'!R16)-13</f>
        <v>3.8336069230768999</v>
      </c>
      <c r="E32" s="75">
        <f>'Data tables'!Q31</f>
        <v>96.643159236111117</v>
      </c>
      <c r="F32" s="136">
        <f>'Data tables'!R31</f>
        <v>1.6456682668398099</v>
      </c>
      <c r="G32" s="68">
        <f>D32/F32*1000000</f>
        <v>2329513.7910379749</v>
      </c>
      <c r="H32" s="134" t="s">
        <v>245</v>
      </c>
    </row>
    <row r="33" spans="2:7" x14ac:dyDescent="0.3">
      <c r="B33" s="36" t="s">
        <v>11</v>
      </c>
      <c r="C33" s="68">
        <f>'Data tables'!Q17</f>
        <v>9.1763933138546445</v>
      </c>
      <c r="D33" s="68">
        <f>'Data tables'!R17</f>
        <v>0</v>
      </c>
      <c r="E33" s="75">
        <f>'Data tables'!Q32</f>
        <v>97.086999999999989</v>
      </c>
      <c r="F33" s="75">
        <f>'Data tables'!R32</f>
        <v>0</v>
      </c>
      <c r="G33" s="68"/>
    </row>
    <row r="34" spans="2:7" x14ac:dyDescent="0.3">
      <c r="B34" s="87"/>
      <c r="C34" s="138"/>
      <c r="D34" s="138">
        <f>SUM(D23:D33)</f>
        <v>61.858308016328976</v>
      </c>
      <c r="E34" s="139"/>
      <c r="F34" s="139">
        <f>SUM(F23:F33)</f>
        <v>506.94821264296786</v>
      </c>
      <c r="G34" s="138"/>
    </row>
    <row r="36" spans="2:7" x14ac:dyDescent="0.3">
      <c r="F36" s="103" t="s">
        <v>198</v>
      </c>
      <c r="G36" s="140">
        <f>D34/F34*1000000</f>
        <v>122020.96086665637</v>
      </c>
    </row>
    <row r="37" spans="2:7" x14ac:dyDescent="0.3">
      <c r="F37" s="103" t="s">
        <v>199</v>
      </c>
      <c r="G37" s="140">
        <f>MEDIAN(G23:G33)</f>
        <v>356514.48786526214</v>
      </c>
    </row>
    <row r="39" spans="2:7" x14ac:dyDescent="0.3">
      <c r="B39" s="71" t="s">
        <v>205</v>
      </c>
    </row>
    <row r="41" spans="2:7" ht="39" x14ac:dyDescent="0.3">
      <c r="B41" s="77" t="s">
        <v>12</v>
      </c>
      <c r="C41" s="78" t="s">
        <v>207</v>
      </c>
      <c r="D41" s="79" t="s">
        <v>157</v>
      </c>
      <c r="E41" s="78" t="s">
        <v>206</v>
      </c>
      <c r="F41" s="78" t="s">
        <v>190</v>
      </c>
    </row>
    <row r="42" spans="2:7" x14ac:dyDescent="0.3">
      <c r="B42" s="36" t="s">
        <v>1</v>
      </c>
      <c r="C42" s="66">
        <f>C7</f>
        <v>24.906815151242942</v>
      </c>
      <c r="D42" s="67" t="s">
        <v>235</v>
      </c>
      <c r="E42" s="104">
        <v>0.1</v>
      </c>
      <c r="F42" s="68">
        <f>C42*(1-E42)</f>
        <v>22.416133636118648</v>
      </c>
    </row>
    <row r="43" spans="2:7" x14ac:dyDescent="0.3">
      <c r="B43" s="36" t="s">
        <v>121</v>
      </c>
      <c r="C43" s="66">
        <f t="shared" ref="C43:C52" si="1">C8</f>
        <v>0</v>
      </c>
      <c r="D43" s="67"/>
      <c r="E43" s="104">
        <v>0</v>
      </c>
      <c r="F43" s="68"/>
    </row>
    <row r="44" spans="2:7" x14ac:dyDescent="0.3">
      <c r="B44" s="36" t="s">
        <v>2</v>
      </c>
      <c r="C44" s="66">
        <f t="shared" si="1"/>
        <v>0</v>
      </c>
      <c r="D44" s="36"/>
      <c r="E44" s="104">
        <v>7.1071126462499606E-2</v>
      </c>
      <c r="F44" s="68"/>
    </row>
    <row r="45" spans="2:7" x14ac:dyDescent="0.3">
      <c r="B45" s="36" t="s">
        <v>3</v>
      </c>
      <c r="C45" s="66">
        <f t="shared" si="1"/>
        <v>19.102885942009127</v>
      </c>
      <c r="D45" s="67" t="s">
        <v>235</v>
      </c>
      <c r="E45" s="104">
        <v>0</v>
      </c>
      <c r="F45" s="68">
        <f>C45*(1-E45)</f>
        <v>19.102885942009127</v>
      </c>
    </row>
    <row r="46" spans="2:7" x14ac:dyDescent="0.3">
      <c r="B46" s="36" t="s">
        <v>4</v>
      </c>
      <c r="C46" s="66">
        <f t="shared" si="1"/>
        <v>13.05</v>
      </c>
      <c r="D46" s="67" t="s">
        <v>235</v>
      </c>
      <c r="E46" s="104">
        <v>0.15</v>
      </c>
      <c r="F46" s="68">
        <f>C46*(1-E46)</f>
        <v>11.092500000000001</v>
      </c>
    </row>
    <row r="47" spans="2:7" x14ac:dyDescent="0.3">
      <c r="B47" s="36" t="s">
        <v>120</v>
      </c>
      <c r="C47" s="66">
        <f t="shared" si="1"/>
        <v>0</v>
      </c>
      <c r="D47" s="36"/>
      <c r="E47" s="104">
        <v>0</v>
      </c>
      <c r="F47" s="68"/>
    </row>
    <row r="48" spans="2:7" x14ac:dyDescent="0.3">
      <c r="B48" s="36" t="s">
        <v>7</v>
      </c>
      <c r="C48" s="66">
        <f t="shared" si="1"/>
        <v>0.96499999999999997</v>
      </c>
      <c r="D48" s="132" t="s">
        <v>165</v>
      </c>
      <c r="E48" s="104">
        <v>0</v>
      </c>
      <c r="F48" s="68">
        <f>'Deep dive_SWB'!C11</f>
        <v>0.26988146731400342</v>
      </c>
    </row>
    <row r="49" spans="2:6" x14ac:dyDescent="0.3">
      <c r="B49" s="36" t="s">
        <v>8</v>
      </c>
      <c r="C49" s="66">
        <f t="shared" si="1"/>
        <v>0</v>
      </c>
      <c r="D49" s="36"/>
      <c r="E49" s="104">
        <v>0.15</v>
      </c>
      <c r="F49" s="68"/>
    </row>
    <row r="50" spans="2:6" x14ac:dyDescent="0.3">
      <c r="B50" s="36" t="s">
        <v>9</v>
      </c>
      <c r="C50" s="66">
        <f t="shared" si="1"/>
        <v>0</v>
      </c>
      <c r="D50" s="36"/>
      <c r="E50" s="104">
        <v>5.3222695394977662E-2</v>
      </c>
      <c r="F50" s="68"/>
    </row>
    <row r="51" spans="2:6" x14ac:dyDescent="0.3">
      <c r="B51" s="36" t="s">
        <v>10</v>
      </c>
      <c r="C51" s="66">
        <f t="shared" si="1"/>
        <v>16.8336069230769</v>
      </c>
      <c r="D51" s="67" t="s">
        <v>165</v>
      </c>
      <c r="E51" s="104">
        <v>3.4187573483386621E-2</v>
      </c>
      <c r="F51" s="68">
        <f>'Deep dive_WSX 1'!C11+'Deep dive_WSX 2'!C11</f>
        <v>1.0868228470262213</v>
      </c>
    </row>
    <row r="52" spans="2:6" x14ac:dyDescent="0.3">
      <c r="B52" s="36" t="s">
        <v>11</v>
      </c>
      <c r="C52" s="66">
        <f t="shared" si="1"/>
        <v>0</v>
      </c>
      <c r="D52" s="36"/>
      <c r="E52" s="104">
        <v>0.15</v>
      </c>
      <c r="F52" s="68"/>
    </row>
  </sheetData>
  <mergeCells count="1">
    <mergeCell ref="G6:U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24"/>
  <sheetViews>
    <sheetView showGridLines="0" zoomScale="80" zoomScaleNormal="80" workbookViewId="0"/>
  </sheetViews>
  <sheetFormatPr defaultColWidth="9.08984375" defaultRowHeight="13" x14ac:dyDescent="0.3"/>
  <cols>
    <col min="1" max="1" width="9.08984375" style="6"/>
    <col min="2" max="2" width="14.36328125" style="40" customWidth="1"/>
    <col min="3" max="3" width="25.6328125" style="27" customWidth="1"/>
    <col min="4" max="7" width="14.36328125" style="6" customWidth="1"/>
    <col min="8" max="9" width="15.36328125" style="6" customWidth="1"/>
    <col min="10" max="10" width="46.54296875" style="6" customWidth="1"/>
    <col min="11" max="12" width="4.54296875" style="6" customWidth="1"/>
    <col min="13" max="14" width="16.90625" style="152" customWidth="1"/>
    <col min="15" max="16" width="16.54296875" style="6" customWidth="1"/>
    <col min="17" max="21" width="12" style="6" customWidth="1"/>
    <col min="22" max="16384" width="9.08984375" style="6"/>
  </cols>
  <sheetData>
    <row r="1" spans="1:19" ht="15.5" x14ac:dyDescent="0.35">
      <c r="A1" s="161" t="s">
        <v>225</v>
      </c>
    </row>
    <row r="4" spans="1:19" ht="44.75" customHeight="1" x14ac:dyDescent="0.3">
      <c r="B4" s="41" t="s">
        <v>135</v>
      </c>
      <c r="C4" s="42" t="s">
        <v>139</v>
      </c>
      <c r="D4" s="42" t="s">
        <v>140</v>
      </c>
      <c r="E4" s="42" t="s">
        <v>137</v>
      </c>
      <c r="F4" s="42" t="s">
        <v>141</v>
      </c>
      <c r="G4" s="42" t="s">
        <v>138</v>
      </c>
      <c r="H4" s="42" t="s">
        <v>144</v>
      </c>
      <c r="I4" s="42" t="s">
        <v>148</v>
      </c>
      <c r="J4" s="42" t="s">
        <v>136</v>
      </c>
      <c r="M4" s="166" t="s">
        <v>154</v>
      </c>
      <c r="N4" s="166"/>
      <c r="O4" s="147"/>
      <c r="P4" s="147"/>
      <c r="Q4" s="59"/>
    </row>
    <row r="5" spans="1:19" ht="26" x14ac:dyDescent="0.3">
      <c r="A5" s="60" t="s">
        <v>1</v>
      </c>
      <c r="B5" s="37">
        <v>2</v>
      </c>
      <c r="C5" s="43" t="s">
        <v>246</v>
      </c>
      <c r="D5" s="44">
        <v>69.861999999999995</v>
      </c>
      <c r="E5" s="44">
        <v>24.906815151242942</v>
      </c>
      <c r="F5" s="44">
        <f>E5/D5</f>
        <v>0.35651448786526213</v>
      </c>
      <c r="G5" s="44">
        <f>F5-($N$6/1000000)</f>
        <v>0</v>
      </c>
      <c r="H5" s="44">
        <f>E5</f>
        <v>24.906815151242942</v>
      </c>
      <c r="I5" s="44"/>
      <c r="J5" s="36" t="s">
        <v>237</v>
      </c>
      <c r="M5" s="153" t="s">
        <v>125</v>
      </c>
      <c r="N5" s="153" t="s">
        <v>126</v>
      </c>
      <c r="O5" s="144"/>
      <c r="P5" s="146"/>
      <c r="R5" s="46"/>
    </row>
    <row r="6" spans="1:19" x14ac:dyDescent="0.3">
      <c r="A6" s="60" t="s">
        <v>2</v>
      </c>
      <c r="B6" s="37"/>
      <c r="C6" s="43"/>
      <c r="D6" s="44"/>
      <c r="E6" s="44"/>
      <c r="F6" s="44"/>
      <c r="G6" s="44"/>
      <c r="H6" s="44"/>
      <c r="I6" s="44"/>
      <c r="J6" s="36"/>
      <c r="M6" s="154">
        <f>Analysis!G36</f>
        <v>122020.96086665637</v>
      </c>
      <c r="N6" s="155">
        <f>Analysis!G37</f>
        <v>356514.48786526214</v>
      </c>
      <c r="O6" s="145"/>
      <c r="P6" s="146"/>
    </row>
    <row r="7" spans="1:19" x14ac:dyDescent="0.3">
      <c r="A7" s="60" t="s">
        <v>3</v>
      </c>
      <c r="B7" s="37">
        <v>1</v>
      </c>
      <c r="C7" s="43" t="s">
        <v>142</v>
      </c>
      <c r="D7" s="44">
        <v>230.08554437612801</v>
      </c>
      <c r="E7" s="44">
        <v>19.102885942009127</v>
      </c>
      <c r="F7" s="44">
        <f t="shared" ref="F7:F11" si="0">E7/D7</f>
        <v>8.3025146120353582E-2</v>
      </c>
      <c r="G7" s="44">
        <f>F7-($N$6/1000000)</f>
        <v>-0.27348934174490858</v>
      </c>
      <c r="H7" s="44">
        <f>E7</f>
        <v>19.102885942009127</v>
      </c>
      <c r="I7" s="44"/>
      <c r="J7" s="36" t="s">
        <v>244</v>
      </c>
      <c r="R7" s="46"/>
    </row>
    <row r="8" spans="1:19" ht="26" x14ac:dyDescent="0.3">
      <c r="A8" s="60" t="s">
        <v>4</v>
      </c>
      <c r="B8" s="37">
        <v>2</v>
      </c>
      <c r="C8" s="43" t="s">
        <v>247</v>
      </c>
      <c r="D8" s="44">
        <v>204.59800000000001</v>
      </c>
      <c r="E8" s="44">
        <v>13.05</v>
      </c>
      <c r="F8" s="44">
        <f t="shared" si="0"/>
        <v>6.3783614698090893E-2</v>
      </c>
      <c r="G8" s="44">
        <f>F8-($N$6/1000000)</f>
        <v>-0.29273087316717122</v>
      </c>
      <c r="H8" s="44">
        <f>E8</f>
        <v>13.05</v>
      </c>
      <c r="I8" s="44"/>
      <c r="J8" s="36" t="s">
        <v>243</v>
      </c>
      <c r="M8" s="165"/>
      <c r="N8" s="165"/>
      <c r="O8" s="165"/>
      <c r="P8" s="165"/>
      <c r="S8" s="46"/>
    </row>
    <row r="9" spans="1:19" x14ac:dyDescent="0.3">
      <c r="A9" s="61" t="s">
        <v>5</v>
      </c>
      <c r="B9" s="37"/>
      <c r="C9" s="43"/>
      <c r="D9" s="44"/>
      <c r="E9" s="44"/>
      <c r="F9" s="44"/>
      <c r="G9" s="44"/>
      <c r="H9" s="44"/>
      <c r="I9" s="44"/>
      <c r="J9" s="36"/>
      <c r="M9" s="156"/>
      <c r="N9" s="156"/>
      <c r="O9" s="144"/>
      <c r="P9" s="144"/>
    </row>
    <row r="10" spans="1:19" x14ac:dyDescent="0.3">
      <c r="A10" s="129" t="s">
        <v>7</v>
      </c>
      <c r="B10" s="125">
        <v>1</v>
      </c>
      <c r="C10" s="124" t="s">
        <v>170</v>
      </c>
      <c r="D10" s="126">
        <v>0.81899999999999995</v>
      </c>
      <c r="E10" s="126">
        <f>P21</f>
        <v>0.29820766378244745</v>
      </c>
      <c r="F10" s="126">
        <f t="shared" si="0"/>
        <v>0.36411192159028993</v>
      </c>
      <c r="G10" s="126">
        <f>F10-($N$6/1000000)</f>
        <v>7.5974337250278023E-3</v>
      </c>
      <c r="H10" s="142">
        <f>F10*($N$6/1000000)</f>
        <v>0.12981117525139871</v>
      </c>
      <c r="I10" s="126">
        <f>E10-H10</f>
        <v>0.16839648853104874</v>
      </c>
      <c r="J10" s="124"/>
      <c r="M10" s="157"/>
      <c r="N10" s="157"/>
      <c r="O10" s="145"/>
      <c r="P10" s="145"/>
    </row>
    <row r="11" spans="1:19" x14ac:dyDescent="0.3">
      <c r="A11" s="129" t="s">
        <v>7</v>
      </c>
      <c r="B11" s="125">
        <v>1</v>
      </c>
      <c r="C11" s="124" t="s">
        <v>169</v>
      </c>
      <c r="D11" s="126">
        <v>5.3999999999999999E-2</v>
      </c>
      <c r="E11" s="126">
        <f>P22</f>
        <v>0.27852595797280588</v>
      </c>
      <c r="F11" s="126">
        <f t="shared" si="0"/>
        <v>5.1578881106075167</v>
      </c>
      <c r="G11" s="126">
        <f>F11-($N$6/1000000)</f>
        <v>4.801373622742255</v>
      </c>
      <c r="H11" s="142">
        <f>F11*($N$6/1000000)</f>
        <v>1.8388618382195634</v>
      </c>
      <c r="I11" s="126">
        <f>E11-H11</f>
        <v>-1.5603358802467575</v>
      </c>
      <c r="J11" s="124"/>
      <c r="M11" s="158"/>
      <c r="N11" s="158"/>
      <c r="O11" s="62"/>
      <c r="P11" s="62"/>
    </row>
    <row r="12" spans="1:19" x14ac:dyDescent="0.3">
      <c r="A12" s="129" t="s">
        <v>7</v>
      </c>
      <c r="B12" s="125">
        <v>1</v>
      </c>
      <c r="C12" s="124" t="s">
        <v>168</v>
      </c>
      <c r="D12" s="126"/>
      <c r="E12" s="126">
        <f>P23</f>
        <v>0.38826637824474658</v>
      </c>
      <c r="F12" s="126"/>
      <c r="G12" s="126"/>
      <c r="H12" s="126"/>
      <c r="I12" s="126"/>
      <c r="J12" s="124" t="s">
        <v>178</v>
      </c>
      <c r="M12" s="158"/>
      <c r="N12" s="158"/>
      <c r="O12" s="62"/>
      <c r="P12" s="62"/>
    </row>
    <row r="13" spans="1:19" ht="23.25" customHeight="1" x14ac:dyDescent="0.3">
      <c r="A13" s="116" t="s">
        <v>7</v>
      </c>
      <c r="B13" s="117"/>
      <c r="C13" s="118" t="s">
        <v>177</v>
      </c>
      <c r="D13" s="119">
        <v>0.75700000000000001</v>
      </c>
      <c r="E13" s="119">
        <f>SUM(E10:E12)</f>
        <v>0.96499999999999986</v>
      </c>
      <c r="F13" s="119">
        <f>E13/D13</f>
        <v>1.2747688243064728</v>
      </c>
      <c r="G13" s="119">
        <f>F13-($N$6/1000000)</f>
        <v>0.91825433644121057</v>
      </c>
      <c r="H13" s="119">
        <f>D13*($N$6/1000000)</f>
        <v>0.26988146731400342</v>
      </c>
      <c r="I13" s="119">
        <f>H13-E13</f>
        <v>-0.69511853268599644</v>
      </c>
      <c r="J13" s="52" t="s">
        <v>240</v>
      </c>
      <c r="M13" s="158"/>
      <c r="N13" s="159"/>
      <c r="O13" s="62"/>
      <c r="P13" s="62"/>
    </row>
    <row r="14" spans="1:19" x14ac:dyDescent="0.3">
      <c r="A14" s="60" t="s">
        <v>8</v>
      </c>
      <c r="B14" s="37"/>
      <c r="C14" s="43"/>
      <c r="D14" s="44"/>
      <c r="E14" s="44"/>
      <c r="F14" s="44"/>
      <c r="G14" s="44"/>
      <c r="H14" s="44"/>
      <c r="I14" s="44"/>
      <c r="J14" s="36"/>
    </row>
    <row r="15" spans="1:19" x14ac:dyDescent="0.3">
      <c r="A15" s="60" t="s">
        <v>9</v>
      </c>
      <c r="B15" s="37"/>
      <c r="C15" s="43"/>
      <c r="D15" s="44"/>
      <c r="E15" s="44"/>
      <c r="F15" s="44"/>
      <c r="G15" s="44"/>
      <c r="H15" s="44"/>
      <c r="I15" s="44"/>
      <c r="J15" s="36"/>
    </row>
    <row r="16" spans="1:19" ht="52" x14ac:dyDescent="0.3">
      <c r="A16" s="120" t="s">
        <v>10</v>
      </c>
      <c r="B16" s="121">
        <v>1</v>
      </c>
      <c r="C16" s="122" t="s">
        <v>150</v>
      </c>
      <c r="D16" s="123">
        <v>1.6459999999999999</v>
      </c>
      <c r="E16" s="123">
        <f>16.8336069230769-13</f>
        <v>3.8336069230768999</v>
      </c>
      <c r="F16" s="123">
        <f>E16/D16</f>
        <v>2.329044303205893</v>
      </c>
      <c r="G16" s="123">
        <f>F16-($N$6/1000000)</f>
        <v>1.9725298153406308</v>
      </c>
      <c r="H16" s="143">
        <f>D16*($N$6/1000000)</f>
        <v>0.58682284702622145</v>
      </c>
      <c r="I16" s="123">
        <f>H16-E16</f>
        <v>-3.2467840760506785</v>
      </c>
      <c r="J16" s="130" t="s">
        <v>241</v>
      </c>
      <c r="M16" s="160"/>
      <c r="N16" s="160"/>
    </row>
    <row r="17" spans="1:17" ht="39" x14ac:dyDescent="0.3">
      <c r="A17" s="127" t="s">
        <v>10</v>
      </c>
      <c r="B17" s="47">
        <v>1</v>
      </c>
      <c r="C17" s="48" t="s">
        <v>147</v>
      </c>
      <c r="D17" s="49">
        <v>47.37</v>
      </c>
      <c r="E17" s="49">
        <v>13</v>
      </c>
      <c r="F17" s="49">
        <f>E17/D17</f>
        <v>0.2744352966012244</v>
      </c>
      <c r="G17" s="49">
        <f>F17-($N$6/1000000)</f>
        <v>-8.2079191264037732E-2</v>
      </c>
      <c r="H17" s="49">
        <f>E17</f>
        <v>13</v>
      </c>
      <c r="I17" s="50"/>
      <c r="J17" s="48" t="s">
        <v>242</v>
      </c>
      <c r="N17" s="160"/>
    </row>
    <row r="18" spans="1:17" ht="26" x14ac:dyDescent="0.3">
      <c r="A18" s="128" t="s">
        <v>10</v>
      </c>
      <c r="B18" s="51">
        <v>2</v>
      </c>
      <c r="C18" s="52" t="s">
        <v>224</v>
      </c>
      <c r="D18" s="53">
        <f>D17+D16</f>
        <v>49.015999999999998</v>
      </c>
      <c r="E18" s="53">
        <f>E16+E17</f>
        <v>16.8336069230769</v>
      </c>
      <c r="F18" s="53">
        <f>E18/D18</f>
        <v>0.34343085774189858</v>
      </c>
      <c r="G18" s="53">
        <f>F18-($N$6/1000000)</f>
        <v>-1.3083630123363554E-2</v>
      </c>
      <c r="H18" s="53">
        <f>E18</f>
        <v>16.8336069230769</v>
      </c>
      <c r="I18" s="131"/>
      <c r="J18" s="52" t="s">
        <v>149</v>
      </c>
      <c r="M18" s="148" t="s">
        <v>213</v>
      </c>
      <c r="N18" s="149"/>
      <c r="O18" s="113"/>
      <c r="P18" s="113"/>
    </row>
    <row r="19" spans="1:17" x14ac:dyDescent="0.3">
      <c r="A19" s="60" t="s">
        <v>11</v>
      </c>
      <c r="B19" s="37"/>
      <c r="C19" s="43"/>
      <c r="D19" s="37"/>
      <c r="E19" s="45"/>
      <c r="F19" s="37"/>
      <c r="G19" s="54"/>
      <c r="H19" s="37"/>
      <c r="I19" s="37"/>
      <c r="J19" s="36"/>
      <c r="M19" s="149" t="s">
        <v>212</v>
      </c>
      <c r="N19" s="149">
        <f>1.618-0.965</f>
        <v>0.65300000000000014</v>
      </c>
      <c r="O19" s="113">
        <f>N19/3</f>
        <v>0.2176666666666667</v>
      </c>
      <c r="P19" s="113"/>
    </row>
    <row r="20" spans="1:17" ht="39" x14ac:dyDescent="0.3">
      <c r="H20" s="141">
        <f>SUM(H5:H18)</f>
        <v>89.718685344140155</v>
      </c>
      <c r="M20" s="149"/>
      <c r="N20" s="150" t="s">
        <v>174</v>
      </c>
      <c r="O20" s="114" t="s">
        <v>175</v>
      </c>
      <c r="P20" s="114" t="s">
        <v>176</v>
      </c>
      <c r="Q20" s="55"/>
    </row>
    <row r="21" spans="1:17" x14ac:dyDescent="0.3">
      <c r="G21" s="56"/>
      <c r="H21" s="57"/>
      <c r="M21" s="149" t="s">
        <v>171</v>
      </c>
      <c r="N21" s="151">
        <f>0.5/1.618</f>
        <v>0.30902348578491962</v>
      </c>
      <c r="O21" s="113">
        <f>N21*$N$19</f>
        <v>0.20179233621755255</v>
      </c>
      <c r="P21" s="115">
        <f>0.5-O21</f>
        <v>0.29820766378244745</v>
      </c>
      <c r="Q21" s="55"/>
    </row>
    <row r="22" spans="1:17" x14ac:dyDescent="0.3">
      <c r="G22" s="56"/>
      <c r="H22" s="57"/>
      <c r="M22" s="149" t="s">
        <v>172</v>
      </c>
      <c r="N22" s="151">
        <f>0.467/1.618</f>
        <v>0.28862793572311496</v>
      </c>
      <c r="O22" s="113">
        <f t="shared" ref="O22:O23" si="1">N22*$N$19</f>
        <v>0.18847404202719412</v>
      </c>
      <c r="P22" s="115">
        <f>0.467-O22</f>
        <v>0.27852595797280588</v>
      </c>
      <c r="Q22" s="55"/>
    </row>
    <row r="23" spans="1:17" x14ac:dyDescent="0.3">
      <c r="G23" s="56"/>
      <c r="H23" s="57"/>
      <c r="M23" s="149" t="s">
        <v>173</v>
      </c>
      <c r="N23" s="151">
        <f>0.651/1.618</f>
        <v>0.40234857849196537</v>
      </c>
      <c r="O23" s="113">
        <f t="shared" si="1"/>
        <v>0.26273362175525344</v>
      </c>
      <c r="P23" s="115">
        <f>0.651-O23</f>
        <v>0.38826637824474658</v>
      </c>
    </row>
    <row r="24" spans="1:17" x14ac:dyDescent="0.3">
      <c r="G24" s="58"/>
    </row>
  </sheetData>
  <mergeCells count="2">
    <mergeCell ref="M8:P8"/>
    <mergeCell ref="M4:N4"/>
  </mergeCells>
  <conditionalFormatting sqref="M4 M9:P9 M5:P5">
    <cfRule type="cellIs" dxfId="3" priority="1" operator="equal">
      <formula>0</formula>
    </cfRule>
  </conditionalFormatting>
  <conditionalFormatting sqref="M8 Q4 P6">
    <cfRule type="cellIs" dxfId="2" priority="2"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sheetPr>
  <dimension ref="B1:N48"/>
  <sheetViews>
    <sheetView showGridLines="0" zoomScale="80" zoomScaleNormal="80" workbookViewId="0">
      <pane ySplit="1" topLeftCell="A27" activePane="bottomLeft" state="frozen"/>
      <selection pane="bottomLeft" activeCell="D56" sqref="D56"/>
    </sheetView>
  </sheetViews>
  <sheetFormatPr defaultColWidth="8.6328125" defaultRowHeight="16" x14ac:dyDescent="0.5"/>
  <cols>
    <col min="1" max="1" width="2.36328125" style="2" customWidth="1"/>
    <col min="2" max="2" width="37.6328125" style="2" customWidth="1"/>
    <col min="3" max="3" width="16.54296875" style="2" customWidth="1"/>
    <col min="4" max="4" width="83.1796875" style="2" customWidth="1"/>
    <col min="5" max="5" width="3.36328125" style="2" customWidth="1"/>
    <col min="6" max="6" width="26.54296875" style="2" customWidth="1"/>
    <col min="7" max="14" width="8.54296875" style="2" customWidth="1"/>
    <col min="15" max="16384" width="8.6328125" style="2"/>
  </cols>
  <sheetData>
    <row r="1" spans="2:9" s="3" customFormat="1" ht="21" x14ac:dyDescent="0.5">
      <c r="B1" s="5" t="s">
        <v>186</v>
      </c>
      <c r="C1" s="1"/>
      <c r="D1" s="1"/>
      <c r="E1" s="1"/>
      <c r="F1" s="1"/>
      <c r="G1" s="2"/>
      <c r="H1" s="9"/>
      <c r="I1" s="10"/>
    </row>
    <row r="2" spans="2:9" s="3" customFormat="1" ht="21" x14ac:dyDescent="0.5">
      <c r="B2" s="4"/>
      <c r="C2" s="7"/>
      <c r="D2" s="7"/>
      <c r="E2" s="2"/>
      <c r="F2" s="2"/>
      <c r="G2" s="2"/>
      <c r="H2" s="9"/>
      <c r="I2" s="10"/>
    </row>
    <row r="3" spans="2:9" s="3" customFormat="1" ht="21" x14ac:dyDescent="0.5">
      <c r="B3" s="4" t="s">
        <v>31</v>
      </c>
      <c r="C3" s="7"/>
      <c r="D3" s="7"/>
      <c r="E3" s="2"/>
      <c r="F3" s="2"/>
      <c r="G3" s="2"/>
      <c r="H3" s="9"/>
      <c r="I3" s="10"/>
    </row>
    <row r="4" spans="2:9" x14ac:dyDescent="0.5">
      <c r="B4" s="11" t="s">
        <v>13</v>
      </c>
      <c r="C4" s="29" t="s">
        <v>214</v>
      </c>
      <c r="D4" s="18"/>
    </row>
    <row r="5" spans="2:9" x14ac:dyDescent="0.5">
      <c r="B5" s="11" t="s">
        <v>14</v>
      </c>
      <c r="C5" s="29" t="s">
        <v>223</v>
      </c>
      <c r="D5" s="18"/>
    </row>
    <row r="6" spans="2:9" x14ac:dyDescent="0.5">
      <c r="B6" s="11" t="s">
        <v>27</v>
      </c>
      <c r="C6" s="8" t="s">
        <v>132</v>
      </c>
    </row>
    <row r="7" spans="2:9" x14ac:dyDescent="0.5">
      <c r="B7" s="11" t="s">
        <v>28</v>
      </c>
      <c r="C7" s="15" t="s">
        <v>201</v>
      </c>
    </row>
    <row r="8" spans="2:9" x14ac:dyDescent="0.5">
      <c r="B8" s="12" t="s">
        <v>12</v>
      </c>
      <c r="C8" s="16" t="s">
        <v>7</v>
      </c>
    </row>
    <row r="9" spans="2:9" ht="32" x14ac:dyDescent="0.5">
      <c r="B9" s="12" t="s">
        <v>15</v>
      </c>
      <c r="C9" s="16" t="s">
        <v>134</v>
      </c>
    </row>
    <row r="10" spans="2:9" x14ac:dyDescent="0.5">
      <c r="B10" s="12" t="s">
        <v>124</v>
      </c>
      <c r="C10" s="25">
        <f>'Data tables'!R13</f>
        <v>0.96499999999999997</v>
      </c>
    </row>
    <row r="11" spans="2:9" x14ac:dyDescent="0.5">
      <c r="B11" s="8" t="s">
        <v>30</v>
      </c>
      <c r="C11" s="25">
        <f>'WINEP analysis'!H13</f>
        <v>0.26988146731400342</v>
      </c>
    </row>
    <row r="12" spans="2:9" x14ac:dyDescent="0.5">
      <c r="B12" s="4"/>
    </row>
    <row r="13" spans="2:9" x14ac:dyDescent="0.5">
      <c r="B13" s="4" t="s">
        <v>16</v>
      </c>
      <c r="F13" s="4" t="s">
        <v>17</v>
      </c>
    </row>
    <row r="14" spans="2:9" x14ac:dyDescent="0.5">
      <c r="B14" s="12" t="s">
        <v>18</v>
      </c>
      <c r="C14" s="12" t="s">
        <v>19</v>
      </c>
      <c r="D14" s="12"/>
      <c r="F14" s="12"/>
    </row>
    <row r="15" spans="2:9" x14ac:dyDescent="0.5">
      <c r="B15" s="12" t="s">
        <v>20</v>
      </c>
      <c r="C15" s="12" t="s">
        <v>19</v>
      </c>
      <c r="D15" s="12"/>
      <c r="F15" s="12"/>
    </row>
    <row r="16" spans="2:9" x14ac:dyDescent="0.5">
      <c r="B16" s="12" t="s">
        <v>21</v>
      </c>
      <c r="C16" s="12" t="s">
        <v>19</v>
      </c>
      <c r="D16" s="12"/>
      <c r="F16" s="12"/>
    </row>
    <row r="17" spans="2:6" ht="144" x14ac:dyDescent="0.5">
      <c r="B17" s="12" t="s">
        <v>22</v>
      </c>
      <c r="C17" s="12" t="s">
        <v>123</v>
      </c>
      <c r="D17" s="26" t="s">
        <v>230</v>
      </c>
      <c r="F17" s="26" t="s">
        <v>231</v>
      </c>
    </row>
    <row r="18" spans="2:6" ht="255.65" customHeight="1" x14ac:dyDescent="0.5">
      <c r="B18" s="12" t="s">
        <v>23</v>
      </c>
      <c r="C18" s="12" t="s">
        <v>123</v>
      </c>
      <c r="D18" s="26" t="s">
        <v>248</v>
      </c>
      <c r="F18" s="26" t="s">
        <v>232</v>
      </c>
    </row>
    <row r="19" spans="2:6" ht="96" x14ac:dyDescent="0.5">
      <c r="B19" s="12" t="s">
        <v>24</v>
      </c>
      <c r="C19" s="12" t="s">
        <v>29</v>
      </c>
      <c r="D19" s="26" t="s">
        <v>249</v>
      </c>
      <c r="F19" s="26" t="s">
        <v>233</v>
      </c>
    </row>
    <row r="20" spans="2:6" x14ac:dyDescent="0.5">
      <c r="B20" s="12" t="s">
        <v>25</v>
      </c>
      <c r="C20" s="12" t="s">
        <v>19</v>
      </c>
      <c r="D20" s="12"/>
      <c r="F20" s="12"/>
    </row>
    <row r="21" spans="2:6" x14ac:dyDescent="0.5">
      <c r="B21" s="12" t="s">
        <v>26</v>
      </c>
      <c r="C21" s="12" t="s">
        <v>19</v>
      </c>
      <c r="D21" s="12"/>
      <c r="F21" s="12"/>
    </row>
    <row r="22" spans="2:6" x14ac:dyDescent="0.5">
      <c r="B22" s="17"/>
      <c r="C22" s="17"/>
      <c r="D22" s="17"/>
      <c r="F22" s="17"/>
    </row>
    <row r="23" spans="2:6" x14ac:dyDescent="0.5">
      <c r="B23" s="14"/>
      <c r="C23" s="17"/>
      <c r="D23" s="17"/>
      <c r="F23" s="17"/>
    </row>
    <row r="24" spans="2:6" x14ac:dyDescent="0.5">
      <c r="B24" s="17"/>
      <c r="C24" s="17"/>
      <c r="D24" s="17"/>
      <c r="F24" s="17"/>
    </row>
    <row r="25" spans="2:6" x14ac:dyDescent="0.5">
      <c r="B25" s="17"/>
      <c r="C25" s="17"/>
      <c r="D25" s="17"/>
      <c r="F25" s="17"/>
    </row>
    <row r="26" spans="2:6" x14ac:dyDescent="0.5">
      <c r="B26" s="17"/>
      <c r="C26" s="17"/>
      <c r="D26" s="17"/>
      <c r="E26"/>
      <c r="F26" s="17"/>
    </row>
    <row r="27" spans="2:6" x14ac:dyDescent="0.5">
      <c r="B27" s="17"/>
      <c r="C27" s="17"/>
      <c r="D27" s="17"/>
      <c r="F27" s="17"/>
    </row>
    <row r="28" spans="2:6" x14ac:dyDescent="0.5">
      <c r="B28" s="17"/>
      <c r="C28" s="17"/>
      <c r="D28" s="17"/>
      <c r="F28" s="17"/>
    </row>
    <row r="29" spans="2:6" x14ac:dyDescent="0.5">
      <c r="B29" s="17"/>
      <c r="C29" s="17"/>
      <c r="D29" s="17"/>
      <c r="F29" s="17"/>
    </row>
    <row r="40" spans="2:14" x14ac:dyDescent="0.5">
      <c r="B40" s="4"/>
    </row>
    <row r="43" spans="2:14" x14ac:dyDescent="0.5">
      <c r="B43" s="4"/>
    </row>
    <row r="48" spans="2:14" x14ac:dyDescent="0.5">
      <c r="N48" s="9"/>
    </row>
  </sheetData>
  <dataValidations count="4">
    <dataValidation type="list" allowBlank="1" showInputMessage="1" showErrorMessage="1" sqref="C8">
      <formula1>"ANH,NES,NWT,SRN,SVE,SWB,TMS,WSH,WSX,YKY,AFW,BRL,HDD,PRT,SES,SEW,SSC"</formula1>
    </dataValidation>
    <dataValidation type="list" allowBlank="1" showInputMessage="1" showErrorMessage="1" sqref="C22:C29">
      <formula1>"Pass,Marginal pass, Partial pass, Fail, ,Not assessed, N/A"</formula1>
    </dataValidation>
    <dataValidation type="list" allowBlank="1" showInputMessage="1" showErrorMessage="1" sqref="C9">
      <formula1>"Wholesale water, Wholesale wastewater"</formula1>
    </dataValidation>
    <dataValidation type="list" allowBlank="1" showInputMessage="1" showErrorMessage="1" sqref="C14:C21">
      <formula1>"Pass, Partial pass, Fail, ,Not assessed, N/A"</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B1:N48"/>
  <sheetViews>
    <sheetView showGridLines="0" zoomScale="80" zoomScaleNormal="80" workbookViewId="0">
      <selection activeCell="B6" sqref="B6"/>
    </sheetView>
  </sheetViews>
  <sheetFormatPr defaultColWidth="8.6328125" defaultRowHeight="16" x14ac:dyDescent="0.5"/>
  <cols>
    <col min="1" max="1" width="2.36328125" style="2" customWidth="1"/>
    <col min="2" max="2" width="37.6328125" style="2" customWidth="1"/>
    <col min="3" max="3" width="16.54296875" style="2" customWidth="1"/>
    <col min="4" max="4" width="68.36328125" style="2" customWidth="1"/>
    <col min="5" max="5" width="8.54296875" style="2" customWidth="1"/>
    <col min="6" max="6" width="26.54296875" style="2" customWidth="1"/>
    <col min="7" max="14" width="8.54296875" style="2" customWidth="1"/>
    <col min="15" max="16384" width="8.6328125" style="2"/>
  </cols>
  <sheetData>
    <row r="1" spans="2:9" s="3" customFormat="1" ht="21" x14ac:dyDescent="0.5">
      <c r="B1" s="5" t="s">
        <v>187</v>
      </c>
      <c r="C1" s="1"/>
      <c r="D1" s="1"/>
      <c r="E1" s="1"/>
      <c r="F1" s="1"/>
      <c r="G1" s="2"/>
      <c r="H1" s="9"/>
      <c r="I1" s="10"/>
    </row>
    <row r="2" spans="2:9" s="3" customFormat="1" ht="21" x14ac:dyDescent="0.5">
      <c r="B2" s="4"/>
      <c r="C2" s="7"/>
      <c r="D2" s="7"/>
      <c r="E2" s="2"/>
      <c r="F2" s="2"/>
      <c r="G2" s="2"/>
      <c r="H2" s="9"/>
      <c r="I2" s="10"/>
    </row>
    <row r="3" spans="2:9" s="3" customFormat="1" ht="21" x14ac:dyDescent="0.5">
      <c r="B3" s="4" t="s">
        <v>31</v>
      </c>
      <c r="C3" s="7"/>
      <c r="D3" s="2"/>
      <c r="E3" s="2"/>
      <c r="F3" s="2"/>
      <c r="G3" s="2"/>
      <c r="H3" s="9"/>
      <c r="I3" s="10"/>
    </row>
    <row r="4" spans="2:9" x14ac:dyDescent="0.5">
      <c r="B4" s="11" t="s">
        <v>13</v>
      </c>
      <c r="C4" s="29" t="s">
        <v>214</v>
      </c>
    </row>
    <row r="5" spans="2:9" x14ac:dyDescent="0.5">
      <c r="B5" s="11" t="s">
        <v>14</v>
      </c>
      <c r="C5" s="29" t="s">
        <v>222</v>
      </c>
    </row>
    <row r="6" spans="2:9" x14ac:dyDescent="0.5">
      <c r="B6" s="11" t="s">
        <v>27</v>
      </c>
      <c r="C6" s="8" t="s">
        <v>132</v>
      </c>
    </row>
    <row r="7" spans="2:9" x14ac:dyDescent="0.5">
      <c r="B7" s="11" t="s">
        <v>28</v>
      </c>
      <c r="C7" s="15" t="s">
        <v>201</v>
      </c>
    </row>
    <row r="8" spans="2:9" x14ac:dyDescent="0.5">
      <c r="B8" s="12" t="s">
        <v>12</v>
      </c>
      <c r="C8" s="16" t="s">
        <v>10</v>
      </c>
    </row>
    <row r="9" spans="2:9" ht="32" x14ac:dyDescent="0.5">
      <c r="B9" s="12" t="s">
        <v>15</v>
      </c>
      <c r="C9" s="16" t="s">
        <v>134</v>
      </c>
      <c r="D9" s="13"/>
    </row>
    <row r="10" spans="2:9" x14ac:dyDescent="0.5">
      <c r="B10" s="12" t="s">
        <v>124</v>
      </c>
      <c r="C10" s="63">
        <v>3.8</v>
      </c>
    </row>
    <row r="11" spans="2:9" x14ac:dyDescent="0.5">
      <c r="B11" s="8" t="s">
        <v>30</v>
      </c>
      <c r="C11" s="63">
        <f>'WINEP analysis'!H16</f>
        <v>0.58682284702622145</v>
      </c>
    </row>
    <row r="12" spans="2:9" x14ac:dyDescent="0.5">
      <c r="B12" s="4"/>
    </row>
    <row r="13" spans="2:9" x14ac:dyDescent="0.5">
      <c r="B13" s="4" t="s">
        <v>16</v>
      </c>
      <c r="F13" s="4" t="s">
        <v>17</v>
      </c>
    </row>
    <row r="14" spans="2:9" x14ac:dyDescent="0.5">
      <c r="B14" s="12" t="s">
        <v>18</v>
      </c>
      <c r="C14" s="12" t="s">
        <v>19</v>
      </c>
      <c r="D14" s="12"/>
      <c r="F14" s="12"/>
    </row>
    <row r="15" spans="2:9" x14ac:dyDescent="0.5">
      <c r="B15" s="12" t="s">
        <v>20</v>
      </c>
      <c r="C15" s="12" t="s">
        <v>19</v>
      </c>
      <c r="D15" s="12"/>
      <c r="F15" s="12"/>
    </row>
    <row r="16" spans="2:9" x14ac:dyDescent="0.5">
      <c r="B16" s="12" t="s">
        <v>21</v>
      </c>
      <c r="C16" s="12" t="s">
        <v>19</v>
      </c>
      <c r="D16" s="12"/>
      <c r="F16" s="12"/>
    </row>
    <row r="17" spans="2:6" ht="112" x14ac:dyDescent="0.5">
      <c r="B17" s="12" t="s">
        <v>22</v>
      </c>
      <c r="C17" s="12" t="s">
        <v>123</v>
      </c>
      <c r="D17" s="26" t="s">
        <v>215</v>
      </c>
      <c r="F17" s="26" t="s">
        <v>146</v>
      </c>
    </row>
    <row r="18" spans="2:6" ht="73.75" customHeight="1" x14ac:dyDescent="0.5">
      <c r="B18" s="12" t="s">
        <v>23</v>
      </c>
      <c r="C18" s="12" t="s">
        <v>122</v>
      </c>
      <c r="D18" s="26" t="s">
        <v>216</v>
      </c>
      <c r="F18" s="12"/>
    </row>
    <row r="19" spans="2:6" x14ac:dyDescent="0.5">
      <c r="B19" s="12" t="s">
        <v>24</v>
      </c>
      <c r="C19" s="12" t="s">
        <v>123</v>
      </c>
      <c r="D19" s="12" t="s">
        <v>145</v>
      </c>
      <c r="F19" s="12"/>
    </row>
    <row r="20" spans="2:6" x14ac:dyDescent="0.5">
      <c r="B20" s="12" t="s">
        <v>25</v>
      </c>
      <c r="C20" s="12" t="s">
        <v>19</v>
      </c>
      <c r="D20" s="12"/>
      <c r="F20" s="12"/>
    </row>
    <row r="21" spans="2:6" x14ac:dyDescent="0.5">
      <c r="B21" s="12" t="s">
        <v>26</v>
      </c>
      <c r="C21" s="12" t="s">
        <v>19</v>
      </c>
      <c r="D21" s="12"/>
      <c r="F21" s="12"/>
    </row>
    <row r="22" spans="2:6" x14ac:dyDescent="0.5">
      <c r="B22" s="17"/>
      <c r="C22" s="17"/>
      <c r="D22" s="17"/>
      <c r="F22" s="17"/>
    </row>
    <row r="23" spans="2:6" x14ac:dyDescent="0.5">
      <c r="B23" s="14"/>
      <c r="C23" s="17"/>
      <c r="D23" s="17"/>
      <c r="F23" s="17"/>
    </row>
    <row r="24" spans="2:6" x14ac:dyDescent="0.5">
      <c r="B24" s="17"/>
      <c r="C24" s="17"/>
      <c r="D24" s="17"/>
      <c r="F24" s="17"/>
    </row>
    <row r="25" spans="2:6" x14ac:dyDescent="0.5">
      <c r="B25" s="17"/>
      <c r="C25" s="17"/>
      <c r="D25" s="17"/>
      <c r="F25" s="17"/>
    </row>
    <row r="26" spans="2:6" x14ac:dyDescent="0.5">
      <c r="B26" s="17"/>
      <c r="C26" s="17"/>
      <c r="D26" s="17"/>
      <c r="E26"/>
      <c r="F26" s="17"/>
    </row>
    <row r="27" spans="2:6" x14ac:dyDescent="0.5">
      <c r="B27" s="17"/>
      <c r="C27" s="17"/>
      <c r="D27" s="17"/>
      <c r="F27" s="17"/>
    </row>
    <row r="28" spans="2:6" x14ac:dyDescent="0.5">
      <c r="B28" s="17"/>
      <c r="C28" s="17"/>
      <c r="D28" s="17"/>
      <c r="F28" s="17"/>
    </row>
    <row r="29" spans="2:6" x14ac:dyDescent="0.5">
      <c r="B29" s="17"/>
      <c r="C29" s="17"/>
      <c r="D29" s="17"/>
      <c r="F29" s="17"/>
    </row>
    <row r="40" spans="2:14" x14ac:dyDescent="0.5">
      <c r="B40" s="4"/>
    </row>
    <row r="43" spans="2:14" x14ac:dyDescent="0.5">
      <c r="B43" s="4"/>
    </row>
    <row r="48" spans="2:14" x14ac:dyDescent="0.5">
      <c r="N48" s="9"/>
    </row>
  </sheetData>
  <dataValidations count="4">
    <dataValidation type="list" allowBlank="1" showInputMessage="1" showErrorMessage="1" sqref="C14:C21">
      <formula1>"Pass, Partial pass, Fail, ,Not assessed, N/A"</formula1>
    </dataValidation>
    <dataValidation type="list" allowBlank="1" showInputMessage="1" showErrorMessage="1" sqref="C9">
      <formula1>"Wholesale water, Wholesale wastewater"</formula1>
    </dataValidation>
    <dataValidation type="list" allowBlank="1" showInputMessage="1" showErrorMessage="1" sqref="C22:C29">
      <formula1>"Pass,Marginal pass, Partial pass, Fail, ,Not assessed, N/A"</formula1>
    </dataValidation>
    <dataValidation type="list" allowBlank="1" showInputMessage="1" showErrorMessage="1" sqref="C8">
      <formula1>"ANH,NES,NWT,SRN,SVE,SWB,TMS,WSH,WSX,YKY,AFW,BRL,HDD,PRT,SES,SEW,SSC"</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sheetPr>
  <dimension ref="B1:N48"/>
  <sheetViews>
    <sheetView showGridLines="0" tabSelected="1" topLeftCell="A15" zoomScale="80" zoomScaleNormal="80" workbookViewId="0">
      <selection activeCell="D18" sqref="D18"/>
    </sheetView>
  </sheetViews>
  <sheetFormatPr defaultColWidth="8.6328125" defaultRowHeight="16" x14ac:dyDescent="0.5"/>
  <cols>
    <col min="1" max="1" width="2.36328125" style="2" customWidth="1"/>
    <col min="2" max="2" width="37.6328125" style="2" customWidth="1"/>
    <col min="3" max="3" width="16.54296875" style="2" customWidth="1"/>
    <col min="4" max="4" width="122.54296875" style="2" customWidth="1"/>
    <col min="5" max="5" width="3.54296875" style="2" customWidth="1"/>
    <col min="6" max="6" width="26.54296875" style="2" customWidth="1"/>
    <col min="7" max="14" width="8.54296875" style="2" customWidth="1"/>
    <col min="15" max="16384" width="8.6328125" style="2"/>
  </cols>
  <sheetData>
    <row r="1" spans="2:9" s="3" customFormat="1" ht="21" x14ac:dyDescent="0.5">
      <c r="B1" s="5" t="s">
        <v>188</v>
      </c>
      <c r="C1" s="1"/>
      <c r="D1" s="1"/>
      <c r="E1" s="1"/>
      <c r="F1" s="1"/>
      <c r="G1" s="2"/>
      <c r="H1" s="9"/>
      <c r="I1" s="10"/>
    </row>
    <row r="2" spans="2:9" s="3" customFormat="1" ht="34.5" customHeight="1" x14ac:dyDescent="0.5">
      <c r="B2" s="4"/>
      <c r="C2" s="7"/>
      <c r="D2" s="7"/>
      <c r="E2" s="2"/>
      <c r="F2" s="2"/>
      <c r="G2" s="2"/>
      <c r="H2" s="9"/>
      <c r="I2" s="10"/>
    </row>
    <row r="3" spans="2:9" s="3" customFormat="1" x14ac:dyDescent="0.5">
      <c r="B3" s="4" t="s">
        <v>31</v>
      </c>
      <c r="C3" s="2"/>
      <c r="D3" s="2"/>
      <c r="E3" s="2"/>
      <c r="F3" s="2"/>
      <c r="G3" s="2"/>
      <c r="H3" s="9"/>
      <c r="I3" s="10"/>
    </row>
    <row r="4" spans="2:9" x14ac:dyDescent="0.5">
      <c r="B4" s="11" t="s">
        <v>13</v>
      </c>
      <c r="C4" s="29" t="s">
        <v>214</v>
      </c>
      <c r="D4" s="19"/>
    </row>
    <row r="5" spans="2:9" x14ac:dyDescent="0.5">
      <c r="B5" s="11" t="s">
        <v>14</v>
      </c>
      <c r="C5" s="29" t="s">
        <v>222</v>
      </c>
      <c r="D5" s="19"/>
    </row>
    <row r="6" spans="2:9" x14ac:dyDescent="0.5">
      <c r="B6" s="11" t="s">
        <v>27</v>
      </c>
      <c r="C6" s="8" t="s">
        <v>132</v>
      </c>
      <c r="D6" s="13"/>
    </row>
    <row r="7" spans="2:9" x14ac:dyDescent="0.5">
      <c r="B7" s="11" t="s">
        <v>28</v>
      </c>
      <c r="C7" s="15" t="s">
        <v>201</v>
      </c>
      <c r="D7" s="13"/>
    </row>
    <row r="8" spans="2:9" x14ac:dyDescent="0.5">
      <c r="B8" s="12" t="s">
        <v>12</v>
      </c>
      <c r="C8" s="16" t="s">
        <v>10</v>
      </c>
      <c r="D8" s="13"/>
    </row>
    <row r="9" spans="2:9" ht="46.5" customHeight="1" x14ac:dyDescent="0.5">
      <c r="B9" s="12" t="s">
        <v>15</v>
      </c>
      <c r="C9" s="16" t="s">
        <v>134</v>
      </c>
      <c r="D9" s="13"/>
    </row>
    <row r="10" spans="2:9" x14ac:dyDescent="0.5">
      <c r="B10" s="12" t="s">
        <v>124</v>
      </c>
      <c r="C10" s="63">
        <v>13</v>
      </c>
      <c r="D10" s="2" t="s">
        <v>153</v>
      </c>
    </row>
    <row r="11" spans="2:9" x14ac:dyDescent="0.5">
      <c r="B11" s="8" t="s">
        <v>30</v>
      </c>
      <c r="C11" s="63">
        <v>0.5</v>
      </c>
    </row>
    <row r="12" spans="2:9" x14ac:dyDescent="0.5">
      <c r="B12" s="4"/>
    </row>
    <row r="13" spans="2:9" x14ac:dyDescent="0.5">
      <c r="B13" s="4" t="s">
        <v>16</v>
      </c>
      <c r="F13" s="4" t="s">
        <v>17</v>
      </c>
    </row>
    <row r="14" spans="2:9" ht="112" x14ac:dyDescent="0.5">
      <c r="B14" s="12" t="s">
        <v>18</v>
      </c>
      <c r="C14" s="12" t="s">
        <v>123</v>
      </c>
      <c r="D14" s="26" t="s">
        <v>218</v>
      </c>
      <c r="F14" s="26" t="s">
        <v>227</v>
      </c>
    </row>
    <row r="15" spans="2:9" ht="64" x14ac:dyDescent="0.5">
      <c r="B15" s="12" t="s">
        <v>20</v>
      </c>
      <c r="C15" s="12" t="s">
        <v>123</v>
      </c>
      <c r="D15" s="26" t="s">
        <v>219</v>
      </c>
      <c r="F15" s="12"/>
    </row>
    <row r="16" spans="2:9" x14ac:dyDescent="0.5">
      <c r="B16" s="12" t="s">
        <v>21</v>
      </c>
      <c r="C16" s="12" t="s">
        <v>19</v>
      </c>
      <c r="D16" s="26"/>
      <c r="F16" s="12"/>
    </row>
    <row r="17" spans="2:6" ht="242.75" customHeight="1" x14ac:dyDescent="0.5">
      <c r="B17" s="12" t="s">
        <v>22</v>
      </c>
      <c r="C17" s="12" t="s">
        <v>122</v>
      </c>
      <c r="D17" s="26" t="s">
        <v>217</v>
      </c>
      <c r="F17" s="26" t="s">
        <v>228</v>
      </c>
    </row>
    <row r="18" spans="2:6" ht="198.5" customHeight="1" x14ac:dyDescent="0.5">
      <c r="B18" s="12" t="s">
        <v>23</v>
      </c>
      <c r="C18" s="12" t="s">
        <v>122</v>
      </c>
      <c r="D18" s="26" t="s">
        <v>250</v>
      </c>
      <c r="F18" s="26" t="s">
        <v>229</v>
      </c>
    </row>
    <row r="19" spans="2:6" x14ac:dyDescent="0.5">
      <c r="B19" s="12" t="s">
        <v>24</v>
      </c>
      <c r="C19" s="12" t="s">
        <v>123</v>
      </c>
      <c r="D19" s="12" t="s">
        <v>152</v>
      </c>
      <c r="F19" s="12"/>
    </row>
    <row r="20" spans="2:6" x14ac:dyDescent="0.5">
      <c r="B20" s="12" t="s">
        <v>25</v>
      </c>
      <c r="C20" s="12" t="s">
        <v>19</v>
      </c>
      <c r="D20" s="12"/>
      <c r="F20" s="12"/>
    </row>
    <row r="21" spans="2:6" x14ac:dyDescent="0.5">
      <c r="B21" s="12" t="s">
        <v>26</v>
      </c>
      <c r="C21" s="12" t="s">
        <v>19</v>
      </c>
      <c r="D21" s="12"/>
      <c r="F21" s="12"/>
    </row>
    <row r="22" spans="2:6" x14ac:dyDescent="0.5">
      <c r="B22" s="17"/>
      <c r="C22" s="17"/>
      <c r="D22" s="17"/>
      <c r="F22" s="17"/>
    </row>
    <row r="23" spans="2:6" x14ac:dyDescent="0.5">
      <c r="B23" s="14"/>
      <c r="C23" s="17"/>
      <c r="D23" s="17"/>
      <c r="F23" s="17"/>
    </row>
    <row r="24" spans="2:6" x14ac:dyDescent="0.5">
      <c r="B24" s="17"/>
      <c r="C24" s="17"/>
      <c r="D24" s="17"/>
      <c r="F24" s="17"/>
    </row>
    <row r="25" spans="2:6" x14ac:dyDescent="0.5">
      <c r="B25" s="17"/>
      <c r="C25" s="17"/>
      <c r="D25" s="17"/>
      <c r="F25" s="17"/>
    </row>
    <row r="26" spans="2:6" x14ac:dyDescent="0.5">
      <c r="B26" s="17"/>
      <c r="C26" s="17"/>
      <c r="D26" s="17"/>
      <c r="E26"/>
      <c r="F26" s="17"/>
    </row>
    <row r="27" spans="2:6" x14ac:dyDescent="0.5">
      <c r="B27" s="17"/>
      <c r="C27" s="17"/>
      <c r="D27" s="17"/>
      <c r="F27" s="17"/>
    </row>
    <row r="28" spans="2:6" x14ac:dyDescent="0.5">
      <c r="B28" s="17"/>
      <c r="C28" s="17"/>
      <c r="D28" s="17"/>
      <c r="F28" s="17"/>
    </row>
    <row r="29" spans="2:6" x14ac:dyDescent="0.5">
      <c r="B29" s="17"/>
      <c r="C29" s="17"/>
      <c r="D29" s="17"/>
      <c r="F29" s="17"/>
    </row>
    <row r="40" spans="2:14" x14ac:dyDescent="0.5">
      <c r="B40" s="4"/>
    </row>
    <row r="43" spans="2:14" x14ac:dyDescent="0.5">
      <c r="B43" s="4"/>
    </row>
    <row r="48" spans="2:14" x14ac:dyDescent="0.5">
      <c r="N48" s="9"/>
    </row>
  </sheetData>
  <dataValidations count="4">
    <dataValidation type="list" allowBlank="1" showInputMessage="1" showErrorMessage="1" sqref="C8">
      <formula1>"ANH,NES,NWT,SRN,SVE,SWB,TMS,WSH,WSX,YKY,AFW,BRL,HDD,PRT,SES,SEW,SSC"</formula1>
    </dataValidation>
    <dataValidation type="list" allowBlank="1" showInputMessage="1" showErrorMessage="1" sqref="C22:C29">
      <formula1>"Pass,Marginal pass, Partial pass, Fail, ,Not assessed, N/A"</formula1>
    </dataValidation>
    <dataValidation type="list" allowBlank="1" showInputMessage="1" showErrorMessage="1" sqref="C9">
      <formula1>"Wholesale water, Wholesale wastewater"</formula1>
    </dataValidation>
    <dataValidation type="list" allowBlank="1" showInputMessage="1" showErrorMessage="1" sqref="C14:C21">
      <formula1>"Pass, Partial pass, Fail, ,Not assessed, N/A"</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M24"/>
  <sheetViews>
    <sheetView showGridLines="0" zoomScale="80" zoomScaleNormal="80" workbookViewId="0">
      <selection activeCell="K12" sqref="K12"/>
    </sheetView>
  </sheetViews>
  <sheetFormatPr defaultColWidth="9.36328125" defaultRowHeight="13" x14ac:dyDescent="0.3"/>
  <cols>
    <col min="1" max="1" width="2.54296875" style="6" customWidth="1"/>
    <col min="2" max="2" width="2.6328125" style="6" customWidth="1"/>
    <col min="3" max="3" width="14.36328125" style="6" customWidth="1"/>
    <col min="4" max="4" width="26.54296875" style="6" customWidth="1"/>
    <col min="5" max="5" width="15.54296875" style="6" customWidth="1"/>
    <col min="6" max="6" width="14.36328125" style="6" customWidth="1"/>
    <col min="7" max="7" width="12.6328125" style="6" customWidth="1"/>
    <col min="8" max="8" width="13.6328125" style="6" customWidth="1"/>
    <col min="9" max="9" width="13.36328125" style="6" customWidth="1"/>
    <col min="10" max="11" width="12.54296875" style="6" customWidth="1"/>
    <col min="12" max="12" width="12.08984375" style="6" customWidth="1"/>
    <col min="13" max="13" width="12.6328125" style="6" customWidth="1"/>
    <col min="14" max="14" width="9.36328125" style="6"/>
    <col min="15" max="15" width="31.36328125" style="6" bestFit="1" customWidth="1"/>
    <col min="16" max="16384" width="9.36328125" style="6"/>
  </cols>
  <sheetData>
    <row r="1" spans="2:13" ht="18.5" x14ac:dyDescent="0.45">
      <c r="B1" s="112" t="s">
        <v>158</v>
      </c>
      <c r="C1" s="39"/>
      <c r="D1" s="39"/>
      <c r="E1" s="39"/>
      <c r="F1" s="39"/>
      <c r="G1" s="39"/>
      <c r="H1" s="39"/>
      <c r="I1" s="39"/>
      <c r="J1" s="39"/>
      <c r="K1" s="39"/>
      <c r="L1" s="39"/>
    </row>
    <row r="3" spans="2:13" x14ac:dyDescent="0.3">
      <c r="C3" s="84" t="s">
        <v>13</v>
      </c>
      <c r="D3" s="82" t="s">
        <v>214</v>
      </c>
      <c r="E3" s="85"/>
      <c r="F3" s="85"/>
      <c r="G3" s="85"/>
      <c r="H3" s="85"/>
      <c r="I3" s="85"/>
    </row>
    <row r="4" spans="2:13" x14ac:dyDescent="0.3">
      <c r="C4" s="84" t="s">
        <v>159</v>
      </c>
      <c r="D4" s="82" t="s">
        <v>220</v>
      </c>
      <c r="E4" s="85"/>
      <c r="F4" s="85"/>
      <c r="G4" s="85"/>
      <c r="H4" s="85"/>
      <c r="I4" s="85"/>
    </row>
    <row r="5" spans="2:13" x14ac:dyDescent="0.3">
      <c r="C5" s="84" t="s">
        <v>160</v>
      </c>
      <c r="D5" s="86" t="s">
        <v>129</v>
      </c>
      <c r="E5" s="87"/>
      <c r="F5" s="87"/>
      <c r="G5" s="87"/>
      <c r="H5" s="87"/>
      <c r="I5" s="88"/>
      <c r="J5" s="89"/>
      <c r="K5" s="89"/>
    </row>
    <row r="6" spans="2:13" x14ac:dyDescent="0.3">
      <c r="C6" s="84" t="s">
        <v>161</v>
      </c>
      <c r="D6" s="86" t="s">
        <v>221</v>
      </c>
      <c r="E6" s="87"/>
      <c r="F6" s="87"/>
      <c r="G6" s="87"/>
      <c r="H6" s="87"/>
      <c r="I6" s="90"/>
    </row>
    <row r="7" spans="2:13" x14ac:dyDescent="0.3">
      <c r="C7" s="91" t="s">
        <v>15</v>
      </c>
      <c r="D7" s="92" t="s">
        <v>134</v>
      </c>
      <c r="E7" s="85"/>
      <c r="F7" s="85"/>
      <c r="G7" s="85"/>
      <c r="H7" s="85"/>
      <c r="I7" s="85"/>
    </row>
    <row r="10" spans="2:13" ht="12.75" customHeight="1" x14ac:dyDescent="0.3">
      <c r="B10" s="28" t="s">
        <v>162</v>
      </c>
    </row>
    <row r="11" spans="2:13" ht="12.75" customHeight="1" x14ac:dyDescent="0.3">
      <c r="B11" s="89"/>
      <c r="C11" s="89"/>
      <c r="D11" s="89"/>
      <c r="E11" s="89"/>
      <c r="F11" s="89"/>
      <c r="G11" s="89"/>
      <c r="H11" s="89"/>
      <c r="I11" s="89"/>
      <c r="J11" s="93"/>
      <c r="K11" s="89"/>
    </row>
    <row r="12" spans="2:13" ht="39" x14ac:dyDescent="0.3">
      <c r="C12" s="94" t="s">
        <v>12</v>
      </c>
      <c r="D12" s="94" t="s">
        <v>166</v>
      </c>
      <c r="E12" s="94" t="s">
        <v>179</v>
      </c>
      <c r="F12" s="94" t="s">
        <v>180</v>
      </c>
      <c r="G12" s="94" t="s">
        <v>181</v>
      </c>
      <c r="H12" s="94" t="s">
        <v>209</v>
      </c>
      <c r="I12" s="95" t="s">
        <v>210</v>
      </c>
      <c r="J12" s="96" t="s">
        <v>167</v>
      </c>
      <c r="K12" s="94" t="s">
        <v>182</v>
      </c>
      <c r="L12" s="94" t="s">
        <v>183</v>
      </c>
      <c r="M12" s="94" t="s">
        <v>163</v>
      </c>
    </row>
    <row r="13" spans="2:13" x14ac:dyDescent="0.3">
      <c r="B13" s="97">
        <v>1</v>
      </c>
      <c r="C13" s="98" t="s">
        <v>1</v>
      </c>
      <c r="D13" s="66">
        <f>'Data tables'!R7</f>
        <v>24.906815151242942</v>
      </c>
      <c r="E13" s="110">
        <v>0</v>
      </c>
      <c r="F13" s="110">
        <v>0</v>
      </c>
      <c r="G13" s="111">
        <f>F13-E13</f>
        <v>0</v>
      </c>
      <c r="H13" s="66">
        <f>D13+G13</f>
        <v>24.906815151242942</v>
      </c>
      <c r="I13" s="66">
        <f>Analysis!F42</f>
        <v>22.416133636118648</v>
      </c>
      <c r="J13" s="99">
        <f>MIN(H13,I13)</f>
        <v>22.416133636118648</v>
      </c>
      <c r="K13" s="66">
        <v>0</v>
      </c>
      <c r="L13" s="66">
        <f>$J13*$K13</f>
        <v>0</v>
      </c>
      <c r="M13" s="105">
        <f>$J13*(1-$K13)</f>
        <v>22.416133636118648</v>
      </c>
    </row>
    <row r="14" spans="2:13" x14ac:dyDescent="0.3">
      <c r="B14" s="97">
        <v>2</v>
      </c>
      <c r="C14" s="98" t="s">
        <v>121</v>
      </c>
      <c r="D14" s="66">
        <f>'Data tables'!R8</f>
        <v>0</v>
      </c>
      <c r="E14" s="110">
        <v>0</v>
      </c>
      <c r="F14" s="110">
        <v>0</v>
      </c>
      <c r="G14" s="111">
        <f t="shared" ref="G14:G23" si="0">F14-E14</f>
        <v>0</v>
      </c>
      <c r="H14" s="66">
        <f t="shared" ref="H14" si="1">D14+G14</f>
        <v>0</v>
      </c>
      <c r="I14" s="66">
        <f>Analysis!F43</f>
        <v>0</v>
      </c>
      <c r="J14" s="99">
        <f t="shared" ref="J14" si="2">MIN(H14,I14)</f>
        <v>0</v>
      </c>
      <c r="K14" s="66">
        <v>0</v>
      </c>
      <c r="L14" s="66">
        <f t="shared" ref="L14:L23" si="3">$J14*$K14</f>
        <v>0</v>
      </c>
      <c r="M14" s="105">
        <f t="shared" ref="M14:M23" si="4">$J14*(1-$K14)</f>
        <v>0</v>
      </c>
    </row>
    <row r="15" spans="2:13" x14ac:dyDescent="0.3">
      <c r="B15" s="97">
        <v>3</v>
      </c>
      <c r="C15" s="98" t="s">
        <v>2</v>
      </c>
      <c r="D15" s="66">
        <f>'Data tables'!R9</f>
        <v>0</v>
      </c>
      <c r="E15" s="110">
        <v>0</v>
      </c>
      <c r="F15" s="110">
        <v>0</v>
      </c>
      <c r="G15" s="111">
        <f t="shared" si="0"/>
        <v>0</v>
      </c>
      <c r="H15" s="66">
        <f t="shared" ref="H15:H23" si="5">D15+G15</f>
        <v>0</v>
      </c>
      <c r="I15" s="66">
        <f>Analysis!F44</f>
        <v>0</v>
      </c>
      <c r="J15" s="99">
        <f t="shared" ref="J15:J24" si="6">MIN(H15,I15)</f>
        <v>0</v>
      </c>
      <c r="K15" s="66">
        <v>0</v>
      </c>
      <c r="L15" s="66">
        <f t="shared" si="3"/>
        <v>0</v>
      </c>
      <c r="M15" s="105">
        <f t="shared" si="4"/>
        <v>0</v>
      </c>
    </row>
    <row r="16" spans="2:13" x14ac:dyDescent="0.3">
      <c r="B16" s="97">
        <v>4</v>
      </c>
      <c r="C16" s="98" t="s">
        <v>3</v>
      </c>
      <c r="D16" s="66">
        <f>'Data tables'!R10</f>
        <v>19.102885942009127</v>
      </c>
      <c r="E16" s="110">
        <v>0</v>
      </c>
      <c r="F16" s="110">
        <v>0</v>
      </c>
      <c r="G16" s="111">
        <f t="shared" si="0"/>
        <v>0</v>
      </c>
      <c r="H16" s="66">
        <f t="shared" si="5"/>
        <v>19.102885942009127</v>
      </c>
      <c r="I16" s="66">
        <f>Analysis!F45</f>
        <v>19.102885942009127</v>
      </c>
      <c r="J16" s="99">
        <f t="shared" si="6"/>
        <v>19.102885942009127</v>
      </c>
      <c r="K16" s="66">
        <v>0</v>
      </c>
      <c r="L16" s="66">
        <f t="shared" si="3"/>
        <v>0</v>
      </c>
      <c r="M16" s="105">
        <f t="shared" si="4"/>
        <v>19.102885942009127</v>
      </c>
    </row>
    <row r="17" spans="2:13" x14ac:dyDescent="0.3">
      <c r="B17" s="97">
        <v>5</v>
      </c>
      <c r="C17" s="98" t="s">
        <v>4</v>
      </c>
      <c r="D17" s="66">
        <f>'Data tables'!R11</f>
        <v>13.05</v>
      </c>
      <c r="E17" s="110">
        <v>0</v>
      </c>
      <c r="F17" s="110">
        <v>0</v>
      </c>
      <c r="G17" s="111">
        <f t="shared" si="0"/>
        <v>0</v>
      </c>
      <c r="H17" s="66">
        <f t="shared" si="5"/>
        <v>13.05</v>
      </c>
      <c r="I17" s="66">
        <f>Analysis!F46</f>
        <v>11.092500000000001</v>
      </c>
      <c r="J17" s="99">
        <f t="shared" si="6"/>
        <v>11.092500000000001</v>
      </c>
      <c r="K17" s="66">
        <v>0</v>
      </c>
      <c r="L17" s="66">
        <f t="shared" si="3"/>
        <v>0</v>
      </c>
      <c r="M17" s="105">
        <f t="shared" si="4"/>
        <v>11.092500000000001</v>
      </c>
    </row>
    <row r="18" spans="2:13" x14ac:dyDescent="0.3">
      <c r="B18" s="97">
        <v>6</v>
      </c>
      <c r="C18" s="98" t="s">
        <v>120</v>
      </c>
      <c r="D18" s="66">
        <f>'Data tables'!R12</f>
        <v>0</v>
      </c>
      <c r="E18" s="110">
        <v>0</v>
      </c>
      <c r="F18" s="110">
        <v>0</v>
      </c>
      <c r="G18" s="111">
        <f t="shared" si="0"/>
        <v>0</v>
      </c>
      <c r="H18" s="66">
        <f t="shared" ref="H18" si="7">D18+G18</f>
        <v>0</v>
      </c>
      <c r="I18" s="66">
        <f>Analysis!F47</f>
        <v>0</v>
      </c>
      <c r="J18" s="99">
        <f t="shared" ref="J18" si="8">MIN(H18,I18)</f>
        <v>0</v>
      </c>
      <c r="K18" s="66">
        <v>0</v>
      </c>
      <c r="L18" s="66">
        <f t="shared" si="3"/>
        <v>0</v>
      </c>
      <c r="M18" s="105">
        <f t="shared" si="4"/>
        <v>0</v>
      </c>
    </row>
    <row r="19" spans="2:13" x14ac:dyDescent="0.3">
      <c r="B19" s="97">
        <v>7</v>
      </c>
      <c r="C19" s="98" t="s">
        <v>7</v>
      </c>
      <c r="D19" s="66">
        <f>'Data tables'!R13</f>
        <v>0.96499999999999997</v>
      </c>
      <c r="E19" s="110">
        <v>0</v>
      </c>
      <c r="F19" s="110">
        <v>0</v>
      </c>
      <c r="G19" s="111">
        <f t="shared" si="0"/>
        <v>0</v>
      </c>
      <c r="H19" s="66">
        <f t="shared" si="5"/>
        <v>0.96499999999999997</v>
      </c>
      <c r="I19" s="66">
        <f>Analysis!F48</f>
        <v>0.26988146731400342</v>
      </c>
      <c r="J19" s="99">
        <f t="shared" si="6"/>
        <v>0.26988146731400342</v>
      </c>
      <c r="K19" s="66">
        <v>0</v>
      </c>
      <c r="L19" s="66">
        <f t="shared" si="3"/>
        <v>0</v>
      </c>
      <c r="M19" s="105">
        <f t="shared" si="4"/>
        <v>0.26988146731400342</v>
      </c>
    </row>
    <row r="20" spans="2:13" x14ac:dyDescent="0.3">
      <c r="B20" s="97">
        <v>8</v>
      </c>
      <c r="C20" s="98" t="s">
        <v>8</v>
      </c>
      <c r="D20" s="66">
        <f>'Data tables'!R14</f>
        <v>0</v>
      </c>
      <c r="E20" s="110">
        <v>0</v>
      </c>
      <c r="F20" s="110">
        <v>0</v>
      </c>
      <c r="G20" s="111">
        <f t="shared" si="0"/>
        <v>0</v>
      </c>
      <c r="H20" s="66">
        <f t="shared" si="5"/>
        <v>0</v>
      </c>
      <c r="I20" s="66">
        <f>Analysis!F49</f>
        <v>0</v>
      </c>
      <c r="J20" s="99">
        <f t="shared" si="6"/>
        <v>0</v>
      </c>
      <c r="K20" s="66">
        <v>0</v>
      </c>
      <c r="L20" s="66">
        <f t="shared" si="3"/>
        <v>0</v>
      </c>
      <c r="M20" s="105">
        <f t="shared" si="4"/>
        <v>0</v>
      </c>
    </row>
    <row r="21" spans="2:13" x14ac:dyDescent="0.3">
      <c r="B21" s="97">
        <v>9</v>
      </c>
      <c r="C21" s="98" t="s">
        <v>9</v>
      </c>
      <c r="D21" s="66">
        <f>'Data tables'!R15</f>
        <v>0</v>
      </c>
      <c r="E21" s="110">
        <v>0</v>
      </c>
      <c r="F21" s="110">
        <v>0</v>
      </c>
      <c r="G21" s="111">
        <f t="shared" si="0"/>
        <v>0</v>
      </c>
      <c r="H21" s="66">
        <f t="shared" si="5"/>
        <v>0</v>
      </c>
      <c r="I21" s="66">
        <f>Analysis!F50</f>
        <v>0</v>
      </c>
      <c r="J21" s="99">
        <f t="shared" si="6"/>
        <v>0</v>
      </c>
      <c r="K21" s="66">
        <v>0</v>
      </c>
      <c r="L21" s="66">
        <f t="shared" si="3"/>
        <v>0</v>
      </c>
      <c r="M21" s="105">
        <f t="shared" si="4"/>
        <v>0</v>
      </c>
    </row>
    <row r="22" spans="2:13" x14ac:dyDescent="0.3">
      <c r="B22" s="97">
        <v>10</v>
      </c>
      <c r="C22" s="98" t="s">
        <v>10</v>
      </c>
      <c r="D22" s="66">
        <f>'Data tables'!R16</f>
        <v>16.8336069230769</v>
      </c>
      <c r="E22" s="110">
        <v>0</v>
      </c>
      <c r="F22" s="110">
        <v>0</v>
      </c>
      <c r="G22" s="111">
        <f>F22-E22</f>
        <v>0</v>
      </c>
      <c r="H22" s="66">
        <f t="shared" si="5"/>
        <v>16.8336069230769</v>
      </c>
      <c r="I22" s="66">
        <f>Analysis!F51</f>
        <v>1.0868228470262213</v>
      </c>
      <c r="J22" s="99">
        <f t="shared" si="6"/>
        <v>1.0868228470262213</v>
      </c>
      <c r="K22" s="66">
        <v>0</v>
      </c>
      <c r="L22" s="66">
        <f t="shared" si="3"/>
        <v>0</v>
      </c>
      <c r="M22" s="105">
        <f t="shared" si="4"/>
        <v>1.0868228470262213</v>
      </c>
    </row>
    <row r="23" spans="2:13" x14ac:dyDescent="0.3">
      <c r="B23" s="97">
        <v>11</v>
      </c>
      <c r="C23" s="98" t="s">
        <v>11</v>
      </c>
      <c r="D23" s="66">
        <f>'Data tables'!R17</f>
        <v>0</v>
      </c>
      <c r="E23" s="110">
        <v>0</v>
      </c>
      <c r="F23" s="110">
        <v>0</v>
      </c>
      <c r="G23" s="111">
        <f t="shared" si="0"/>
        <v>0</v>
      </c>
      <c r="H23" s="66">
        <f t="shared" si="5"/>
        <v>0</v>
      </c>
      <c r="I23" s="66">
        <f>Analysis!F52</f>
        <v>0</v>
      </c>
      <c r="J23" s="99">
        <f t="shared" si="6"/>
        <v>0</v>
      </c>
      <c r="K23" s="66">
        <v>0</v>
      </c>
      <c r="L23" s="66">
        <f t="shared" si="3"/>
        <v>0</v>
      </c>
      <c r="M23" s="105">
        <f t="shared" si="4"/>
        <v>0</v>
      </c>
    </row>
    <row r="24" spans="2:13" x14ac:dyDescent="0.3">
      <c r="C24" s="100" t="s">
        <v>164</v>
      </c>
      <c r="D24" s="101">
        <f t="shared" ref="D24:I24" si="9">SUM(D13:D23)</f>
        <v>74.858308016328976</v>
      </c>
      <c r="E24" s="101">
        <f t="shared" si="9"/>
        <v>0</v>
      </c>
      <c r="F24" s="101">
        <f t="shared" si="9"/>
        <v>0</v>
      </c>
      <c r="G24" s="101">
        <f t="shared" si="9"/>
        <v>0</v>
      </c>
      <c r="H24" s="101">
        <f t="shared" si="9"/>
        <v>74.858308016328976</v>
      </c>
      <c r="I24" s="101">
        <f t="shared" si="9"/>
        <v>53.968223892467996</v>
      </c>
      <c r="J24" s="102">
        <f t="shared" si="6"/>
        <v>53.968223892467996</v>
      </c>
      <c r="K24" s="101">
        <f>SUM(K13:K23)</f>
        <v>0</v>
      </c>
      <c r="L24" s="101">
        <f>SUM(L13:L23)</f>
        <v>0</v>
      </c>
      <c r="M24" s="101">
        <f>SUM(M13:M23)</f>
        <v>53.968223892467996</v>
      </c>
    </row>
  </sheetData>
  <conditionalFormatting sqref="G13:G23">
    <cfRule type="cellIs" dxfId="1" priority="1" operator="lessThan">
      <formula>0</formula>
    </cfRule>
    <cfRule type="cellIs" dxfId="0" priority="2" operator="greaterThan">
      <formula>0</formula>
    </cfRule>
  </conditionalFormatting>
  <dataValidations count="1">
    <dataValidation type="list" allowBlank="1" showInputMessage="1" showErrorMessage="1" sqref="D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Cover</vt:lpstr>
      <vt:lpstr>Data</vt:lpstr>
      <vt:lpstr>Data tables</vt:lpstr>
      <vt:lpstr>Analysis</vt:lpstr>
      <vt:lpstr>WINEP analysis</vt:lpstr>
      <vt:lpstr>Deep dive_SWB</vt:lpstr>
      <vt:lpstr>Deep dive_WSX 1</vt:lpstr>
      <vt:lpstr>Deep dive_WSX 2</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2019-01-24T10:55:48Z</dcterms:created>
  <dcterms:modified xsi:type="dcterms:W3CDTF">2019-01-25T15:58:44Z</dcterms:modified>
  <cp:category/>
  <cp:contentStatus/>
</cp:coreProperties>
</file>