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200" windowHeight="11140" tabRatio="852"/>
  </bookViews>
  <sheets>
    <sheet name="Cover" sheetId="22" r:id="rId1"/>
    <sheet name="Data" sheetId="41" r:id="rId2"/>
    <sheet name="Analysis" sheetId="85" r:id="rId3"/>
    <sheet name="Deep dive_SEW" sheetId="78" r:id="rId4"/>
    <sheet name="Deep dive_SWB" sheetId="72" r:id="rId5"/>
    <sheet name="Deep dive_YKY" sheetId="79" r:id="rId6"/>
    <sheet name="Allowance" sheetId="83" r:id="rId7"/>
  </sheets>
  <calcPr calcId="152511"/>
</workbook>
</file>

<file path=xl/calcChain.xml><?xml version="1.0" encoding="utf-8"?>
<calcChain xmlns="http://schemas.openxmlformats.org/spreadsheetml/2006/main">
  <c r="F13" i="83" l="1"/>
  <c r="B4" i="85" l="1"/>
  <c r="A9" i="41" l="1"/>
  <c r="A10" i="41"/>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51" i="41"/>
  <c r="A52" i="41"/>
  <c r="A53" i="41"/>
  <c r="A54" i="41"/>
  <c r="A55" i="41"/>
  <c r="A56" i="41"/>
  <c r="A57" i="41"/>
  <c r="A58" i="41"/>
  <c r="A59" i="41"/>
  <c r="A60" i="41"/>
  <c r="A61" i="41"/>
  <c r="A62" i="41"/>
  <c r="A63" i="41"/>
  <c r="A64" i="41"/>
  <c r="A65" i="41"/>
  <c r="A66" i="41"/>
  <c r="A67" i="41"/>
  <c r="A68" i="41"/>
  <c r="A69" i="41"/>
  <c r="A70" i="41"/>
  <c r="A71" i="41"/>
  <c r="A72" i="41"/>
  <c r="A73" i="41"/>
  <c r="A74" i="41"/>
  <c r="A75" i="41"/>
  <c r="A76" i="41"/>
  <c r="A77" i="41"/>
  <c r="A78" i="41"/>
  <c r="A79" i="41"/>
  <c r="A80" i="41"/>
  <c r="A81" i="41"/>
  <c r="A82" i="41"/>
  <c r="A83" i="41"/>
  <c r="A84" i="41"/>
  <c r="A85" i="41"/>
  <c r="A86" i="41"/>
  <c r="A87" i="41"/>
  <c r="A88" i="41"/>
  <c r="A89" i="41"/>
  <c r="A90" i="41"/>
  <c r="A91" i="41"/>
  <c r="A92" i="41"/>
  <c r="A8" i="41" l="1"/>
  <c r="J22" i="85" l="1"/>
  <c r="J12" i="85"/>
  <c r="J16" i="85"/>
  <c r="J6" i="85"/>
  <c r="J7" i="85"/>
  <c r="J11" i="85"/>
  <c r="J17" i="85"/>
  <c r="J21" i="85"/>
  <c r="E22" i="85"/>
  <c r="D21" i="85"/>
  <c r="C22" i="85"/>
  <c r="G21" i="85"/>
  <c r="G7" i="85"/>
  <c r="C7" i="85"/>
  <c r="E17" i="85"/>
  <c r="F16" i="85"/>
  <c r="G22" i="85"/>
  <c r="E21" i="85"/>
  <c r="G11" i="85"/>
  <c r="F22" i="85"/>
  <c r="C8" i="85"/>
  <c r="C13" i="85"/>
  <c r="E6" i="85"/>
  <c r="G17" i="85"/>
  <c r="F17" i="85"/>
  <c r="C17" i="85"/>
  <c r="C16" i="85"/>
  <c r="C12" i="85"/>
  <c r="E12" i="85"/>
  <c r="E7" i="85"/>
  <c r="F21" i="85"/>
  <c r="E11" i="85"/>
  <c r="G6" i="85"/>
  <c r="D17" i="85"/>
  <c r="F12" i="85"/>
  <c r="E16" i="85"/>
  <c r="C18" i="85"/>
  <c r="G16" i="85"/>
  <c r="D16" i="85"/>
  <c r="D11" i="85"/>
  <c r="D22" i="85"/>
  <c r="C21" i="85"/>
  <c r="F11" i="85"/>
  <c r="C11" i="85"/>
  <c r="G12" i="85"/>
  <c r="D12" i="85"/>
  <c r="C6" i="85"/>
  <c r="D6" i="85"/>
  <c r="D7" i="85"/>
  <c r="F6" i="85"/>
  <c r="F7" i="85"/>
  <c r="H21" i="85" l="1"/>
  <c r="C28" i="83" s="1"/>
  <c r="H11" i="85"/>
  <c r="C18" i="83" s="1"/>
  <c r="H6" i="85"/>
  <c r="M6" i="85" s="1"/>
  <c r="H16" i="85"/>
  <c r="H22" i="85"/>
  <c r="H17" i="85"/>
  <c r="H7" i="85"/>
  <c r="H12" i="85"/>
  <c r="G8" i="85"/>
  <c r="C9" i="85"/>
  <c r="K21" i="85" l="1"/>
  <c r="B8" i="78"/>
  <c r="B9" i="78" s="1"/>
  <c r="O11" i="85"/>
  <c r="H18" i="83" s="1"/>
  <c r="K11" i="85"/>
  <c r="B8" i="72"/>
  <c r="B9" i="72" s="1"/>
  <c r="C19" i="83"/>
  <c r="K12" i="85"/>
  <c r="C14" i="83"/>
  <c r="O7" i="85"/>
  <c r="H14" i="83" s="1"/>
  <c r="K7" i="85"/>
  <c r="C23" i="83"/>
  <c r="B8" i="79"/>
  <c r="B9" i="79" s="1"/>
  <c r="K16" i="85"/>
  <c r="O17" i="85"/>
  <c r="H24" i="83" s="1"/>
  <c r="C24" i="83"/>
  <c r="K17" i="85"/>
  <c r="M22" i="85"/>
  <c r="O22" i="85" s="1"/>
  <c r="H29" i="83" s="1"/>
  <c r="C29" i="83"/>
  <c r="K22" i="85"/>
  <c r="C13" i="83"/>
  <c r="K6" i="85"/>
  <c r="O6" i="85"/>
  <c r="D9" i="85"/>
  <c r="E8" i="85"/>
  <c r="D8" i="85"/>
  <c r="F8" i="85"/>
  <c r="H8" i="85" l="1"/>
  <c r="C15" i="83" l="1"/>
  <c r="O8" i="85"/>
  <c r="H15" i="83" s="1"/>
  <c r="E9" i="85" l="1"/>
  <c r="G9" i="85" l="1"/>
  <c r="F9" i="85" l="1"/>
  <c r="H9" i="85" l="1"/>
  <c r="M9" i="85" s="1"/>
  <c r="C15" i="85"/>
  <c r="C10" i="85"/>
  <c r="F10" i="85"/>
  <c r="E15" i="85"/>
  <c r="D15" i="85"/>
  <c r="F14" i="85"/>
  <c r="G14" i="85"/>
  <c r="C16" i="83" l="1"/>
  <c r="O9" i="85"/>
  <c r="H16" i="83" s="1"/>
  <c r="E10" i="85"/>
  <c r="F19" i="85"/>
  <c r="F15" i="85"/>
  <c r="F20" i="85"/>
  <c r="F18" i="85"/>
  <c r="C19" i="85"/>
  <c r="E13" i="85"/>
  <c r="D13" i="85"/>
  <c r="D19" i="85"/>
  <c r="G18" i="85"/>
  <c r="D18" i="85"/>
  <c r="G13" i="85"/>
  <c r="D14" i="85"/>
  <c r="C14" i="85"/>
  <c r="E18" i="85"/>
  <c r="F13" i="85"/>
  <c r="E19" i="85"/>
  <c r="E14" i="85"/>
  <c r="C20" i="85"/>
  <c r="G19" i="85"/>
  <c r="D10" i="85"/>
  <c r="E20" i="85"/>
  <c r="D20" i="85"/>
  <c r="J10" i="85" l="1"/>
  <c r="E23" i="85"/>
  <c r="F23" i="85"/>
  <c r="H14" i="85"/>
  <c r="M14" i="85" s="1"/>
  <c r="H19" i="85"/>
  <c r="M19" i="85" s="1"/>
  <c r="D23" i="85"/>
  <c r="J15" i="85"/>
  <c r="H13" i="85"/>
  <c r="C23" i="85"/>
  <c r="J20" i="85"/>
  <c r="H18" i="85"/>
  <c r="G20" i="85"/>
  <c r="H20" i="85" s="1"/>
  <c r="G15" i="85"/>
  <c r="H15" i="85" s="1"/>
  <c r="M15" i="85" s="1"/>
  <c r="C22" i="83" l="1"/>
  <c r="O15" i="85"/>
  <c r="H22" i="83" s="1"/>
  <c r="K15" i="85"/>
  <c r="O20" i="85"/>
  <c r="H27" i="83" s="1"/>
  <c r="C27" i="83"/>
  <c r="K20" i="85"/>
  <c r="C26" i="83"/>
  <c r="O19" i="85"/>
  <c r="H26" i="83" s="1"/>
  <c r="O18" i="85"/>
  <c r="H25" i="83" s="1"/>
  <c r="C25" i="83"/>
  <c r="C20" i="83"/>
  <c r="O13" i="85"/>
  <c r="H20" i="83" s="1"/>
  <c r="C21" i="83"/>
  <c r="O14" i="85"/>
  <c r="H21" i="83" s="1"/>
  <c r="G10" i="85"/>
  <c r="G23" i="85" l="1"/>
  <c r="H23" i="85" s="1"/>
  <c r="H10" i="85"/>
  <c r="G26" i="83"/>
  <c r="G18" i="83"/>
  <c r="G14" i="83"/>
  <c r="O10" i="85" l="1"/>
  <c r="H17" i="83" s="1"/>
  <c r="C17" i="83"/>
  <c r="G17" i="83" s="1"/>
  <c r="K10" i="85"/>
  <c r="G23" i="83"/>
  <c r="G28" i="83"/>
  <c r="G25" i="83"/>
  <c r="G22" i="83"/>
  <c r="G16" i="83"/>
  <c r="G24" i="83"/>
  <c r="G19" i="83"/>
  <c r="G29" i="83"/>
  <c r="G15" i="83"/>
  <c r="G21" i="83"/>
  <c r="G27" i="83"/>
  <c r="G20" i="83" l="1"/>
  <c r="C30" i="83"/>
  <c r="I15" i="83"/>
  <c r="I26" i="83"/>
  <c r="I24" i="83"/>
  <c r="I17" i="83"/>
  <c r="I18" i="83" l="1"/>
  <c r="I14" i="83"/>
  <c r="N21" i="85"/>
  <c r="O21" i="85" s="1"/>
  <c r="H28" i="83" s="1"/>
  <c r="N16" i="85"/>
  <c r="O16" i="85" s="1"/>
  <c r="H23" i="83" s="1"/>
  <c r="I16" i="83"/>
  <c r="I29" i="83"/>
  <c r="K15" i="83"/>
  <c r="L24" i="83"/>
  <c r="K24" i="83"/>
  <c r="L15" i="83"/>
  <c r="K17" i="83"/>
  <c r="L17" i="83"/>
  <c r="K26" i="83"/>
  <c r="L26" i="83"/>
  <c r="I21" i="83"/>
  <c r="I22" i="83"/>
  <c r="I20" i="83"/>
  <c r="I27" i="83"/>
  <c r="I25" i="83"/>
  <c r="N12" i="85" l="1"/>
  <c r="O12" i="85" s="1"/>
  <c r="H19" i="83" s="1"/>
  <c r="I19" i="83" s="1"/>
  <c r="L18" i="83"/>
  <c r="K18" i="83"/>
  <c r="L14" i="83"/>
  <c r="K14" i="83"/>
  <c r="I23" i="83"/>
  <c r="I28" i="83"/>
  <c r="K25" i="83"/>
  <c r="L25" i="83"/>
  <c r="L22" i="83"/>
  <c r="K22" i="83"/>
  <c r="L16" i="83"/>
  <c r="K16" i="83"/>
  <c r="K29" i="83"/>
  <c r="L29" i="83"/>
  <c r="L27" i="83"/>
  <c r="K27" i="83"/>
  <c r="L21" i="83"/>
  <c r="K21" i="83"/>
  <c r="K20" i="83"/>
  <c r="L20" i="83"/>
  <c r="K23" i="83" l="1"/>
  <c r="L19" i="83"/>
  <c r="L23" i="83"/>
  <c r="K19" i="83"/>
  <c r="L28" i="83"/>
  <c r="K28" i="83"/>
  <c r="J19" i="85" l="1"/>
  <c r="K19" i="85" s="1"/>
  <c r="J18" i="85" l="1"/>
  <c r="K18" i="85" s="1"/>
  <c r="J14" i="85" l="1"/>
  <c r="K14" i="85" s="1"/>
  <c r="J13" i="85"/>
  <c r="K13" i="85" s="1"/>
  <c r="J9" i="85" l="1"/>
  <c r="K9" i="85" s="1"/>
  <c r="J8" i="85" l="1"/>
  <c r="K8" i="85" s="1"/>
  <c r="J23" i="85" l="1"/>
  <c r="K23" i="85" s="1"/>
  <c r="H13" i="83" l="1"/>
  <c r="H30" i="83" s="1"/>
  <c r="E30" i="83" l="1"/>
  <c r="D30" i="83"/>
  <c r="F30" i="83" l="1"/>
  <c r="G13" i="83"/>
  <c r="G30" i="83" l="1"/>
  <c r="I13" i="83"/>
  <c r="I30" i="83" l="1"/>
  <c r="K13" i="83"/>
  <c r="K30" i="83" s="1"/>
  <c r="L13" i="83"/>
  <c r="L30" i="83" s="1"/>
</calcChain>
</file>

<file path=xl/sharedStrings.xml><?xml version="1.0" encoding="utf-8"?>
<sst xmlns="http://schemas.openxmlformats.org/spreadsheetml/2006/main" count="288" uniqueCount="113">
  <si>
    <t>ANH</t>
  </si>
  <si>
    <t>NES</t>
  </si>
  <si>
    <t>NWT</t>
  </si>
  <si>
    <t>SRN</t>
  </si>
  <si>
    <t>SWB</t>
  </si>
  <si>
    <t>TMS</t>
  </si>
  <si>
    <t>WSH</t>
  </si>
  <si>
    <t>WSX</t>
  </si>
  <si>
    <t>YKY</t>
  </si>
  <si>
    <t>AFW</t>
  </si>
  <si>
    <t>BRL</t>
  </si>
  <si>
    <t>PRT</t>
  </si>
  <si>
    <t>SES</t>
  </si>
  <si>
    <t>SEW</t>
  </si>
  <si>
    <t>SSC</t>
  </si>
  <si>
    <t>Company</t>
  </si>
  <si>
    <t>Assessor's name</t>
  </si>
  <si>
    <t>Peer review (initials, date and QA log ref.)</t>
  </si>
  <si>
    <t>Control</t>
  </si>
  <si>
    <t>Assessment gates</t>
  </si>
  <si>
    <t>References</t>
  </si>
  <si>
    <t>Need for investment</t>
  </si>
  <si>
    <t>N/A</t>
  </si>
  <si>
    <t>[Insert reference to evidence]</t>
  </si>
  <si>
    <t>Need for adjustment</t>
  </si>
  <si>
    <t>Management control</t>
  </si>
  <si>
    <t>Best option for customers</t>
  </si>
  <si>
    <t>Robustness and efficiency of costs</t>
  </si>
  <si>
    <t>Customer protection</t>
  </si>
  <si>
    <t>Affordability</t>
  </si>
  <si>
    <t>Board assurance</t>
  </si>
  <si>
    <t>WS2006CAW</t>
  </si>
  <si>
    <t>Wholesale water</t>
  </si>
  <si>
    <t>Ofwat view of allowance for AMP7 (£m)</t>
  </si>
  <si>
    <t>SVE</t>
  </si>
  <si>
    <t>HDD</t>
  </si>
  <si>
    <t>Capex carried through deep dive AMP7  (£m)</t>
  </si>
  <si>
    <t>realW3026TECAW</t>
  </si>
  <si>
    <t>realWS2006CAW</t>
  </si>
  <si>
    <t>Cover sheet</t>
  </si>
  <si>
    <t>Materiality</t>
  </si>
  <si>
    <t>Shallow dive haircut</t>
  </si>
  <si>
    <t xml:space="preserve">Allowed costs </t>
  </si>
  <si>
    <t>Peer review (initials, date)</t>
  </si>
  <si>
    <t>BoN code</t>
  </si>
  <si>
    <t>Enhancement line</t>
  </si>
  <si>
    <t>Cost allowance for AMP7 (£m)</t>
  </si>
  <si>
    <t>Capex allowed - network plus</t>
  </si>
  <si>
    <t>Total</t>
  </si>
  <si>
    <t>Capex in business plan - wholesale water</t>
  </si>
  <si>
    <t>Capex allowed - wholesale water</t>
  </si>
  <si>
    <t>Proportion of water resources</t>
  </si>
  <si>
    <t>Capex allowed - water resources</t>
  </si>
  <si>
    <t>Capex reallocated out to other lines</t>
  </si>
  <si>
    <t>Capex reallocated in to this line</t>
  </si>
  <si>
    <t>Net Capex reallocated</t>
  </si>
  <si>
    <t>Partial pass</t>
  </si>
  <si>
    <t>SWB Table and model commentaries FINAL (p265, 271) Water Resources Wholesale Revenue Control (p24, 26, 27)</t>
  </si>
  <si>
    <t>Fail</t>
  </si>
  <si>
    <t>Not assessed</t>
  </si>
  <si>
    <t>Pass</t>
  </si>
  <si>
    <t>We identified evidence of assurance for WINEP programme of investments in the company's board assurance report. The board state it is confident to provide assurance that the business plan will deliver and that the Board will monitor the delivery of its outcomes which will fully meet all relevant statutory and licence obligations and take account of the UK governments’ strategic policy statements.  The board provided assurance that its business plan has been informed by and reflects the results of high quality customer engagement. We identified assurance that the expenditure forecasts included in the plan are robust and efficient. In addition the Board provided assurance of its confidence that: • Large investment proposals are robust and deliverable • A proper assessment of options has taken place. The proposed option is the best one for customers.</t>
  </si>
  <si>
    <t>Board assurance (p8, 9, 13)</t>
  </si>
  <si>
    <t>No evidence was identified in relation to cost analysis.</t>
  </si>
  <si>
    <t>We identified no additional evidence other than the related catchment management PC (ref. F5) 'Biodiversity - Enhancement' being out- and underperformance ODI type.</t>
  </si>
  <si>
    <t>No evidence was identified.</t>
  </si>
  <si>
    <t>Main PR19 plan (p23)</t>
  </si>
  <si>
    <t>App1 PC F5</t>
  </si>
  <si>
    <t>The company has identified £17.237m of capital investment in Drinking Water Protected Areas as part of the WINEP programme to implement capital investment. This incorporates a variety of catchment schemes associated with Nitrates, Pesticides, 
Metaldehyde, Colour and Environmental Assessments. There are 43 DrWPA schemes in total and the technical justification and evidence are set out in a technical appendix for the WINEP (Appendix 8g). This appears sufficiently explained. Further evidence behind the costs is set out in Enhancement Cost Appendix.</t>
  </si>
  <si>
    <t>The board provided the required assurance and confirmed the Board has assured itself that, based on its assessments, the proposed costs are efficient,  robust and that the innovation required to execute the programmes of work can be delivered and that 
risk associated with cost uncertainty can be managed by the Company.</t>
  </si>
  <si>
    <t>Commentary for the data tables (p115).
Appendix 8g PR19 WINEP Technical Appendix (p8, 11, 65-95).
Appendix 8f Wholesale Cost Appendices (table on p41, 42)</t>
  </si>
  <si>
    <t>Chapter 03 Board Assurance Statement.</t>
  </si>
  <si>
    <t xml:space="preserve">PR19 Supporting Appendix 22 PR19 Business Plan Table Commentaries (p207)
PR19 Supporting Appendix 10 Environmental Resilience (p59-61)
</t>
  </si>
  <si>
    <t>App1 PC H.3
CCG report (p114 WINEP section)</t>
  </si>
  <si>
    <t>Totex efficiency challenge applied only</t>
  </si>
  <si>
    <t>Appendix 8g, p32</t>
  </si>
  <si>
    <t>We found the company's approach and descriptions of the company's costs, as well as a description of quality assurance of costs. Cost robustness description appears sufficient. 
The company stated that in accordance with Ofwat guidance it has created a unit cost for all measures under Amber for reconciliation should the WINEP programme change. The company states this is explained in detail in its WINEP Cost Appendix but we did not identify it, though signposting to the specific schemes is evident.</t>
  </si>
  <si>
    <t>Appendix 8f Wholesale Cost Appendices (p43, 44)
Appendix 8g, 197/8</t>
  </si>
  <si>
    <t>The company does not appear to have a direct DWPA related performance commitment although it does have related WINEP performance commitments, . We found no specific evidence of customer protection.</t>
  </si>
  <si>
    <t>SEW has proposed one non-financial PC (H.3) for delivering all elements of work required under WINEP; it will be assessed using binary score of "delivered" or not "delivered". The CCG report stated that there was disagreement among some CCG and the SEW's Environmental Focus Group members on the inclusion of WINEP performance commitment as it’s a statutory requirement, not something that customers explicitly supported.  However, as this is reputational-only measure, the CCG concluded there is arguably merit in giving SEW an incentive to deliver early on this important statutory requirement. 
App10 Table 1 p 184 references the WISER expectations the link to AMP7 and how the requirement will be achieved, referencing the commitment via the WINEP ODI</t>
  </si>
  <si>
    <t xml:space="preserve">The company explained that the proportions of the scheme costs have been allocated to the service based on the assets in the scheme cost build up, in line with RAG 4.06.  The schemes (pesticides, turbidity and algae) are allocated to the purpose as per the project driver under the EA WINEP requirements. The statutory obligations under WINEP are focused on current pressures affecting Drinking Water Protected Areas; there are 8 DrWPA schemes in total (6 catchment delivery and 2 investigations). No further evidence was identified justifying the need.
App 10 Table 13 sets out the surface water drinking water safeguard zones and the at risk substances. SEW have identified possible future issues as part of the SWOT and PEST analysis undertaken.
</t>
  </si>
  <si>
    <t>20% challenge applied due to lack of unit cost information, comparison of alternatives and detail of solution spend.</t>
  </si>
  <si>
    <t>Year</t>
  </si>
  <si>
    <t>Code</t>
  </si>
  <si>
    <t>Data</t>
  </si>
  <si>
    <t>£m 2017-18 prices</t>
  </si>
  <si>
    <t>Summary</t>
  </si>
  <si>
    <t>Deep dive sheet - South East Water</t>
  </si>
  <si>
    <t>Deep dive sheet - Yorkshire Water</t>
  </si>
  <si>
    <t>Deep dive sheet - South West Water</t>
  </si>
  <si>
    <t>Wholesale water totex</t>
  </si>
  <si>
    <t>Drinking Water Protected Areas  - capex</t>
  </si>
  <si>
    <t>Analysis and determination of allowance</t>
  </si>
  <si>
    <t>AMP7 total</t>
  </si>
  <si>
    <t>Totex - AMP7 total</t>
  </si>
  <si>
    <t>Shallow dive allowance</t>
  </si>
  <si>
    <t>Deep dive allowance</t>
  </si>
  <si>
    <t>Final allowance</t>
  </si>
  <si>
    <t>Drinking Water Protected Areas (schemes)</t>
  </si>
  <si>
    <t>Capex after reallocations</t>
  </si>
  <si>
    <t>Modelled allowance</t>
  </si>
  <si>
    <t>PR19 Supporting Appendix 1, Engagement (p133)
Appendix 10 Environmental Resilience (p62/63)</t>
  </si>
  <si>
    <t>Appendix 10 Environmental Resilience (p62/63)</t>
  </si>
  <si>
    <t>Appendix 10 Environmental Resilience (p117-126)</t>
  </si>
  <si>
    <t>PM</t>
  </si>
  <si>
    <t>FC, 04/01/2019</t>
  </si>
  <si>
    <t>We have identified that SEW have referenced working closely with the EA and DWI to identify areas at risk of not meeting the WFD objectives and demonstrated current investigation outcomes in Table 15</t>
  </si>
  <si>
    <t>Protecting the natural environment and the wildlife appears to be one of SEW's customer priority.
We have identified SEW multi-strand approach for DWPA through adoption of WINEP programme to tackle pesticide and algal risks. We note that an alternative capital treatment solution has been costed at £158.7m to treat metaldehyde, though no further cost benefit analysis details have been identified.</t>
  </si>
  <si>
    <t xml:space="preserve">Interventions are generically themed with no demonstration of bottom-up costings. We note that costs appear based on the 17/18 year and scaled up to reflect the future programme needs using partnership approach through Catchment Sensitive Farming and a variety of river catchment partnerships, though no detail is provided. No evidence was identified in relation to third party assurance of cost analysis. </t>
  </si>
  <si>
    <t xml:space="preserve">This is a continuation of the company's catchment management programme (started in AMP6 and continued in AMP7) with a primary focus to improve raw water quality through targeting reductions in pollutant and sediment loads, with wider biodiversity benefits and a natural capital improvement of 3:1, relative to the investment. The company explained that it plans to deliver this through a range of market based mechanisms together with direct investment. Detailed delivery plans include new innovations such as include whole water-cycle outcomes; new market mechanisms, Payment for Ecosystem Services (PES) incentives, new methods of farmer, supplier and food chain engagement and a world class research and monitoring alliance to prove outcomes. The programme called 'Upstream Thinking 3 (UST3)' 2020-25 will encompass 80% of drinking water source catchments in SWB regions. Capex (Line 17) includes investment in DWPA’s which constitutes £5.255m of the overall £16.845m programme; the remainder is included in line 29; opex (line 56) represents additional opex of £0.609m incurred from the Upstream Thinking programme relating to DWPA’s in 2020-25. 
</t>
  </si>
  <si>
    <t>The company described its customers' priorities, one of which is catchment management. SWB stated that approximately 50% of customers supported catchment or land management solutions and that customers have limited awareness of South West Water’s impact on biodiversity and the wider environment but view biodiversity, waste management and chemicals as the high priority environmental issues in general and welcome any positive impact South West Water can have on these aspects. Customers wanted environmental measures included in the company's performance commitments. 
We identified no direct evidence or assurance from CCG that customers support the specific improvements.</t>
  </si>
  <si>
    <t>Appendix 8g PR19 WINEP Technical Appendix, p65-95</t>
  </si>
  <si>
    <t>We found that the evidence was well presented and explained with schemes listed in Appendix 1, p197.  We note that internal and external costing audits have been undertaken.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</si>
</sst>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0_);\(#,##0\);&quot;-  &quot;;&quot; &quot;@&quot; &quot;"/>
    <numFmt numFmtId="166" formatCode="0.0%"/>
    <numFmt numFmtId="167" formatCode="_-* #,##0.000_-;\-* #,##0.000_-;_-* &quot;-&quot;??_-;_-@_-"/>
    <numFmt numFmtId="168" formatCode="_(* #,##0.0_);_(* \(#,##0.0\);_(* &quot;-&quot;??_);_(@_)"/>
    <numFmt numFmtId="169" formatCode="_(* #,##0_);_(* \(#,##0\);_(* &quot;-&quot;??_);_(@_)"/>
    <numFmt numFmtId="170" formatCode="_(* #,##0.000_);_(* \(#,##0.000\);_(* &quot;-&quot;??_);_(@_)"/>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b/>
      <sz val="14"/>
      <color theme="1"/>
      <name val="Gill Sans MT"/>
      <family val="2"/>
    </font>
    <font>
      <sz val="10"/>
      <color theme="1"/>
      <name val="Calibri"/>
      <family val="2"/>
      <scheme val="minor"/>
    </font>
    <font>
      <sz val="9"/>
      <name val="Gill Sans MT"/>
      <family val="2"/>
    </font>
    <font>
      <sz val="11"/>
      <color theme="1"/>
      <name val="Gill Sans MT"/>
      <family val="2"/>
    </font>
    <font>
      <i/>
      <sz val="11"/>
      <color rgb="FF7F7F7F"/>
      <name val="Arial"/>
      <family val="2"/>
    </font>
    <font>
      <b/>
      <sz val="10"/>
      <color theme="1"/>
      <name val="Calibri"/>
      <family val="2"/>
      <scheme val="minor"/>
    </font>
    <font>
      <i/>
      <sz val="10"/>
      <color rgb="FF7F7F7F"/>
      <name val="Calibri"/>
      <family val="2"/>
      <scheme val="minor"/>
    </font>
    <font>
      <b/>
      <sz val="10"/>
      <name val="Calibri"/>
      <family val="2"/>
      <scheme val="minor"/>
    </font>
    <font>
      <sz val="12"/>
      <color theme="3"/>
      <name val="Calibri"/>
      <family val="2"/>
      <scheme val="minor"/>
    </font>
    <font>
      <sz val="14"/>
      <color theme="3"/>
      <name val="Calibri"/>
      <family val="2"/>
      <scheme val="minor"/>
    </font>
    <font>
      <sz val="10"/>
      <name val="Calibri"/>
      <family val="2"/>
      <scheme val="minor"/>
    </font>
    <font>
      <b/>
      <i/>
      <sz val="10"/>
      <color theme="1"/>
      <name val="Calibri"/>
      <family val="2"/>
      <scheme val="minor"/>
    </font>
    <font>
      <sz val="10"/>
      <color rgb="FF000000"/>
      <name val="Calibri"/>
      <family val="2"/>
      <scheme val="minor"/>
    </font>
    <font>
      <b/>
      <sz val="10"/>
      <color theme="3"/>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3">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9" fontId="12" fillId="0" borderId="0" applyFont="0" applyFill="0" applyBorder="0" applyAlignment="0" applyProtection="0"/>
    <xf numFmtId="0" fontId="7" fillId="0" borderId="0"/>
    <xf numFmtId="165"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3" fillId="0" borderId="0"/>
    <xf numFmtId="0" fontId="18"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81">
    <xf numFmtId="0" fontId="0" fillId="0" borderId="0" xfId="0"/>
    <xf numFmtId="0" fontId="13" fillId="3" borderId="0" xfId="10" applyFont="1" applyFill="1" applyAlignment="1">
      <alignment vertical="center"/>
    </xf>
    <xf numFmtId="0" fontId="15" fillId="0" borderId="0" xfId="0" applyFont="1"/>
    <xf numFmtId="0" fontId="15" fillId="0" borderId="1" xfId="0" applyFont="1" applyBorder="1" applyAlignment="1">
      <alignment vertical="center"/>
    </xf>
    <xf numFmtId="0" fontId="14" fillId="3" borderId="2" xfId="10" applyFont="1" applyFill="1" applyBorder="1"/>
    <xf numFmtId="0" fontId="16" fillId="3" borderId="4" xfId="1" applyFont="1" applyFill="1" applyBorder="1"/>
    <xf numFmtId="0" fontId="17" fillId="0" borderId="0" xfId="0" applyFont="1"/>
    <xf numFmtId="0" fontId="17" fillId="0" borderId="0" xfId="0" applyFont="1" applyAlignment="1">
      <alignment horizontal="center" vertical="center"/>
    </xf>
    <xf numFmtId="0" fontId="13" fillId="3" borderId="0" xfId="0" applyFont="1" applyFill="1"/>
    <xf numFmtId="0" fontId="19" fillId="0" borderId="0" xfId="0" applyFont="1"/>
    <xf numFmtId="0" fontId="19" fillId="2" borderId="1" xfId="0" applyFont="1" applyFill="1" applyBorder="1" applyAlignment="1">
      <alignment horizontal="left" wrapText="1"/>
    </xf>
    <xf numFmtId="0" fontId="19" fillId="2" borderId="1" xfId="0" quotePrefix="1" applyFont="1" applyFill="1" applyBorder="1" applyAlignment="1">
      <alignment horizontal="left" wrapText="1"/>
    </xf>
    <xf numFmtId="0" fontId="19" fillId="6" borderId="1" xfId="0" applyFont="1" applyFill="1" applyBorder="1" applyAlignment="1">
      <alignment horizontal="left" wrapText="1"/>
    </xf>
    <xf numFmtId="0" fontId="19" fillId="3" borderId="0" xfId="0" applyFont="1" applyFill="1"/>
    <xf numFmtId="0" fontId="15" fillId="5" borderId="1" xfId="0" applyFont="1" applyFill="1" applyBorder="1" applyAlignment="1">
      <alignment horizontal="left"/>
    </xf>
    <xf numFmtId="0" fontId="15" fillId="0" borderId="1" xfId="0" applyFont="1" applyBorder="1" applyAlignment="1"/>
    <xf numFmtId="0" fontId="15" fillId="0" borderId="0" xfId="0" applyFont="1" applyBorder="1" applyAlignment="1"/>
    <xf numFmtId="14" fontId="15" fillId="0" borderId="1" xfId="0" applyNumberFormat="1" applyFont="1" applyBorder="1"/>
    <xf numFmtId="0" fontId="15" fillId="0" borderId="0" xfId="0" applyFont="1" applyBorder="1"/>
    <xf numFmtId="0" fontId="15" fillId="0" borderId="0" xfId="0" applyFont="1" applyBorder="1" applyAlignment="1" applyProtection="1">
      <alignment horizontal="left"/>
      <protection locked="0"/>
    </xf>
    <xf numFmtId="0" fontId="20" fillId="0" borderId="0" xfId="18" applyFont="1"/>
    <xf numFmtId="14" fontId="15" fillId="0" borderId="0" xfId="0" applyNumberFormat="1" applyFont="1" applyBorder="1" applyAlignment="1" applyProtection="1">
      <alignment horizontal="left"/>
      <protection locked="0"/>
    </xf>
    <xf numFmtId="0" fontId="15" fillId="0" borderId="5" xfId="0" applyFont="1" applyBorder="1" applyAlignment="1">
      <alignment vertical="top"/>
    </xf>
    <xf numFmtId="0" fontId="15" fillId="0" borderId="5" xfId="0" applyFont="1" applyBorder="1" applyAlignment="1"/>
    <xf numFmtId="0" fontId="15" fillId="0" borderId="0" xfId="0" applyFont="1" applyFill="1"/>
    <xf numFmtId="0" fontId="15" fillId="0" borderId="1" xfId="21" applyFont="1" applyBorder="1" applyAlignment="1">
      <alignment horizontal="center"/>
    </xf>
    <xf numFmtId="0" fontId="15" fillId="0" borderId="1" xfId="21" applyFont="1" applyBorder="1"/>
    <xf numFmtId="167" fontId="15" fillId="0" borderId="1" xfId="6" applyNumberFormat="1" applyFont="1" applyBorder="1"/>
    <xf numFmtId="167" fontId="15" fillId="6" borderId="1" xfId="6" applyNumberFormat="1" applyFont="1" applyFill="1" applyBorder="1"/>
    <xf numFmtId="0" fontId="19" fillId="0" borderId="1" xfId="21" applyFont="1" applyBorder="1"/>
    <xf numFmtId="167" fontId="21" fillId="0" borderId="1" xfId="6" applyNumberFormat="1" applyFont="1" applyBorder="1"/>
    <xf numFmtId="167" fontId="19" fillId="6" borderId="1" xfId="6" applyNumberFormat="1" applyFont="1" applyFill="1" applyBorder="1"/>
    <xf numFmtId="0" fontId="15" fillId="0" borderId="0" xfId="0" applyFont="1" applyAlignment="1">
      <alignment vertical="center"/>
    </xf>
    <xf numFmtId="0" fontId="15" fillId="0" borderId="0" xfId="0" applyFont="1" applyAlignment="1">
      <alignment vertical="top" wrapText="1"/>
    </xf>
    <xf numFmtId="0" fontId="15" fillId="0" borderId="1" xfId="0"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xf numFmtId="0" fontId="21" fillId="0" borderId="0" xfId="0" applyFont="1"/>
    <xf numFmtId="0" fontId="24" fillId="0" borderId="0" xfId="1" applyFont="1"/>
    <xf numFmtId="0" fontId="13" fillId="0" borderId="0" xfId="10" applyFont="1" applyAlignment="1">
      <alignment vertical="center"/>
    </xf>
    <xf numFmtId="0" fontId="15" fillId="0" borderId="1" xfId="0" applyFont="1" applyBorder="1" applyAlignment="1">
      <alignment vertical="top"/>
    </xf>
    <xf numFmtId="0" fontId="15" fillId="0" borderId="3" xfId="0" applyFont="1" applyBorder="1" applyAlignment="1">
      <alignment horizontal="left" wrapText="1"/>
    </xf>
    <xf numFmtId="0" fontId="15" fillId="0" borderId="0" xfId="0" applyFont="1" applyAlignment="1">
      <alignment horizontal="left" wrapText="1"/>
    </xf>
    <xf numFmtId="0" fontId="15" fillId="0" borderId="1" xfId="0" applyFont="1" applyBorder="1"/>
    <xf numFmtId="0" fontId="15" fillId="0" borderId="1" xfId="0" applyFont="1" applyBorder="1" applyAlignment="1">
      <alignment vertical="top" wrapText="1"/>
    </xf>
    <xf numFmtId="0" fontId="15" fillId="5" borderId="1" xfId="0" applyFont="1" applyFill="1" applyBorder="1" applyAlignment="1">
      <alignment vertical="top"/>
    </xf>
    <xf numFmtId="0" fontId="15" fillId="0" borderId="0" xfId="0" applyFont="1" applyBorder="1" applyAlignment="1">
      <alignment vertical="top"/>
    </xf>
    <xf numFmtId="0" fontId="25" fillId="0" borderId="0" xfId="0" applyFont="1" applyAlignment="1">
      <alignment horizontal="left" indent="1"/>
    </xf>
    <xf numFmtId="0" fontId="19" fillId="3" borderId="0" xfId="10" applyFont="1" applyFill="1" applyAlignment="1">
      <alignment vertical="center"/>
    </xf>
    <xf numFmtId="0" fontId="19" fillId="0" borderId="0" xfId="10" applyFont="1" applyAlignment="1">
      <alignment vertical="center"/>
    </xf>
    <xf numFmtId="0" fontId="0" fillId="0" borderId="0" xfId="0" applyFont="1"/>
    <xf numFmtId="0" fontId="15" fillId="5" borderId="1" xfId="0" applyFont="1" applyFill="1" applyBorder="1" applyAlignment="1">
      <alignment vertical="top" wrapText="1"/>
    </xf>
    <xf numFmtId="0" fontId="15" fillId="0" borderId="0" xfId="0" applyFont="1" applyAlignment="1"/>
    <xf numFmtId="0" fontId="26" fillId="0" borderId="1" xfId="0" applyFont="1" applyBorder="1" applyAlignment="1">
      <alignment wrapText="1"/>
    </xf>
    <xf numFmtId="0" fontId="15" fillId="4" borderId="1" xfId="0" applyFont="1" applyFill="1" applyBorder="1" applyAlignment="1">
      <alignment vertical="top" wrapText="1"/>
    </xf>
    <xf numFmtId="2" fontId="15" fillId="0" borderId="1" xfId="4" applyNumberFormat="1" applyFont="1" applyBorder="1" applyAlignment="1">
      <alignment vertical="center"/>
    </xf>
    <xf numFmtId="169" fontId="15" fillId="0" borderId="0" xfId="6" applyNumberFormat="1" applyFont="1"/>
    <xf numFmtId="164" fontId="15" fillId="0" borderId="1" xfId="6" applyFont="1" applyFill="1" applyBorder="1" applyAlignment="1">
      <alignment vertical="center"/>
    </xf>
    <xf numFmtId="169" fontId="15" fillId="0" borderId="1" xfId="6" applyNumberFormat="1" applyFont="1" applyBorder="1" applyAlignment="1">
      <alignment vertical="center"/>
    </xf>
    <xf numFmtId="0" fontId="19" fillId="4" borderId="1" xfId="0" applyFont="1" applyFill="1" applyBorder="1" applyAlignment="1">
      <alignment vertical="top" wrapText="1"/>
    </xf>
    <xf numFmtId="0" fontId="23" fillId="0" borderId="0" xfId="0" applyFont="1"/>
    <xf numFmtId="0" fontId="15" fillId="0" borderId="1" xfId="22" applyFont="1" applyBorder="1"/>
    <xf numFmtId="164" fontId="15" fillId="0" borderId="1" xfId="6" applyFont="1" applyBorder="1"/>
    <xf numFmtId="169" fontId="19" fillId="0" borderId="1" xfId="6" applyNumberFormat="1" applyFont="1" applyBorder="1"/>
    <xf numFmtId="166" fontId="19" fillId="0" borderId="1" xfId="7" applyNumberFormat="1" applyFont="1" applyBorder="1" applyAlignment="1">
      <alignment wrapText="1"/>
    </xf>
    <xf numFmtId="168" fontId="19" fillId="0" borderId="1" xfId="6" applyNumberFormat="1" applyFont="1" applyBorder="1"/>
    <xf numFmtId="0" fontId="19" fillId="0" borderId="1" xfId="22" applyFont="1" applyBorder="1"/>
    <xf numFmtId="0" fontId="26" fillId="0" borderId="1" xfId="0" applyFont="1" applyBorder="1" applyAlignment="1">
      <alignment horizontal="left" vertical="top" wrapText="1"/>
    </xf>
    <xf numFmtId="0" fontId="24" fillId="5" borderId="1" xfId="0" applyFont="1" applyFill="1" applyBorder="1" applyAlignment="1">
      <alignment vertical="top"/>
    </xf>
    <xf numFmtId="169" fontId="15" fillId="0" borderId="1" xfId="6" applyNumberFormat="1" applyFont="1" applyBorder="1"/>
    <xf numFmtId="166" fontId="15" fillId="0" borderId="1" xfId="7" applyNumberFormat="1" applyFont="1" applyBorder="1" applyAlignment="1">
      <alignment wrapText="1"/>
    </xf>
    <xf numFmtId="0" fontId="19" fillId="4" borderId="1" xfId="0" applyFont="1" applyFill="1" applyBorder="1" applyAlignment="1">
      <alignment horizontal="center"/>
    </xf>
    <xf numFmtId="0" fontId="19" fillId="4" borderId="1" xfId="0" applyFont="1" applyFill="1" applyBorder="1" applyAlignment="1">
      <alignment horizontal="center" wrapText="1"/>
    </xf>
    <xf numFmtId="0" fontId="27" fillId="0" borderId="0" xfId="0" applyFont="1"/>
    <xf numFmtId="164" fontId="15" fillId="0" borderId="0" xfId="0" applyNumberFormat="1" applyFont="1"/>
    <xf numFmtId="43" fontId="15" fillId="0" borderId="1" xfId="6" applyNumberFormat="1" applyFont="1" applyFill="1" applyBorder="1"/>
    <xf numFmtId="170" fontId="15" fillId="0" borderId="1" xfId="6" applyNumberFormat="1" applyFont="1" applyBorder="1"/>
    <xf numFmtId="170" fontId="19" fillId="0" borderId="1" xfId="6" applyNumberFormat="1" applyFont="1" applyBorder="1"/>
    <xf numFmtId="170" fontId="15" fillId="0" borderId="1" xfId="6" applyNumberFormat="1" applyFont="1" applyFill="1" applyBorder="1"/>
    <xf numFmtId="0" fontId="15" fillId="0" borderId="1" xfId="0" applyFont="1" applyBorder="1" applyAlignment="1">
      <alignment horizontal="left"/>
    </xf>
  </cellXfs>
  <cellStyles count="23">
    <cellStyle name="Comma" xfId="6" builtinId="3"/>
    <cellStyle name="Comma 2" xfId="11"/>
    <cellStyle name="Comma 3" xfId="15"/>
    <cellStyle name="Comma 4 2" xfId="19"/>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21"/>
    <cellStyle name="Normal 5 2 2 2" xfId="22"/>
    <cellStyle name="Normal 6" xfId="17"/>
    <cellStyle name="Normal 9" xfId="3"/>
    <cellStyle name="Percent" xfId="7" builtinId="5"/>
    <cellStyle name="Percent 2" xfId="2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6350</xdr:colOff>
      <xdr:row>15</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Drinking water protected</a:t>
          </a:r>
          <a:r>
            <a:rPr lang="en-GB" sz="1100" b="1" i="0" u="sng" baseline="0">
              <a:solidFill>
                <a:schemeClr val="dk1"/>
              </a:solidFill>
              <a:effectLst/>
              <a:latin typeface="+mn-lt"/>
              <a:ea typeface="+mn-ea"/>
              <a:cs typeface="+mn-cs"/>
            </a:rPr>
            <a:t> area</a:t>
          </a:r>
          <a:r>
            <a:rPr lang="en-GB" sz="1100" b="1" i="0" u="sng">
              <a:solidFill>
                <a:schemeClr val="dk1"/>
              </a:solidFill>
              <a:effectLst/>
              <a:latin typeface="+mn-lt"/>
              <a:ea typeface="+mn-ea"/>
              <a:cs typeface="+mn-cs"/>
            </a:rPr>
            <a:t> enhancement feeder model</a:t>
          </a:r>
          <a:endParaRPr lang="en-GB" sz="1100" b="1" i="0" u="sng" baseline="0">
            <a:solidFill>
              <a:schemeClr val="dk1"/>
            </a:solidFill>
            <a:effectLst/>
            <a:latin typeface="+mn-lt"/>
            <a:ea typeface="+mn-ea"/>
            <a:cs typeface="+mn-cs"/>
          </a:endParaRPr>
        </a:p>
        <a:p>
          <a:endParaRPr lang="en-GB" sz="1100">
            <a:effectLst/>
          </a:endParaRPr>
        </a:p>
        <a:p>
          <a:r>
            <a:rPr lang="en-GB" sz="1100" b="1" baseline="0">
              <a:solidFill>
                <a:schemeClr val="dk1"/>
              </a:solidFill>
              <a:effectLst/>
              <a:latin typeface="+mn-lt"/>
              <a:ea typeface="+mn-ea"/>
              <a:cs typeface="+mn-cs"/>
            </a:rPr>
            <a:t>Objective</a:t>
          </a:r>
          <a:endParaRPr lang="en-GB" sz="11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for</a:t>
          </a:r>
          <a:r>
            <a:rPr lang="en-GB" sz="1100" baseline="0">
              <a:solidFill>
                <a:schemeClr val="dk1"/>
              </a:solidFill>
              <a:effectLst/>
              <a:latin typeface="+mn-lt"/>
              <a:ea typeface="+mn-ea"/>
              <a:cs typeface="+mn-cs"/>
            </a:rPr>
            <a:t> drinking water protected areas schemes, Table WS2 line 17 Drinking Water Protected Areas (schemes)</a:t>
          </a:r>
          <a:endParaRPr lang="en-GB" sz="110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Shallow or Deep dive assessments are carried out as no suitable cost driver could be identified for econometric modelling.  We consider impacts of misallocation, double counting and regulatory support. </a:t>
          </a:r>
          <a:r>
            <a:rPr lang="en-GB" sz="1100" b="0" i="0">
              <a:solidFill>
                <a:schemeClr val="dk1"/>
              </a:solidFill>
              <a:effectLst/>
              <a:latin typeface="+mn-lt"/>
              <a:ea typeface="+mn-ea"/>
              <a:cs typeface="+mn-cs"/>
            </a:rPr>
            <a:t>We do not apply our company-specific efficiency challenge to the companies that we shallow dive and allow the costs in full, due to the low materiality of these proposals. For the deep-dive assessment, we consider the availability and quality of evidence provided. We also reconcile information that has been identified within the companies’ submissions with the list of schemes in the EAs’ WINEP3, March 2018.</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577455</xdr:colOff>
      <xdr:row>4</xdr:row>
      <xdr:rowOff>220266</xdr:rowOff>
    </xdr:from>
    <xdr:ext cx="4543746" cy="2675732"/>
    <xdr:sp macro="" textlink="">
      <xdr:nvSpPr>
        <xdr:cNvPr id="2" name="TextBox 1">
          <a:extLst>
            <a:ext uri="{FF2B5EF4-FFF2-40B4-BE49-F238E27FC236}">
              <a16:creationId xmlns:a16="http://schemas.microsoft.com/office/drawing/2014/main" xmlns="" id="{00000000-0008-0000-0400-000005000000}"/>
            </a:ext>
          </a:extLst>
        </xdr:cNvPr>
        <xdr:cNvSpPr txBox="1"/>
      </xdr:nvSpPr>
      <xdr:spPr>
        <a:xfrm>
          <a:off x="9673830" y="990204"/>
          <a:ext cx="4543746" cy="267573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Summary: </a:t>
          </a:r>
        </a:p>
        <a:p>
          <a:r>
            <a:rPr lang="en-GB" sz="1100" b="0"/>
            <a:t>-</a:t>
          </a:r>
          <a:r>
            <a:rPr lang="en-GB" sz="1100" b="0" baseline="0"/>
            <a:t> Total Line spend £35.81m</a:t>
          </a:r>
        </a:p>
        <a:p>
          <a:endParaRPr lang="en-GB" sz="1100" b="0" baseline="0"/>
        </a:p>
        <a:p>
          <a:r>
            <a:rPr lang="en-GB" sz="1100" b="0" baseline="0"/>
            <a:t>- 3 companies =&gt;0.5% materiality (SEW, SWB, YKY)</a:t>
          </a:r>
        </a:p>
        <a:p>
          <a:endParaRPr lang="en-GB" sz="1100" b="0" baseline="0">
            <a:solidFill>
              <a:srgbClr val="FF0000"/>
            </a:solidFill>
          </a:endParaRPr>
        </a:p>
        <a:p>
          <a:r>
            <a:rPr lang="en-GB" sz="1100" b="0" baseline="0"/>
            <a:t>- 8 companies with no expenditure </a:t>
          </a:r>
        </a:p>
        <a:p>
          <a:endParaRPr lang="en-GB" sz="1100" b="0" baseline="0"/>
        </a:p>
        <a:p>
          <a:r>
            <a:rPr lang="en-GB" sz="1100" b="0" baseline="0">
              <a:solidFill>
                <a:schemeClr val="dk1"/>
              </a:solidFill>
              <a:effectLst/>
              <a:latin typeface="+mn-lt"/>
              <a:ea typeface="+mn-ea"/>
              <a:cs typeface="+mn-cs"/>
            </a:rPr>
            <a:t>- No Unit Cost driver identified</a:t>
          </a:r>
        </a:p>
        <a:p>
          <a:endParaRPr lang="en-GB">
            <a:effectLst/>
          </a:endParaRPr>
        </a:p>
        <a:p>
          <a:r>
            <a:rPr lang="en-GB" sz="1100" b="0" baseline="0">
              <a:solidFill>
                <a:schemeClr val="dk1"/>
              </a:solidFill>
              <a:effectLst/>
              <a:latin typeface="+mn-lt"/>
              <a:ea typeface="+mn-ea"/>
              <a:cs typeface="+mn-cs"/>
            </a:rPr>
            <a:t>- SSC borderline materiality threshold applied company efficiency challenge</a:t>
          </a:r>
          <a:endParaRPr lang="en-GB" b="0">
            <a:effectLst/>
          </a:endParaRPr>
        </a:p>
        <a:p>
          <a:endParaRPr lang="en-GB" sz="1100" b="0"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Line Definition: </a:t>
          </a:r>
          <a:r>
            <a:rPr lang="en-GB" sz="1100" b="0" i="0" u="none" strike="noStrike">
              <a:solidFill>
                <a:schemeClr val="dk1"/>
              </a:solidFill>
              <a:effectLst/>
              <a:latin typeface="+mn-lt"/>
              <a:ea typeface="+mn-ea"/>
              <a:cs typeface="+mn-cs"/>
            </a:rPr>
            <a:t>17 / 56</a:t>
          </a:r>
          <a:r>
            <a:rPr lang="en-GB"/>
            <a:t> </a:t>
          </a:r>
          <a:r>
            <a:rPr lang="en-GB" sz="1100" b="0" i="0" u="none" strike="noStrike">
              <a:solidFill>
                <a:schemeClr val="dk1"/>
              </a:solidFill>
              <a:effectLst/>
              <a:latin typeface="+mn-lt"/>
              <a:ea typeface="+mn-ea"/>
              <a:cs typeface="+mn-cs"/>
            </a:rPr>
            <a:t>Capital / operating expenditure on schemes to either avoid additional treatment or reduce current treatment (surface and ground waters) in AMP7 and which is associated with Drinking Water Protected Areas under Article 7 of the Water Framework Directive.</a:t>
          </a:r>
          <a:r>
            <a:rPr lang="en-GB"/>
            <a:t> </a:t>
          </a:r>
          <a:endParaRPr lang="en-GB" sz="1100" b="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1768078</xdr:colOff>
      <xdr:row>28</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10953" y="99762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0</xdr:colOff>
      <xdr:row>21</xdr:row>
      <xdr:rowOff>0</xdr:rowOff>
    </xdr:from>
    <xdr:ext cx="8730379" cy="1986826"/>
    <xdr:sp macro="" textlink="">
      <xdr:nvSpPr>
        <xdr:cNvPr id="6" name="TextBox 5">
          <a:extLst>
            <a:ext uri="{FF2B5EF4-FFF2-40B4-BE49-F238E27FC236}">
              <a16:creationId xmlns:a16="http://schemas.microsoft.com/office/drawing/2014/main" xmlns="" id="{00000000-0008-0000-0400-000005000000}"/>
            </a:ext>
          </a:extLst>
        </xdr:cNvPr>
        <xdr:cNvSpPr txBox="1"/>
      </xdr:nvSpPr>
      <xdr:spPr>
        <a:xfrm>
          <a:off x="137583" y="9514417"/>
          <a:ext cx="8730379" cy="1986826"/>
        </a:xfrm>
        <a:prstGeom prst="rect">
          <a:avLst/>
        </a:prstGeom>
        <a:solidFill>
          <a:srgbClr val="EEECE1"/>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rPr>
            <a:t>Further analysis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We note a difference in expenditure App 10 Environmental Resilience, compared to WS2 L17 of £6.8m, which is unexplained, though appears to be  included in L19, Investigations.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Table 32  Surface water  DrWPA  	c. £7.6m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Table 33 Ground water DrWPA 		c. £9.4m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24049</xdr:colOff>
      <xdr:row>21</xdr:row>
      <xdr:rowOff>34767</xdr:rowOff>
    </xdr:from>
    <xdr:ext cx="8730379" cy="1642373"/>
    <xdr:sp macro="" textlink="">
      <xdr:nvSpPr>
        <xdr:cNvPr id="4" name="TextBox 3">
          <a:extLst>
            <a:ext uri="{FF2B5EF4-FFF2-40B4-BE49-F238E27FC236}">
              <a16:creationId xmlns:a16="http://schemas.microsoft.com/office/drawing/2014/main" xmlns="" id="{00000000-0008-0000-0400-000005000000}"/>
            </a:ext>
          </a:extLst>
        </xdr:cNvPr>
        <xdr:cNvSpPr txBox="1"/>
      </xdr:nvSpPr>
      <xdr:spPr>
        <a:xfrm>
          <a:off x="161632" y="9453934"/>
          <a:ext cx="8730379" cy="164237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a:t>
          </a:r>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CCG report</a:t>
          </a:r>
          <a:r>
            <a:rPr lang="en-GB" sz="1100" b="0" baseline="0">
              <a:solidFill>
                <a:schemeClr val="dk1"/>
              </a:solidFill>
              <a:effectLst/>
              <a:latin typeface="+mn-lt"/>
              <a:ea typeface="+mn-ea"/>
              <a:cs typeface="+mn-cs"/>
            </a:rPr>
            <a:t>, paragraph 'Brexit stress testing' mentions a CCG's challenge in relation to the Upstream Thinking programme "that programmes such as upstream thinking which are predicated on agri-environmental schemes would need to be re-evaluated [post Brexit]". We have not identified further commentary in relation to a potential re-evaluation.</a:t>
          </a:r>
        </a:p>
        <a:p>
          <a:endParaRPr lang="en-GB" b="0">
            <a:effectLst/>
          </a:endParaRPr>
        </a:p>
        <a:p>
          <a:r>
            <a:rPr lang="en-GB" sz="1100" b="0" baseline="0">
              <a:solidFill>
                <a:schemeClr val="dk1"/>
              </a:solidFill>
              <a:effectLst/>
              <a:latin typeface="+mn-lt"/>
              <a:ea typeface="+mn-ea"/>
              <a:cs typeface="+mn-cs"/>
            </a:rPr>
            <a:t>CCG provided a copy of a statement from DWI stating that "The Inspectorate commends to Ofwat support for the Company’s “Upstream thinking” programme of catchment management activities."</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Reference: </a:t>
          </a:r>
          <a:r>
            <a:rPr lang="en-GB" sz="1100" b="0">
              <a:solidFill>
                <a:schemeClr val="dk1"/>
              </a:solidFill>
              <a:effectLst/>
              <a:latin typeface="+mn-lt"/>
              <a:ea typeface="+mn-ea"/>
              <a:cs typeface="+mn-cs"/>
            </a:rPr>
            <a:t>CCG report p51;  CCG Appendices (DWI</a:t>
          </a:r>
          <a:r>
            <a:rPr lang="en-GB" sz="1100" b="0" baseline="0">
              <a:solidFill>
                <a:schemeClr val="dk1"/>
              </a:solidFill>
              <a:effectLst/>
              <a:latin typeface="+mn-lt"/>
              <a:ea typeface="+mn-ea"/>
              <a:cs typeface="+mn-cs"/>
            </a:rPr>
            <a:t> statement letter) p265</a:t>
          </a:r>
          <a:endParaRPr lang="en-GB">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1768078</xdr:colOff>
      <xdr:row>41</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10953" y="99762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
  <sheetViews>
    <sheetView showGridLines="0" tabSelected="1" zoomScale="98" zoomScaleNormal="98" workbookViewId="0"/>
  </sheetViews>
  <sheetFormatPr defaultColWidth="8.7265625" defaultRowHeight="16.5" x14ac:dyDescent="0.5"/>
  <cols>
    <col min="1" max="1" width="11" style="6" customWidth="1"/>
    <col min="2" max="2" width="100" style="6" customWidth="1"/>
    <col min="3" max="3" width="18" style="7" customWidth="1"/>
    <col min="4" max="16384" width="8.7265625" style="6"/>
  </cols>
  <sheetData>
    <row r="1" spans="1:3" ht="20.25" customHeight="1" x14ac:dyDescent="0.6">
      <c r="A1" s="4" t="s">
        <v>39</v>
      </c>
      <c r="B1" s="5"/>
      <c r="C1" s="5"/>
    </row>
    <row r="2" spans="1:3" ht="17.25" customHeight="1" x14ac:dyDescent="0.5"/>
    <row r="3" spans="1:3" ht="17.25" customHeight="1" x14ac:dyDescent="0.5"/>
    <row r="4" spans="1:3" ht="17.25" customHeight="1" x14ac:dyDescent="0.5"/>
    <row r="5" spans="1:3" ht="17.25" customHeight="1" x14ac:dyDescent="0.5"/>
    <row r="6" spans="1:3" ht="17.25" customHeight="1" x14ac:dyDescent="0.5"/>
    <row r="7" spans="1:3" ht="17.25" customHeight="1" x14ac:dyDescent="0.5"/>
    <row r="8" spans="1:3" ht="17.25" customHeight="1" x14ac:dyDescent="0.5"/>
    <row r="9" spans="1:3" ht="17.25" customHeight="1" x14ac:dyDescent="0.5"/>
    <row r="10" spans="1:3" ht="17.25" customHeight="1" x14ac:dyDescent="0.5"/>
    <row r="11" spans="1:3" ht="17.25" customHeight="1" x14ac:dyDescent="0.5"/>
    <row r="12" spans="1:3" ht="17.25" customHeight="1" x14ac:dyDescent="0.5"/>
    <row r="13" spans="1:3" ht="17.25" customHeight="1" x14ac:dyDescent="0.5"/>
    <row r="14" spans="1:3" ht="17.25" customHeight="1" x14ac:dyDescent="0.5"/>
    <row r="15" spans="1:3" ht="17.25" customHeight="1" x14ac:dyDescent="0.5"/>
    <row r="16" spans="1:3" ht="17.25" customHeight="1" x14ac:dyDescent="0.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92"/>
  <sheetViews>
    <sheetView showGridLines="0" zoomScale="80" zoomScaleNormal="80" workbookViewId="0">
      <pane xSplit="3" ySplit="7" topLeftCell="D65" activePane="bottomRight" state="frozen"/>
      <selection pane="topRight"/>
      <selection pane="bottomLeft"/>
      <selection pane="bottomRight" sqref="A1:XFD1048576"/>
    </sheetView>
  </sheetViews>
  <sheetFormatPr defaultColWidth="8.54296875" defaultRowHeight="13" x14ac:dyDescent="0.3"/>
  <cols>
    <col min="1" max="1" width="10.54296875" style="32" customWidth="1"/>
    <col min="2" max="2" width="11" style="32" customWidth="1"/>
    <col min="3" max="3" width="10" style="32" customWidth="1"/>
    <col min="4" max="5" width="19.7265625" style="2" customWidth="1"/>
    <col min="6" max="16384" width="8.54296875" style="2"/>
  </cols>
  <sheetData>
    <row r="1" spans="1:5" ht="18.5" x14ac:dyDescent="0.3">
      <c r="A1" s="36" t="s">
        <v>84</v>
      </c>
    </row>
    <row r="2" spans="1:5" ht="15.5" x14ac:dyDescent="0.3">
      <c r="A2" s="35" t="s">
        <v>85</v>
      </c>
      <c r="B2" s="2"/>
      <c r="C2" s="2"/>
    </row>
    <row r="3" spans="1:5" x14ac:dyDescent="0.3">
      <c r="B3" s="2"/>
      <c r="C3" s="2"/>
      <c r="E3" s="57"/>
    </row>
    <row r="4" spans="1:5" x14ac:dyDescent="0.3">
      <c r="B4" s="2"/>
      <c r="C4" s="2"/>
    </row>
    <row r="5" spans="1:5" x14ac:dyDescent="0.3">
      <c r="B5" s="2"/>
      <c r="C5" s="2"/>
    </row>
    <row r="6" spans="1:5" s="33" customFormat="1" x14ac:dyDescent="0.35">
      <c r="A6" s="60"/>
      <c r="B6" s="60"/>
      <c r="C6" s="60"/>
      <c r="D6" s="55" t="s">
        <v>38</v>
      </c>
      <c r="E6" s="55" t="s">
        <v>37</v>
      </c>
    </row>
    <row r="7" spans="1:5" ht="26" x14ac:dyDescent="0.3">
      <c r="A7" s="60" t="s">
        <v>83</v>
      </c>
      <c r="B7" s="60" t="s">
        <v>15</v>
      </c>
      <c r="C7" s="60" t="s">
        <v>82</v>
      </c>
      <c r="D7" s="60" t="s">
        <v>91</v>
      </c>
      <c r="E7" s="60" t="s">
        <v>90</v>
      </c>
    </row>
    <row r="8" spans="1:5" x14ac:dyDescent="0.3">
      <c r="A8" s="56" t="str">
        <f t="shared" ref="A8:A71" si="0">B8&amp;RIGHT(C8,2)</f>
        <v>ANH21</v>
      </c>
      <c r="B8" s="3" t="s">
        <v>0</v>
      </c>
      <c r="C8" s="3">
        <v>2021</v>
      </c>
      <c r="D8" s="58">
        <v>0.48842438263641003</v>
      </c>
      <c r="E8" s="59">
        <v>498.47770338281299</v>
      </c>
    </row>
    <row r="9" spans="1:5" x14ac:dyDescent="0.3">
      <c r="A9" s="56" t="str">
        <f t="shared" si="0"/>
        <v>ANH22</v>
      </c>
      <c r="B9" s="3" t="s">
        <v>0</v>
      </c>
      <c r="C9" s="3">
        <v>2022</v>
      </c>
      <c r="D9" s="58">
        <v>0</v>
      </c>
      <c r="E9" s="59">
        <v>579.18202511472305</v>
      </c>
    </row>
    <row r="10" spans="1:5" x14ac:dyDescent="0.3">
      <c r="A10" s="56" t="str">
        <f t="shared" si="0"/>
        <v>ANH23</v>
      </c>
      <c r="B10" s="3" t="s">
        <v>0</v>
      </c>
      <c r="C10" s="3">
        <v>2023</v>
      </c>
      <c r="D10" s="58">
        <v>0</v>
      </c>
      <c r="E10" s="59">
        <v>637.09420862741194</v>
      </c>
    </row>
    <row r="11" spans="1:5" x14ac:dyDescent="0.3">
      <c r="A11" s="56" t="str">
        <f t="shared" si="0"/>
        <v>ANH24</v>
      </c>
      <c r="B11" s="3" t="s">
        <v>0</v>
      </c>
      <c r="C11" s="3">
        <v>2024</v>
      </c>
      <c r="D11" s="58">
        <v>0</v>
      </c>
      <c r="E11" s="59">
        <v>622.90395098778004</v>
      </c>
    </row>
    <row r="12" spans="1:5" x14ac:dyDescent="0.3">
      <c r="A12" s="56" t="str">
        <f t="shared" si="0"/>
        <v>ANH25</v>
      </c>
      <c r="B12" s="3" t="s">
        <v>0</v>
      </c>
      <c r="C12" s="3">
        <v>2025</v>
      </c>
      <c r="D12" s="58">
        <v>0</v>
      </c>
      <c r="E12" s="59">
        <v>476.34762997356398</v>
      </c>
    </row>
    <row r="13" spans="1:5" x14ac:dyDescent="0.3">
      <c r="A13" s="56" t="str">
        <f t="shared" si="0"/>
        <v>HDD21</v>
      </c>
      <c r="B13" s="3" t="s">
        <v>35</v>
      </c>
      <c r="C13" s="3">
        <v>2021</v>
      </c>
      <c r="D13" s="58">
        <v>0</v>
      </c>
      <c r="E13" s="59">
        <v>26.872050951823599</v>
      </c>
    </row>
    <row r="14" spans="1:5" x14ac:dyDescent="0.3">
      <c r="A14" s="56" t="str">
        <f t="shared" si="0"/>
        <v>HDD22</v>
      </c>
      <c r="B14" s="3" t="s">
        <v>35</v>
      </c>
      <c r="C14" s="3">
        <v>2022</v>
      </c>
      <c r="D14" s="58">
        <v>0</v>
      </c>
      <c r="E14" s="59">
        <v>26.692718899269298</v>
      </c>
    </row>
    <row r="15" spans="1:5" x14ac:dyDescent="0.3">
      <c r="A15" s="56" t="str">
        <f t="shared" si="0"/>
        <v>HDD23</v>
      </c>
      <c r="B15" s="3" t="s">
        <v>35</v>
      </c>
      <c r="C15" s="3">
        <v>2023</v>
      </c>
      <c r="D15" s="58">
        <v>0</v>
      </c>
      <c r="E15" s="59">
        <v>26.203587153191499</v>
      </c>
    </row>
    <row r="16" spans="1:5" x14ac:dyDescent="0.3">
      <c r="A16" s="56" t="str">
        <f t="shared" si="0"/>
        <v>HDD24</v>
      </c>
      <c r="B16" s="3" t="s">
        <v>35</v>
      </c>
      <c r="C16" s="3">
        <v>2024</v>
      </c>
      <c r="D16" s="58">
        <v>0</v>
      </c>
      <c r="E16" s="59">
        <v>25.616950688549899</v>
      </c>
    </row>
    <row r="17" spans="1:5" x14ac:dyDescent="0.3">
      <c r="A17" s="56" t="str">
        <f t="shared" si="0"/>
        <v>HDD25</v>
      </c>
      <c r="B17" s="3" t="s">
        <v>35</v>
      </c>
      <c r="C17" s="3">
        <v>2025</v>
      </c>
      <c r="D17" s="58">
        <v>0</v>
      </c>
      <c r="E17" s="59">
        <v>25.9173372120738</v>
      </c>
    </row>
    <row r="18" spans="1:5" x14ac:dyDescent="0.3">
      <c r="A18" s="56" t="str">
        <f t="shared" si="0"/>
        <v>NES21</v>
      </c>
      <c r="B18" s="3" t="s">
        <v>1</v>
      </c>
      <c r="C18" s="3">
        <v>2021</v>
      </c>
      <c r="D18" s="58">
        <v>0</v>
      </c>
      <c r="E18" s="59">
        <v>349.52199999999999</v>
      </c>
    </row>
    <row r="19" spans="1:5" x14ac:dyDescent="0.3">
      <c r="A19" s="56" t="str">
        <f t="shared" si="0"/>
        <v>NES22</v>
      </c>
      <c r="B19" s="3" t="s">
        <v>1</v>
      </c>
      <c r="C19" s="3">
        <v>2022</v>
      </c>
      <c r="D19" s="58">
        <v>0</v>
      </c>
      <c r="E19" s="59">
        <v>369.464</v>
      </c>
    </row>
    <row r="20" spans="1:5" x14ac:dyDescent="0.3">
      <c r="A20" s="56" t="str">
        <f t="shared" si="0"/>
        <v>NES23</v>
      </c>
      <c r="B20" s="3" t="s">
        <v>1</v>
      </c>
      <c r="C20" s="3">
        <v>2023</v>
      </c>
      <c r="D20" s="58">
        <v>0</v>
      </c>
      <c r="E20" s="59">
        <v>361.08300000000003</v>
      </c>
    </row>
    <row r="21" spans="1:5" x14ac:dyDescent="0.3">
      <c r="A21" s="56" t="str">
        <f t="shared" si="0"/>
        <v>NES24</v>
      </c>
      <c r="B21" s="3" t="s">
        <v>1</v>
      </c>
      <c r="C21" s="3">
        <v>2024</v>
      </c>
      <c r="D21" s="58">
        <v>0</v>
      </c>
      <c r="E21" s="59">
        <v>337.65199999999999</v>
      </c>
    </row>
    <row r="22" spans="1:5" x14ac:dyDescent="0.3">
      <c r="A22" s="56" t="str">
        <f t="shared" si="0"/>
        <v>NES25</v>
      </c>
      <c r="B22" s="3" t="s">
        <v>1</v>
      </c>
      <c r="C22" s="3">
        <v>2025</v>
      </c>
      <c r="D22" s="58">
        <v>0</v>
      </c>
      <c r="E22" s="59">
        <v>312.16300000000001</v>
      </c>
    </row>
    <row r="23" spans="1:5" x14ac:dyDescent="0.3">
      <c r="A23" s="56" t="str">
        <f t="shared" si="0"/>
        <v>NWT21</v>
      </c>
      <c r="B23" s="3" t="s">
        <v>2</v>
      </c>
      <c r="C23" s="3">
        <v>2021</v>
      </c>
      <c r="D23" s="58">
        <v>7.0242950108459906E-2</v>
      </c>
      <c r="E23" s="59">
        <v>546.91416406629901</v>
      </c>
    </row>
    <row r="24" spans="1:5" x14ac:dyDescent="0.3">
      <c r="A24" s="56" t="str">
        <f t="shared" si="0"/>
        <v>NWT22</v>
      </c>
      <c r="B24" s="3" t="s">
        <v>2</v>
      </c>
      <c r="C24" s="3">
        <v>2022</v>
      </c>
      <c r="D24" s="58">
        <v>7.0242950108459906E-2</v>
      </c>
      <c r="E24" s="59">
        <v>511.02602983742503</v>
      </c>
    </row>
    <row r="25" spans="1:5" x14ac:dyDescent="0.3">
      <c r="A25" s="56" t="str">
        <f t="shared" si="0"/>
        <v>NWT23</v>
      </c>
      <c r="B25" s="3" t="s">
        <v>2</v>
      </c>
      <c r="C25" s="3">
        <v>2023</v>
      </c>
      <c r="D25" s="58">
        <v>7.0242950108459906E-2</v>
      </c>
      <c r="E25" s="59">
        <v>491.88321983896702</v>
      </c>
    </row>
    <row r="26" spans="1:5" x14ac:dyDescent="0.3">
      <c r="A26" s="56" t="str">
        <f t="shared" si="0"/>
        <v>NWT24</v>
      </c>
      <c r="B26" s="3" t="s">
        <v>2</v>
      </c>
      <c r="C26" s="3">
        <v>2024</v>
      </c>
      <c r="D26" s="58">
        <v>7.0242950108459906E-2</v>
      </c>
      <c r="E26" s="59">
        <v>466.261810421863</v>
      </c>
    </row>
    <row r="27" spans="1:5" x14ac:dyDescent="0.3">
      <c r="A27" s="56" t="str">
        <f t="shared" si="0"/>
        <v>NWT25</v>
      </c>
      <c r="B27" s="3" t="s">
        <v>2</v>
      </c>
      <c r="C27" s="3">
        <v>2025</v>
      </c>
      <c r="D27" s="58">
        <v>7.0242950108459906E-2</v>
      </c>
      <c r="E27" s="59">
        <v>461.41828629616703</v>
      </c>
    </row>
    <row r="28" spans="1:5" x14ac:dyDescent="0.3">
      <c r="A28" s="56" t="str">
        <f t="shared" si="0"/>
        <v>SRN21</v>
      </c>
      <c r="B28" s="3" t="s">
        <v>3</v>
      </c>
      <c r="C28" s="3">
        <v>2021</v>
      </c>
      <c r="D28" s="58">
        <v>0</v>
      </c>
      <c r="E28" s="59">
        <v>250.37200000000001</v>
      </c>
    </row>
    <row r="29" spans="1:5" x14ac:dyDescent="0.3">
      <c r="A29" s="56" t="str">
        <f t="shared" si="0"/>
        <v>SRN22</v>
      </c>
      <c r="B29" s="3" t="s">
        <v>3</v>
      </c>
      <c r="C29" s="3">
        <v>2022</v>
      </c>
      <c r="D29" s="58">
        <v>0</v>
      </c>
      <c r="E29" s="59">
        <v>250.60900000000001</v>
      </c>
    </row>
    <row r="30" spans="1:5" x14ac:dyDescent="0.3">
      <c r="A30" s="56" t="str">
        <f t="shared" si="0"/>
        <v>SRN23</v>
      </c>
      <c r="B30" s="3" t="s">
        <v>3</v>
      </c>
      <c r="C30" s="3">
        <v>2023</v>
      </c>
      <c r="D30" s="58">
        <v>0</v>
      </c>
      <c r="E30" s="59">
        <v>233.85300000000001</v>
      </c>
    </row>
    <row r="31" spans="1:5" x14ac:dyDescent="0.3">
      <c r="A31" s="56" t="str">
        <f t="shared" si="0"/>
        <v>SRN24</v>
      </c>
      <c r="B31" s="3" t="s">
        <v>3</v>
      </c>
      <c r="C31" s="3">
        <v>2024</v>
      </c>
      <c r="D31" s="58">
        <v>0</v>
      </c>
      <c r="E31" s="59">
        <v>230.23699999999999</v>
      </c>
    </row>
    <row r="32" spans="1:5" x14ac:dyDescent="0.3">
      <c r="A32" s="56" t="str">
        <f t="shared" si="0"/>
        <v>SRN25</v>
      </c>
      <c r="B32" s="3" t="s">
        <v>3</v>
      </c>
      <c r="C32" s="3">
        <v>2025</v>
      </c>
      <c r="D32" s="58">
        <v>0</v>
      </c>
      <c r="E32" s="59">
        <v>261.53300000000002</v>
      </c>
    </row>
    <row r="33" spans="1:5" x14ac:dyDescent="0.3">
      <c r="A33" s="56" t="str">
        <f t="shared" si="0"/>
        <v>SVE21</v>
      </c>
      <c r="B33" s="34" t="s">
        <v>34</v>
      </c>
      <c r="C33" s="3">
        <v>2021</v>
      </c>
      <c r="D33" s="58">
        <v>0</v>
      </c>
      <c r="E33" s="59">
        <v>575.06571742576398</v>
      </c>
    </row>
    <row r="34" spans="1:5" x14ac:dyDescent="0.3">
      <c r="A34" s="56" t="str">
        <f t="shared" si="0"/>
        <v>SVE22</v>
      </c>
      <c r="B34" s="34" t="s">
        <v>34</v>
      </c>
      <c r="C34" s="3">
        <v>2022</v>
      </c>
      <c r="D34" s="58">
        <v>0</v>
      </c>
      <c r="E34" s="59">
        <v>631.12859132579104</v>
      </c>
    </row>
    <row r="35" spans="1:5" x14ac:dyDescent="0.3">
      <c r="A35" s="56" t="str">
        <f t="shared" si="0"/>
        <v>SVE23</v>
      </c>
      <c r="B35" s="34" t="s">
        <v>34</v>
      </c>
      <c r="C35" s="3">
        <v>2023</v>
      </c>
      <c r="D35" s="58">
        <v>0</v>
      </c>
      <c r="E35" s="59">
        <v>643.43469392974998</v>
      </c>
    </row>
    <row r="36" spans="1:5" x14ac:dyDescent="0.3">
      <c r="A36" s="56" t="str">
        <f t="shared" si="0"/>
        <v>SVE24</v>
      </c>
      <c r="B36" s="34" t="s">
        <v>34</v>
      </c>
      <c r="C36" s="3">
        <v>2024</v>
      </c>
      <c r="D36" s="58">
        <v>0</v>
      </c>
      <c r="E36" s="59">
        <v>635.41164547131598</v>
      </c>
    </row>
    <row r="37" spans="1:5" x14ac:dyDescent="0.3">
      <c r="A37" s="56" t="str">
        <f t="shared" si="0"/>
        <v>SVE25</v>
      </c>
      <c r="B37" s="34" t="s">
        <v>34</v>
      </c>
      <c r="C37" s="3">
        <v>2025</v>
      </c>
      <c r="D37" s="58">
        <v>0</v>
      </c>
      <c r="E37" s="59">
        <v>630.76354224170598</v>
      </c>
    </row>
    <row r="38" spans="1:5" x14ac:dyDescent="0.3">
      <c r="A38" s="56" t="str">
        <f t="shared" si="0"/>
        <v>SWB21</v>
      </c>
      <c r="B38" s="3" t="s">
        <v>4</v>
      </c>
      <c r="C38" s="3">
        <v>2021</v>
      </c>
      <c r="D38" s="58">
        <v>1.0509999999999999</v>
      </c>
      <c r="E38" s="59">
        <v>164.92599999999999</v>
      </c>
    </row>
    <row r="39" spans="1:5" x14ac:dyDescent="0.3">
      <c r="A39" s="56" t="str">
        <f t="shared" si="0"/>
        <v>SWB22</v>
      </c>
      <c r="B39" s="3" t="s">
        <v>4</v>
      </c>
      <c r="C39" s="3">
        <v>2022</v>
      </c>
      <c r="D39" s="58">
        <v>1.0509999999999999</v>
      </c>
      <c r="E39" s="59">
        <v>179.66900000000001</v>
      </c>
    </row>
    <row r="40" spans="1:5" x14ac:dyDescent="0.3">
      <c r="A40" s="56" t="str">
        <f t="shared" si="0"/>
        <v>SWB23</v>
      </c>
      <c r="B40" s="3" t="s">
        <v>4</v>
      </c>
      <c r="C40" s="3">
        <v>2023</v>
      </c>
      <c r="D40" s="58">
        <v>1.0509999999999999</v>
      </c>
      <c r="E40" s="59">
        <v>192.19399999999999</v>
      </c>
    </row>
    <row r="41" spans="1:5" x14ac:dyDescent="0.3">
      <c r="A41" s="56" t="str">
        <f t="shared" si="0"/>
        <v>SWB24</v>
      </c>
      <c r="B41" s="3" t="s">
        <v>4</v>
      </c>
      <c r="C41" s="3">
        <v>2024</v>
      </c>
      <c r="D41" s="58">
        <v>1.0509999999999999</v>
      </c>
      <c r="E41" s="59">
        <v>181.702</v>
      </c>
    </row>
    <row r="42" spans="1:5" x14ac:dyDescent="0.3">
      <c r="A42" s="56" t="str">
        <f t="shared" si="0"/>
        <v>SWB25</v>
      </c>
      <c r="B42" s="3" t="s">
        <v>4</v>
      </c>
      <c r="C42" s="3">
        <v>2025</v>
      </c>
      <c r="D42" s="58">
        <v>1.0509999999999999</v>
      </c>
      <c r="E42" s="59">
        <v>175.761</v>
      </c>
    </row>
    <row r="43" spans="1:5" x14ac:dyDescent="0.3">
      <c r="A43" s="56" t="str">
        <f t="shared" si="0"/>
        <v>TMS21</v>
      </c>
      <c r="B43" s="3" t="s">
        <v>5</v>
      </c>
      <c r="C43" s="3">
        <v>2021</v>
      </c>
      <c r="D43" s="58">
        <v>0</v>
      </c>
      <c r="E43" s="59">
        <v>1070.0059304862</v>
      </c>
    </row>
    <row r="44" spans="1:5" x14ac:dyDescent="0.3">
      <c r="A44" s="56" t="str">
        <f t="shared" si="0"/>
        <v>TMS22</v>
      </c>
      <c r="B44" s="3" t="s">
        <v>5</v>
      </c>
      <c r="C44" s="3">
        <v>2022</v>
      </c>
      <c r="D44" s="58">
        <v>0</v>
      </c>
      <c r="E44" s="59">
        <v>1195.82265311585</v>
      </c>
    </row>
    <row r="45" spans="1:5" x14ac:dyDescent="0.3">
      <c r="A45" s="56" t="str">
        <f t="shared" si="0"/>
        <v>TMS23</v>
      </c>
      <c r="B45" s="3" t="s">
        <v>5</v>
      </c>
      <c r="C45" s="3">
        <v>2023</v>
      </c>
      <c r="D45" s="58">
        <v>0</v>
      </c>
      <c r="E45" s="59">
        <v>1164.87342744906</v>
      </c>
    </row>
    <row r="46" spans="1:5" x14ac:dyDescent="0.3">
      <c r="A46" s="56" t="str">
        <f t="shared" si="0"/>
        <v>TMS24</v>
      </c>
      <c r="B46" s="3" t="s">
        <v>5</v>
      </c>
      <c r="C46" s="3">
        <v>2024</v>
      </c>
      <c r="D46" s="58">
        <v>0</v>
      </c>
      <c r="E46" s="59">
        <v>1136.5628313935199</v>
      </c>
    </row>
    <row r="47" spans="1:5" x14ac:dyDescent="0.3">
      <c r="A47" s="56" t="str">
        <f t="shared" si="0"/>
        <v>TMS25</v>
      </c>
      <c r="B47" s="3" t="s">
        <v>5</v>
      </c>
      <c r="C47" s="3">
        <v>2025</v>
      </c>
      <c r="D47" s="58">
        <v>0</v>
      </c>
      <c r="E47" s="59">
        <v>1090.9390820118099</v>
      </c>
    </row>
    <row r="48" spans="1:5" x14ac:dyDescent="0.3">
      <c r="A48" s="56" t="str">
        <f t="shared" si="0"/>
        <v>WSH21</v>
      </c>
      <c r="B48" s="3" t="s">
        <v>6</v>
      </c>
      <c r="C48" s="3">
        <v>2021</v>
      </c>
      <c r="D48" s="58">
        <v>0.16300000000000001</v>
      </c>
      <c r="E48" s="59">
        <v>329.959</v>
      </c>
    </row>
    <row r="49" spans="1:5" x14ac:dyDescent="0.3">
      <c r="A49" s="56" t="str">
        <f t="shared" si="0"/>
        <v>WSH22</v>
      </c>
      <c r="B49" s="3" t="s">
        <v>6</v>
      </c>
      <c r="C49" s="3">
        <v>2022</v>
      </c>
      <c r="D49" s="58">
        <v>0.161</v>
      </c>
      <c r="E49" s="59">
        <v>343.76</v>
      </c>
    </row>
    <row r="50" spans="1:5" x14ac:dyDescent="0.3">
      <c r="A50" s="56" t="str">
        <f t="shared" si="0"/>
        <v>WSH23</v>
      </c>
      <c r="B50" s="3" t="s">
        <v>6</v>
      </c>
      <c r="C50" s="3">
        <v>2023</v>
      </c>
      <c r="D50" s="58">
        <v>0.14299999999999999</v>
      </c>
      <c r="E50" s="59">
        <v>335.88499999999999</v>
      </c>
    </row>
    <row r="51" spans="1:5" x14ac:dyDescent="0.3">
      <c r="A51" s="56" t="str">
        <f t="shared" si="0"/>
        <v>WSH24</v>
      </c>
      <c r="B51" s="3" t="s">
        <v>6</v>
      </c>
      <c r="C51" s="3">
        <v>2024</v>
      </c>
      <c r="D51" s="58">
        <v>0.13800000000000001</v>
      </c>
      <c r="E51" s="59">
        <v>322.13900000000001</v>
      </c>
    </row>
    <row r="52" spans="1:5" x14ac:dyDescent="0.3">
      <c r="A52" s="56" t="str">
        <f t="shared" si="0"/>
        <v>WSH25</v>
      </c>
      <c r="B52" s="3" t="s">
        <v>6</v>
      </c>
      <c r="C52" s="3">
        <v>2025</v>
      </c>
      <c r="D52" s="58">
        <v>0.13600000000000001</v>
      </c>
      <c r="E52" s="59">
        <v>314.649</v>
      </c>
    </row>
    <row r="53" spans="1:5" x14ac:dyDescent="0.3">
      <c r="A53" s="56" t="str">
        <f t="shared" si="0"/>
        <v>WSX21</v>
      </c>
      <c r="B53" s="3" t="s">
        <v>7</v>
      </c>
      <c r="C53" s="3">
        <v>2021</v>
      </c>
      <c r="D53" s="58">
        <v>1.1195465650950001</v>
      </c>
      <c r="E53" s="59">
        <v>136.11830693204701</v>
      </c>
    </row>
    <row r="54" spans="1:5" x14ac:dyDescent="0.3">
      <c r="A54" s="56" t="str">
        <f t="shared" si="0"/>
        <v>WSX22</v>
      </c>
      <c r="B54" s="3" t="s">
        <v>7</v>
      </c>
      <c r="C54" s="3">
        <v>2022</v>
      </c>
      <c r="D54" s="58">
        <v>0.20381403180317201</v>
      </c>
      <c r="E54" s="59">
        <v>127.600640139625</v>
      </c>
    </row>
    <row r="55" spans="1:5" x14ac:dyDescent="0.3">
      <c r="A55" s="56" t="str">
        <f t="shared" si="0"/>
        <v>WSX23</v>
      </c>
      <c r="B55" s="3" t="s">
        <v>7</v>
      </c>
      <c r="C55" s="3">
        <v>2023</v>
      </c>
      <c r="D55" s="58">
        <v>0.20381403180317201</v>
      </c>
      <c r="E55" s="59">
        <v>146.37373859446299</v>
      </c>
    </row>
    <row r="56" spans="1:5" x14ac:dyDescent="0.3">
      <c r="A56" s="56" t="str">
        <f t="shared" si="0"/>
        <v>WSX24</v>
      </c>
      <c r="B56" s="3" t="s">
        <v>7</v>
      </c>
      <c r="C56" s="3">
        <v>2024</v>
      </c>
      <c r="D56" s="58">
        <v>0.20191364718778801</v>
      </c>
      <c r="E56" s="59">
        <v>127.48123932778</v>
      </c>
    </row>
    <row r="57" spans="1:5" x14ac:dyDescent="0.3">
      <c r="A57" s="56" t="str">
        <f t="shared" si="0"/>
        <v>WSX25</v>
      </c>
      <c r="B57" s="3" t="s">
        <v>7</v>
      </c>
      <c r="C57" s="3">
        <v>2025</v>
      </c>
      <c r="D57" s="58">
        <v>0.20191364718778801</v>
      </c>
      <c r="E57" s="59">
        <v>122.774642789297</v>
      </c>
    </row>
    <row r="58" spans="1:5" x14ac:dyDescent="0.3">
      <c r="A58" s="56" t="str">
        <f t="shared" si="0"/>
        <v>YKY21</v>
      </c>
      <c r="B58" s="34" t="s">
        <v>8</v>
      </c>
      <c r="C58" s="3">
        <v>2021</v>
      </c>
      <c r="D58" s="58">
        <v>1.694</v>
      </c>
      <c r="E58" s="59">
        <v>414.65499999999997</v>
      </c>
    </row>
    <row r="59" spans="1:5" x14ac:dyDescent="0.3">
      <c r="A59" s="56" t="str">
        <f t="shared" si="0"/>
        <v>YKY22</v>
      </c>
      <c r="B59" s="34" t="s">
        <v>8</v>
      </c>
      <c r="C59" s="3">
        <v>2022</v>
      </c>
      <c r="D59" s="58">
        <v>1.024</v>
      </c>
      <c r="E59" s="59">
        <v>412.077</v>
      </c>
    </row>
    <row r="60" spans="1:5" x14ac:dyDescent="0.3">
      <c r="A60" s="56" t="str">
        <f t="shared" si="0"/>
        <v>YKY23</v>
      </c>
      <c r="B60" s="34" t="s">
        <v>8</v>
      </c>
      <c r="C60" s="3">
        <v>2023</v>
      </c>
      <c r="D60" s="58">
        <v>7.0179999999999998</v>
      </c>
      <c r="E60" s="59">
        <v>420.154</v>
      </c>
    </row>
    <row r="61" spans="1:5" x14ac:dyDescent="0.3">
      <c r="A61" s="56" t="str">
        <f t="shared" si="0"/>
        <v>YKY24</v>
      </c>
      <c r="B61" s="34" t="s">
        <v>8</v>
      </c>
      <c r="C61" s="3">
        <v>2024</v>
      </c>
      <c r="D61" s="58">
        <v>5.51</v>
      </c>
      <c r="E61" s="59">
        <v>402.70400000000001</v>
      </c>
    </row>
    <row r="62" spans="1:5" x14ac:dyDescent="0.3">
      <c r="A62" s="56" t="str">
        <f t="shared" si="0"/>
        <v>YKY25</v>
      </c>
      <c r="B62" s="34" t="s">
        <v>8</v>
      </c>
      <c r="C62" s="3">
        <v>2025</v>
      </c>
      <c r="D62" s="58">
        <v>1.986</v>
      </c>
      <c r="E62" s="59">
        <v>374.83300000000003</v>
      </c>
    </row>
    <row r="63" spans="1:5" x14ac:dyDescent="0.3">
      <c r="A63" s="56" t="str">
        <f t="shared" si="0"/>
        <v>AFW21</v>
      </c>
      <c r="B63" s="3" t="s">
        <v>9</v>
      </c>
      <c r="C63" s="3">
        <v>2021</v>
      </c>
      <c r="D63" s="58">
        <v>0</v>
      </c>
      <c r="E63" s="59">
        <v>294.21575712666902</v>
      </c>
    </row>
    <row r="64" spans="1:5" x14ac:dyDescent="0.3">
      <c r="A64" s="56" t="str">
        <f t="shared" si="0"/>
        <v>AFW22</v>
      </c>
      <c r="B64" s="3" t="s">
        <v>9</v>
      </c>
      <c r="C64" s="3">
        <v>2022</v>
      </c>
      <c r="D64" s="58">
        <v>0</v>
      </c>
      <c r="E64" s="59">
        <v>293.25057516172097</v>
      </c>
    </row>
    <row r="65" spans="1:5" x14ac:dyDescent="0.3">
      <c r="A65" s="56" t="str">
        <f t="shared" si="0"/>
        <v>AFW23</v>
      </c>
      <c r="B65" s="3" t="s">
        <v>9</v>
      </c>
      <c r="C65" s="3">
        <v>2023</v>
      </c>
      <c r="D65" s="58">
        <v>0</v>
      </c>
      <c r="E65" s="59">
        <v>281.71299825291601</v>
      </c>
    </row>
    <row r="66" spans="1:5" x14ac:dyDescent="0.3">
      <c r="A66" s="56" t="str">
        <f t="shared" si="0"/>
        <v>AFW24</v>
      </c>
      <c r="B66" s="3" t="s">
        <v>9</v>
      </c>
      <c r="C66" s="3">
        <v>2024</v>
      </c>
      <c r="D66" s="58">
        <v>0</v>
      </c>
      <c r="E66" s="59">
        <v>263.00993647553798</v>
      </c>
    </row>
    <row r="67" spans="1:5" x14ac:dyDescent="0.3">
      <c r="A67" s="56" t="str">
        <f t="shared" si="0"/>
        <v>AFW25</v>
      </c>
      <c r="B67" s="3" t="s">
        <v>9</v>
      </c>
      <c r="C67" s="3">
        <v>2025</v>
      </c>
      <c r="D67" s="58">
        <v>0</v>
      </c>
      <c r="E67" s="59">
        <v>236.27183602763799</v>
      </c>
    </row>
    <row r="68" spans="1:5" x14ac:dyDescent="0.3">
      <c r="A68" s="56" t="str">
        <f t="shared" si="0"/>
        <v>BRL21</v>
      </c>
      <c r="B68" s="3" t="s">
        <v>10</v>
      </c>
      <c r="C68" s="3">
        <v>2021</v>
      </c>
      <c r="D68" s="58">
        <v>0</v>
      </c>
      <c r="E68" s="59">
        <v>90.980999999999995</v>
      </c>
    </row>
    <row r="69" spans="1:5" x14ac:dyDescent="0.3">
      <c r="A69" s="56" t="str">
        <f t="shared" si="0"/>
        <v>BRL22</v>
      </c>
      <c r="B69" s="3" t="s">
        <v>10</v>
      </c>
      <c r="C69" s="3">
        <v>2022</v>
      </c>
      <c r="D69" s="58">
        <v>0</v>
      </c>
      <c r="E69" s="59">
        <v>90.581999999999994</v>
      </c>
    </row>
    <row r="70" spans="1:5" x14ac:dyDescent="0.3">
      <c r="A70" s="56" t="str">
        <f t="shared" si="0"/>
        <v>BRL23</v>
      </c>
      <c r="B70" s="3" t="s">
        <v>10</v>
      </c>
      <c r="C70" s="3">
        <v>2023</v>
      </c>
      <c r="D70" s="58">
        <v>0</v>
      </c>
      <c r="E70" s="59">
        <v>91.372</v>
      </c>
    </row>
    <row r="71" spans="1:5" x14ac:dyDescent="0.3">
      <c r="A71" s="56" t="str">
        <f t="shared" si="0"/>
        <v>BRL24</v>
      </c>
      <c r="B71" s="3" t="s">
        <v>10</v>
      </c>
      <c r="C71" s="3">
        <v>2024</v>
      </c>
      <c r="D71" s="58">
        <v>0</v>
      </c>
      <c r="E71" s="59">
        <v>91.606999999999999</v>
      </c>
    </row>
    <row r="72" spans="1:5" x14ac:dyDescent="0.3">
      <c r="A72" s="56" t="str">
        <f t="shared" ref="A72:A92" si="1">B72&amp;RIGHT(C72,2)</f>
        <v>BRL25</v>
      </c>
      <c r="B72" s="3" t="s">
        <v>10</v>
      </c>
      <c r="C72" s="3">
        <v>2025</v>
      </c>
      <c r="D72" s="58">
        <v>0</v>
      </c>
      <c r="E72" s="59">
        <v>92.655000000000001</v>
      </c>
    </row>
    <row r="73" spans="1:5" x14ac:dyDescent="0.3">
      <c r="A73" s="56" t="str">
        <f t="shared" si="1"/>
        <v>PRT21</v>
      </c>
      <c r="B73" s="3" t="s">
        <v>11</v>
      </c>
      <c r="C73" s="3">
        <v>2021</v>
      </c>
      <c r="D73" s="58">
        <v>8.6999999999999994E-2</v>
      </c>
      <c r="E73" s="59">
        <v>40.406999999999996</v>
      </c>
    </row>
    <row r="74" spans="1:5" x14ac:dyDescent="0.3">
      <c r="A74" s="56" t="str">
        <f t="shared" si="1"/>
        <v>PRT22</v>
      </c>
      <c r="B74" s="3" t="s">
        <v>11</v>
      </c>
      <c r="C74" s="3">
        <v>2022</v>
      </c>
      <c r="D74" s="58">
        <v>8.6999999999999994E-2</v>
      </c>
      <c r="E74" s="59">
        <v>38.174999999999997</v>
      </c>
    </row>
    <row r="75" spans="1:5" x14ac:dyDescent="0.3">
      <c r="A75" s="56" t="str">
        <f t="shared" si="1"/>
        <v>PRT23</v>
      </c>
      <c r="B75" s="3" t="s">
        <v>11</v>
      </c>
      <c r="C75" s="3">
        <v>2023</v>
      </c>
      <c r="D75" s="58">
        <v>8.6999999999999994E-2</v>
      </c>
      <c r="E75" s="59">
        <v>38.857999999999997</v>
      </c>
    </row>
    <row r="76" spans="1:5" x14ac:dyDescent="0.3">
      <c r="A76" s="56" t="str">
        <f t="shared" si="1"/>
        <v>PRT24</v>
      </c>
      <c r="B76" s="3" t="s">
        <v>11</v>
      </c>
      <c r="C76" s="3">
        <v>2024</v>
      </c>
      <c r="D76" s="58">
        <v>8.6999999999999994E-2</v>
      </c>
      <c r="E76" s="59">
        <v>51.771999999999998</v>
      </c>
    </row>
    <row r="77" spans="1:5" x14ac:dyDescent="0.3">
      <c r="A77" s="56" t="str">
        <f t="shared" si="1"/>
        <v>PRT25</v>
      </c>
      <c r="B77" s="3" t="s">
        <v>11</v>
      </c>
      <c r="C77" s="3">
        <v>2025</v>
      </c>
      <c r="D77" s="58">
        <v>8.6999999999999994E-2</v>
      </c>
      <c r="E77" s="59">
        <v>54.731999999999999</v>
      </c>
    </row>
    <row r="78" spans="1:5" x14ac:dyDescent="0.3">
      <c r="A78" s="56" t="str">
        <f t="shared" si="1"/>
        <v>SES21</v>
      </c>
      <c r="B78" s="3" t="s">
        <v>12</v>
      </c>
      <c r="C78" s="3">
        <v>2021</v>
      </c>
      <c r="D78" s="58">
        <v>0</v>
      </c>
      <c r="E78" s="59">
        <v>52.654000000000003</v>
      </c>
    </row>
    <row r="79" spans="1:5" x14ac:dyDescent="0.3">
      <c r="A79" s="56" t="str">
        <f t="shared" si="1"/>
        <v>SES22</v>
      </c>
      <c r="B79" s="3" t="s">
        <v>12</v>
      </c>
      <c r="C79" s="3">
        <v>2022</v>
      </c>
      <c r="D79" s="58">
        <v>0</v>
      </c>
      <c r="E79" s="59">
        <v>57.351999999999997</v>
      </c>
    </row>
    <row r="80" spans="1:5" x14ac:dyDescent="0.3">
      <c r="A80" s="56" t="str">
        <f t="shared" si="1"/>
        <v>SES23</v>
      </c>
      <c r="B80" s="3" t="s">
        <v>12</v>
      </c>
      <c r="C80" s="3">
        <v>2023</v>
      </c>
      <c r="D80" s="58">
        <v>0</v>
      </c>
      <c r="E80" s="59">
        <v>51.917999999999999</v>
      </c>
    </row>
    <row r="81" spans="1:5" x14ac:dyDescent="0.3">
      <c r="A81" s="56" t="str">
        <f t="shared" si="1"/>
        <v>SES24</v>
      </c>
      <c r="B81" s="3" t="s">
        <v>12</v>
      </c>
      <c r="C81" s="3">
        <v>2024</v>
      </c>
      <c r="D81" s="58">
        <v>0</v>
      </c>
      <c r="E81" s="59">
        <v>46.165999999999997</v>
      </c>
    </row>
    <row r="82" spans="1:5" x14ac:dyDescent="0.3">
      <c r="A82" s="56" t="str">
        <f t="shared" si="1"/>
        <v>SES25</v>
      </c>
      <c r="B82" s="3" t="s">
        <v>12</v>
      </c>
      <c r="C82" s="3">
        <v>2025</v>
      </c>
      <c r="D82" s="58">
        <v>0</v>
      </c>
      <c r="E82" s="59">
        <v>45.219000000000001</v>
      </c>
    </row>
    <row r="83" spans="1:5" x14ac:dyDescent="0.3">
      <c r="A83" s="56" t="str">
        <f t="shared" si="1"/>
        <v>SEW21</v>
      </c>
      <c r="B83" s="34" t="s">
        <v>13</v>
      </c>
      <c r="C83" s="3">
        <v>2021</v>
      </c>
      <c r="D83" s="58">
        <v>1.6296878025731101</v>
      </c>
      <c r="E83" s="59">
        <v>172.16200000000001</v>
      </c>
    </row>
    <row r="84" spans="1:5" x14ac:dyDescent="0.3">
      <c r="A84" s="56" t="str">
        <f t="shared" si="1"/>
        <v>SEW22</v>
      </c>
      <c r="B84" s="34" t="s">
        <v>13</v>
      </c>
      <c r="C84" s="3">
        <v>2022</v>
      </c>
      <c r="D84" s="58">
        <v>1.3347860574441801</v>
      </c>
      <c r="E84" s="59">
        <v>199.673</v>
      </c>
    </row>
    <row r="85" spans="1:5" x14ac:dyDescent="0.3">
      <c r="A85" s="56" t="str">
        <f t="shared" si="1"/>
        <v>SEW23</v>
      </c>
      <c r="B85" s="34" t="s">
        <v>13</v>
      </c>
      <c r="C85" s="3">
        <v>2023</v>
      </c>
      <c r="D85" s="58">
        <v>1.34396444780233</v>
      </c>
      <c r="E85" s="59">
        <v>208.291</v>
      </c>
    </row>
    <row r="86" spans="1:5" x14ac:dyDescent="0.3">
      <c r="A86" s="56" t="str">
        <f t="shared" si="1"/>
        <v>SEW24</v>
      </c>
      <c r="B86" s="34" t="s">
        <v>13</v>
      </c>
      <c r="C86" s="3">
        <v>2024</v>
      </c>
      <c r="D86" s="58">
        <v>1.2175551756262599</v>
      </c>
      <c r="E86" s="59">
        <v>186.22200000000001</v>
      </c>
    </row>
    <row r="87" spans="1:5" x14ac:dyDescent="0.3">
      <c r="A87" s="56" t="str">
        <f t="shared" si="1"/>
        <v>SEW25</v>
      </c>
      <c r="B87" s="34" t="s">
        <v>13</v>
      </c>
      <c r="C87" s="3">
        <v>2025</v>
      </c>
      <c r="D87" s="58">
        <v>1.2289332091945799</v>
      </c>
      <c r="E87" s="59">
        <v>194.59899999999999</v>
      </c>
    </row>
    <row r="88" spans="1:5" x14ac:dyDescent="0.3">
      <c r="A88" s="56" t="str">
        <f t="shared" si="1"/>
        <v>SSC21</v>
      </c>
      <c r="B88" s="3" t="s">
        <v>14</v>
      </c>
      <c r="C88" s="3">
        <v>2021</v>
      </c>
      <c r="D88" s="58">
        <v>0.52512026654694</v>
      </c>
      <c r="E88" s="59">
        <v>112.527432753265</v>
      </c>
    </row>
    <row r="89" spans="1:5" x14ac:dyDescent="0.3">
      <c r="A89" s="56" t="str">
        <f t="shared" si="1"/>
        <v>SSC22</v>
      </c>
      <c r="B89" s="3" t="s">
        <v>14</v>
      </c>
      <c r="C89" s="3">
        <v>2022</v>
      </c>
      <c r="D89" s="58">
        <v>0.52512026654694</v>
      </c>
      <c r="E89" s="59">
        <v>116.29561663750501</v>
      </c>
    </row>
    <row r="90" spans="1:5" x14ac:dyDescent="0.3">
      <c r="A90" s="56" t="str">
        <f t="shared" si="1"/>
        <v>SSC23</v>
      </c>
      <c r="B90" s="3" t="s">
        <v>14</v>
      </c>
      <c r="C90" s="3">
        <v>2023</v>
      </c>
      <c r="D90" s="58">
        <v>0.52512026654694</v>
      </c>
      <c r="E90" s="59">
        <v>117.955781425252</v>
      </c>
    </row>
    <row r="91" spans="1:5" x14ac:dyDescent="0.3">
      <c r="A91" s="56" t="str">
        <f t="shared" si="1"/>
        <v>SSC24</v>
      </c>
      <c r="B91" s="3" t="s">
        <v>14</v>
      </c>
      <c r="C91" s="3">
        <v>2024</v>
      </c>
      <c r="D91" s="58">
        <v>0.52412026654693999</v>
      </c>
      <c r="E91" s="59">
        <v>94.121966414052807</v>
      </c>
    </row>
    <row r="92" spans="1:5" x14ac:dyDescent="0.3">
      <c r="A92" s="56" t="str">
        <f t="shared" si="1"/>
        <v>SSC25</v>
      </c>
      <c r="B92" s="3" t="s">
        <v>14</v>
      </c>
      <c r="C92" s="3">
        <v>2025</v>
      </c>
      <c r="D92" s="58">
        <v>0.52512026654694</v>
      </c>
      <c r="E92" s="59">
        <v>97.128204442325099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3"/>
  <sheetViews>
    <sheetView showGridLines="0" zoomScale="80" zoomScaleNormal="80" workbookViewId="0">
      <selection activeCell="C6" sqref="C6:H23"/>
    </sheetView>
  </sheetViews>
  <sheetFormatPr defaultColWidth="9" defaultRowHeight="13" x14ac:dyDescent="0.3"/>
  <cols>
    <col min="1" max="1" width="3" style="2" customWidth="1"/>
    <col min="2" max="16384" width="9" style="2"/>
  </cols>
  <sheetData>
    <row r="1" spans="1:17" ht="18.5" x14ac:dyDescent="0.45">
      <c r="A1" s="61" t="s">
        <v>92</v>
      </c>
    </row>
    <row r="2" spans="1:17" ht="15.5" x14ac:dyDescent="0.3">
      <c r="B2" s="35" t="s">
        <v>85</v>
      </c>
    </row>
    <row r="4" spans="1:17" x14ac:dyDescent="0.3">
      <c r="B4" s="74" t="str">
        <f>Data!D7</f>
        <v>Drinking Water Protected Areas  - capex</v>
      </c>
    </row>
    <row r="5" spans="1:17" ht="39" x14ac:dyDescent="0.3">
      <c r="C5" s="72">
        <v>2021</v>
      </c>
      <c r="D5" s="72">
        <v>2022</v>
      </c>
      <c r="E5" s="72">
        <v>2023</v>
      </c>
      <c r="F5" s="72">
        <v>2024</v>
      </c>
      <c r="G5" s="72">
        <v>2025</v>
      </c>
      <c r="H5" s="73" t="s">
        <v>93</v>
      </c>
      <c r="J5" s="73" t="s">
        <v>94</v>
      </c>
      <c r="K5" s="73" t="s">
        <v>40</v>
      </c>
      <c r="L5" s="73" t="s">
        <v>41</v>
      </c>
      <c r="M5" s="73" t="s">
        <v>95</v>
      </c>
      <c r="N5" s="73" t="s">
        <v>96</v>
      </c>
      <c r="O5" s="73" t="s">
        <v>97</v>
      </c>
    </row>
    <row r="6" spans="1:17" x14ac:dyDescent="0.3">
      <c r="B6" s="62" t="s">
        <v>0</v>
      </c>
      <c r="C6" s="77">
        <f>SUMIFS(Data!$D$8:$D$92,Data!$B$8:$B$92,$B6,Data!$C$8:$C$92,C$5)</f>
        <v>0.48842438263641003</v>
      </c>
      <c r="D6" s="77">
        <f>SUMIFS(Data!$D$8:$D$92,Data!$B$8:$B$92,$B6,Data!$C$8:$C$92,D$5)</f>
        <v>0</v>
      </c>
      <c r="E6" s="77">
        <f>SUMIFS(Data!$D$8:$D$92,Data!$B$8:$B$92,$B6,Data!$C$8:$C$92,E$5)</f>
        <v>0</v>
      </c>
      <c r="F6" s="77">
        <f>SUMIFS(Data!$D$8:$D$92,Data!$B$8:$B$92,$B6,Data!$C$8:$C$92,F$5)</f>
        <v>0</v>
      </c>
      <c r="G6" s="77">
        <f>SUMIFS(Data!$D$8:$D$92,Data!$B$8:$B$92,$B6,Data!$C$8:$C$92,G$5)</f>
        <v>0</v>
      </c>
      <c r="H6" s="78">
        <f t="shared" ref="H6:H23" si="0">SUM(C6:G6)</f>
        <v>0.48842438263641003</v>
      </c>
      <c r="J6" s="70">
        <f>SUMIFS(Data!$E$8:$E$92,Data!$B$8:$B$92,$B6)</f>
        <v>2814.0055180862919</v>
      </c>
      <c r="K6" s="71">
        <f t="shared" ref="K6:K23" si="1">H6/J6</f>
        <v>1.7356909199260227E-4</v>
      </c>
      <c r="L6" s="63"/>
      <c r="M6" s="63">
        <f>H6</f>
        <v>0.48842438263641003</v>
      </c>
      <c r="N6" s="63"/>
      <c r="O6" s="66">
        <f t="shared" ref="O6:O22" si="2">M6+N6</f>
        <v>0.48842438263641003</v>
      </c>
      <c r="Q6" s="75"/>
    </row>
    <row r="7" spans="1:17" x14ac:dyDescent="0.3">
      <c r="B7" s="62" t="s">
        <v>35</v>
      </c>
      <c r="C7" s="77">
        <f>SUMIFS(Data!$D$8:$D$92,Data!$B$8:$B$92,$B7,Data!$C$8:$C$92,C$5)</f>
        <v>0</v>
      </c>
      <c r="D7" s="77">
        <f>SUMIFS(Data!$D$8:$D$92,Data!$B$8:$B$92,$B7,Data!$C$8:$C$92,D$5)</f>
        <v>0</v>
      </c>
      <c r="E7" s="77">
        <f>SUMIFS(Data!$D$8:$D$92,Data!$B$8:$B$92,$B7,Data!$C$8:$C$92,E$5)</f>
        <v>0</v>
      </c>
      <c r="F7" s="77">
        <f>SUMIFS(Data!$D$8:$D$92,Data!$B$8:$B$92,$B7,Data!$C$8:$C$92,F$5)</f>
        <v>0</v>
      </c>
      <c r="G7" s="77">
        <f>SUMIFS(Data!$D$8:$D$92,Data!$B$8:$B$92,$B7,Data!$C$8:$C$92,G$5)</f>
        <v>0</v>
      </c>
      <c r="H7" s="78">
        <f t="shared" si="0"/>
        <v>0</v>
      </c>
      <c r="J7" s="70">
        <f>SUMIFS(Data!$E$8:$E$92,Data!$B$8:$B$92,$B7)</f>
        <v>131.30264490490808</v>
      </c>
      <c r="K7" s="71">
        <f t="shared" si="1"/>
        <v>0</v>
      </c>
      <c r="L7" s="63"/>
      <c r="M7" s="63"/>
      <c r="N7" s="63"/>
      <c r="O7" s="66">
        <f t="shared" si="2"/>
        <v>0</v>
      </c>
      <c r="Q7" s="75"/>
    </row>
    <row r="8" spans="1:17" x14ac:dyDescent="0.3">
      <c r="B8" s="62" t="s">
        <v>1</v>
      </c>
      <c r="C8" s="77">
        <f>SUMIFS(Data!$D$8:$D$92,Data!$B$8:$B$92,$B8,Data!$C$8:$C$92,C$5)</f>
        <v>0</v>
      </c>
      <c r="D8" s="77">
        <f>SUMIFS(Data!$D$8:$D$92,Data!$B$8:$B$92,$B8,Data!$C$8:$C$92,D$5)</f>
        <v>0</v>
      </c>
      <c r="E8" s="77">
        <f>SUMIFS(Data!$D$8:$D$92,Data!$B$8:$B$92,$B8,Data!$C$8:$C$92,E$5)</f>
        <v>0</v>
      </c>
      <c r="F8" s="77">
        <f>SUMIFS(Data!$D$8:$D$92,Data!$B$8:$B$92,$B8,Data!$C$8:$C$92,F$5)</f>
        <v>0</v>
      </c>
      <c r="G8" s="77">
        <f>SUMIFS(Data!$D$8:$D$92,Data!$B$8:$B$92,$B8,Data!$C$8:$C$92,G$5)</f>
        <v>0</v>
      </c>
      <c r="H8" s="78">
        <f t="shared" si="0"/>
        <v>0</v>
      </c>
      <c r="J8" s="70">
        <f>SUMIFS(Data!$E$8:$E$92,Data!$B$8:$B$92,$B8)</f>
        <v>1729.884</v>
      </c>
      <c r="K8" s="71">
        <f t="shared" si="1"/>
        <v>0</v>
      </c>
      <c r="L8" s="63"/>
      <c r="M8" s="63"/>
      <c r="N8" s="63"/>
      <c r="O8" s="66">
        <f t="shared" si="2"/>
        <v>0</v>
      </c>
      <c r="Q8" s="75"/>
    </row>
    <row r="9" spans="1:17" x14ac:dyDescent="0.3">
      <c r="B9" s="62" t="s">
        <v>2</v>
      </c>
      <c r="C9" s="77">
        <f>SUMIFS(Data!$D$8:$D$92,Data!$B$8:$B$92,$B9,Data!$C$8:$C$92,C$5)</f>
        <v>7.0242950108459906E-2</v>
      </c>
      <c r="D9" s="77">
        <f>SUMIFS(Data!$D$8:$D$92,Data!$B$8:$B$92,$B9,Data!$C$8:$C$92,D$5)</f>
        <v>7.0242950108459906E-2</v>
      </c>
      <c r="E9" s="77">
        <f>SUMIFS(Data!$D$8:$D$92,Data!$B$8:$B$92,$B9,Data!$C$8:$C$92,E$5)</f>
        <v>7.0242950108459906E-2</v>
      </c>
      <c r="F9" s="77">
        <f>SUMIFS(Data!$D$8:$D$92,Data!$B$8:$B$92,$B9,Data!$C$8:$C$92,F$5)</f>
        <v>7.0242950108459906E-2</v>
      </c>
      <c r="G9" s="77">
        <f>SUMIFS(Data!$D$8:$D$92,Data!$B$8:$B$92,$B9,Data!$C$8:$C$92,G$5)</f>
        <v>7.0242950108459906E-2</v>
      </c>
      <c r="H9" s="78">
        <f t="shared" si="0"/>
        <v>0.35121475054229956</v>
      </c>
      <c r="J9" s="70">
        <f>SUMIFS(Data!$E$8:$E$92,Data!$B$8:$B$92,$B9)</f>
        <v>2477.5035104607214</v>
      </c>
      <c r="K9" s="71">
        <f t="shared" si="1"/>
        <v>1.4176155515395697E-4</v>
      </c>
      <c r="L9" s="63"/>
      <c r="M9" s="63">
        <f t="shared" ref="M9" si="3">H9</f>
        <v>0.35121475054229956</v>
      </c>
      <c r="N9" s="63"/>
      <c r="O9" s="66">
        <f t="shared" si="2"/>
        <v>0.35121475054229956</v>
      </c>
      <c r="Q9" s="75"/>
    </row>
    <row r="10" spans="1:17" x14ac:dyDescent="0.3">
      <c r="B10" s="62" t="s">
        <v>3</v>
      </c>
      <c r="C10" s="77">
        <f>SUMIFS(Data!$D$8:$D$92,Data!$B$8:$B$92,$B10,Data!$C$8:$C$92,C$5)</f>
        <v>0</v>
      </c>
      <c r="D10" s="77">
        <f>SUMIFS(Data!$D$8:$D$92,Data!$B$8:$B$92,$B10,Data!$C$8:$C$92,D$5)</f>
        <v>0</v>
      </c>
      <c r="E10" s="77">
        <f>SUMIFS(Data!$D$8:$D$92,Data!$B$8:$B$92,$B10,Data!$C$8:$C$92,E$5)</f>
        <v>0</v>
      </c>
      <c r="F10" s="77">
        <f>SUMIFS(Data!$D$8:$D$92,Data!$B$8:$B$92,$B10,Data!$C$8:$C$92,F$5)</f>
        <v>0</v>
      </c>
      <c r="G10" s="77">
        <f>SUMIFS(Data!$D$8:$D$92,Data!$B$8:$B$92,$B10,Data!$C$8:$C$92,G$5)</f>
        <v>0</v>
      </c>
      <c r="H10" s="78">
        <f t="shared" si="0"/>
        <v>0</v>
      </c>
      <c r="J10" s="70">
        <f>SUMIFS(Data!$E$8:$E$92,Data!$B$8:$B$92,$B10)</f>
        <v>1226.604</v>
      </c>
      <c r="K10" s="71">
        <f t="shared" si="1"/>
        <v>0</v>
      </c>
      <c r="L10" s="63"/>
      <c r="M10" s="63"/>
      <c r="N10" s="63"/>
      <c r="O10" s="66">
        <f t="shared" si="2"/>
        <v>0</v>
      </c>
      <c r="Q10" s="75"/>
    </row>
    <row r="11" spans="1:17" x14ac:dyDescent="0.3">
      <c r="B11" s="62" t="s">
        <v>34</v>
      </c>
      <c r="C11" s="77">
        <f>SUMIFS(Data!$D$8:$D$92,Data!$B$8:$B$92,$B11,Data!$C$8:$C$92,C$5)</f>
        <v>0</v>
      </c>
      <c r="D11" s="77">
        <f>SUMIFS(Data!$D$8:$D$92,Data!$B$8:$B$92,$B11,Data!$C$8:$C$92,D$5)</f>
        <v>0</v>
      </c>
      <c r="E11" s="77">
        <f>SUMIFS(Data!$D$8:$D$92,Data!$B$8:$B$92,$B11,Data!$C$8:$C$92,E$5)</f>
        <v>0</v>
      </c>
      <c r="F11" s="77">
        <f>SUMIFS(Data!$D$8:$D$92,Data!$B$8:$B$92,$B11,Data!$C$8:$C$92,F$5)</f>
        <v>0</v>
      </c>
      <c r="G11" s="77">
        <f>SUMIFS(Data!$D$8:$D$92,Data!$B$8:$B$92,$B11,Data!$C$8:$C$92,G$5)</f>
        <v>0</v>
      </c>
      <c r="H11" s="78">
        <f t="shared" si="0"/>
        <v>0</v>
      </c>
      <c r="J11" s="70">
        <f>SUMIFS(Data!$E$8:$E$92,Data!$B$8:$B$92,$B11)</f>
        <v>3115.8041903943272</v>
      </c>
      <c r="K11" s="71">
        <f t="shared" si="1"/>
        <v>0</v>
      </c>
      <c r="L11" s="63"/>
      <c r="M11" s="63"/>
      <c r="N11" s="63"/>
      <c r="O11" s="66">
        <f t="shared" si="2"/>
        <v>0</v>
      </c>
      <c r="Q11" s="75"/>
    </row>
    <row r="12" spans="1:17" x14ac:dyDescent="0.3">
      <c r="B12" s="62" t="s">
        <v>4</v>
      </c>
      <c r="C12" s="77">
        <f>SUMIFS(Data!$D$8:$D$92,Data!$B$8:$B$92,$B12,Data!$C$8:$C$92,C$5)</f>
        <v>1.0509999999999999</v>
      </c>
      <c r="D12" s="77">
        <f>SUMIFS(Data!$D$8:$D$92,Data!$B$8:$B$92,$B12,Data!$C$8:$C$92,D$5)</f>
        <v>1.0509999999999999</v>
      </c>
      <c r="E12" s="77">
        <f>SUMIFS(Data!$D$8:$D$92,Data!$B$8:$B$92,$B12,Data!$C$8:$C$92,E$5)</f>
        <v>1.0509999999999999</v>
      </c>
      <c r="F12" s="77">
        <f>SUMIFS(Data!$D$8:$D$92,Data!$B$8:$B$92,$B12,Data!$C$8:$C$92,F$5)</f>
        <v>1.0509999999999999</v>
      </c>
      <c r="G12" s="77">
        <f>SUMIFS(Data!$D$8:$D$92,Data!$B$8:$B$92,$B12,Data!$C$8:$C$92,G$5)</f>
        <v>1.0509999999999999</v>
      </c>
      <c r="H12" s="78">
        <f t="shared" si="0"/>
        <v>5.2549999999999999</v>
      </c>
      <c r="J12" s="70">
        <f>SUMIFS(Data!$E$8:$E$92,Data!$B$8:$B$92,$B12)</f>
        <v>894.25199999999995</v>
      </c>
      <c r="K12" s="71">
        <f t="shared" si="1"/>
        <v>5.8764196222093994E-3</v>
      </c>
      <c r="L12" s="63">
        <v>0</v>
      </c>
      <c r="M12" s="63"/>
      <c r="N12" s="63">
        <f>'Deep dive_SWB'!B9</f>
        <v>4.2039999999999997</v>
      </c>
      <c r="O12" s="66">
        <f t="shared" si="2"/>
        <v>4.2039999999999997</v>
      </c>
      <c r="Q12" s="75"/>
    </row>
    <row r="13" spans="1:17" x14ac:dyDescent="0.3">
      <c r="B13" s="62" t="s">
        <v>5</v>
      </c>
      <c r="C13" s="77">
        <f>SUMIFS(Data!$D$8:$D$92,Data!$B$8:$B$92,$B13,Data!$C$8:$C$92,C$5)</f>
        <v>0</v>
      </c>
      <c r="D13" s="77">
        <f>SUMIFS(Data!$D$8:$D$92,Data!$B$8:$B$92,$B13,Data!$C$8:$C$92,D$5)</f>
        <v>0</v>
      </c>
      <c r="E13" s="77">
        <f>SUMIFS(Data!$D$8:$D$92,Data!$B$8:$B$92,$B13,Data!$C$8:$C$92,E$5)</f>
        <v>0</v>
      </c>
      <c r="F13" s="77">
        <f>SUMIFS(Data!$D$8:$D$92,Data!$B$8:$B$92,$B13,Data!$C$8:$C$92,F$5)</f>
        <v>0</v>
      </c>
      <c r="G13" s="77">
        <f>SUMIFS(Data!$D$8:$D$92,Data!$B$8:$B$92,$B13,Data!$C$8:$C$92,G$5)</f>
        <v>0</v>
      </c>
      <c r="H13" s="78">
        <f t="shared" si="0"/>
        <v>0</v>
      </c>
      <c r="J13" s="70">
        <f>SUMIFS(Data!$E$8:$E$92,Data!$B$8:$B$92,$B13)</f>
        <v>5658.2039244564403</v>
      </c>
      <c r="K13" s="71">
        <f t="shared" si="1"/>
        <v>0</v>
      </c>
      <c r="L13" s="63"/>
      <c r="M13" s="63"/>
      <c r="N13" s="63"/>
      <c r="O13" s="66">
        <f t="shared" si="2"/>
        <v>0</v>
      </c>
      <c r="Q13" s="75"/>
    </row>
    <row r="14" spans="1:17" x14ac:dyDescent="0.3">
      <c r="B14" s="62" t="s">
        <v>6</v>
      </c>
      <c r="C14" s="77">
        <f>SUMIFS(Data!$D$8:$D$92,Data!$B$8:$B$92,$B14,Data!$C$8:$C$92,C$5)</f>
        <v>0.16300000000000001</v>
      </c>
      <c r="D14" s="77">
        <f>SUMIFS(Data!$D$8:$D$92,Data!$B$8:$B$92,$B14,Data!$C$8:$C$92,D$5)</f>
        <v>0.161</v>
      </c>
      <c r="E14" s="77">
        <f>SUMIFS(Data!$D$8:$D$92,Data!$B$8:$B$92,$B14,Data!$C$8:$C$92,E$5)</f>
        <v>0.14299999999999999</v>
      </c>
      <c r="F14" s="77">
        <f>SUMIFS(Data!$D$8:$D$92,Data!$B$8:$B$92,$B14,Data!$C$8:$C$92,F$5)</f>
        <v>0.13800000000000001</v>
      </c>
      <c r="G14" s="77">
        <f>SUMIFS(Data!$D$8:$D$92,Data!$B$8:$B$92,$B14,Data!$C$8:$C$92,G$5)</f>
        <v>0.13600000000000001</v>
      </c>
      <c r="H14" s="78">
        <f t="shared" si="0"/>
        <v>0.74099999999999999</v>
      </c>
      <c r="J14" s="70">
        <f>SUMIFS(Data!$E$8:$E$92,Data!$B$8:$B$92,$B14)</f>
        <v>1646.3919999999998</v>
      </c>
      <c r="K14" s="71">
        <f t="shared" si="1"/>
        <v>4.5007507325108486E-4</v>
      </c>
      <c r="L14" s="63"/>
      <c r="M14" s="63">
        <f t="shared" ref="M14:M15" si="4">H14</f>
        <v>0.74099999999999999</v>
      </c>
      <c r="N14" s="63"/>
      <c r="O14" s="66">
        <f t="shared" si="2"/>
        <v>0.74099999999999999</v>
      </c>
      <c r="Q14" s="75"/>
    </row>
    <row r="15" spans="1:17" x14ac:dyDescent="0.3">
      <c r="B15" s="62" t="s">
        <v>7</v>
      </c>
      <c r="C15" s="77">
        <f>SUMIFS(Data!$D$8:$D$92,Data!$B$8:$B$92,$B15,Data!$C$8:$C$92,C$5)</f>
        <v>1.1195465650950001</v>
      </c>
      <c r="D15" s="77">
        <f>SUMIFS(Data!$D$8:$D$92,Data!$B$8:$B$92,$B15,Data!$C$8:$C$92,D$5)</f>
        <v>0.20381403180317201</v>
      </c>
      <c r="E15" s="77">
        <f>SUMIFS(Data!$D$8:$D$92,Data!$B$8:$B$92,$B15,Data!$C$8:$C$92,E$5)</f>
        <v>0.20381403180317201</v>
      </c>
      <c r="F15" s="77">
        <f>SUMIFS(Data!$D$8:$D$92,Data!$B$8:$B$92,$B15,Data!$C$8:$C$92,F$5)</f>
        <v>0.20191364718778801</v>
      </c>
      <c r="G15" s="77">
        <f>SUMIFS(Data!$D$8:$D$92,Data!$B$8:$B$92,$B15,Data!$C$8:$C$92,G$5)</f>
        <v>0.20191364718778801</v>
      </c>
      <c r="H15" s="78">
        <f t="shared" si="0"/>
        <v>1.9310019230769202</v>
      </c>
      <c r="J15" s="70">
        <f>SUMIFS(Data!$E$8:$E$92,Data!$B$8:$B$92,$B15)</f>
        <v>660.34856778321205</v>
      </c>
      <c r="K15" s="71">
        <f t="shared" si="1"/>
        <v>2.924216114467072E-3</v>
      </c>
      <c r="L15" s="63"/>
      <c r="M15" s="63">
        <f t="shared" si="4"/>
        <v>1.9310019230769202</v>
      </c>
      <c r="N15" s="63"/>
      <c r="O15" s="66">
        <f t="shared" si="2"/>
        <v>1.9310019230769202</v>
      </c>
      <c r="Q15" s="75"/>
    </row>
    <row r="16" spans="1:17" x14ac:dyDescent="0.3">
      <c r="B16" s="62" t="s">
        <v>8</v>
      </c>
      <c r="C16" s="77">
        <f>SUMIFS(Data!$D$8:$D$92,Data!$B$8:$B$92,$B16,Data!$C$8:$C$92,C$5)</f>
        <v>1.694</v>
      </c>
      <c r="D16" s="77">
        <f>SUMIFS(Data!$D$8:$D$92,Data!$B$8:$B$92,$B16,Data!$C$8:$C$92,D$5)</f>
        <v>1.024</v>
      </c>
      <c r="E16" s="77">
        <f>SUMIFS(Data!$D$8:$D$92,Data!$B$8:$B$92,$B16,Data!$C$8:$C$92,E$5)</f>
        <v>7.0179999999999998</v>
      </c>
      <c r="F16" s="77">
        <f>SUMIFS(Data!$D$8:$D$92,Data!$B$8:$B$92,$B16,Data!$C$8:$C$92,F$5)</f>
        <v>5.51</v>
      </c>
      <c r="G16" s="77">
        <f>SUMIFS(Data!$D$8:$D$92,Data!$B$8:$B$92,$B16,Data!$C$8:$C$92,G$5)</f>
        <v>1.986</v>
      </c>
      <c r="H16" s="78">
        <f t="shared" si="0"/>
        <v>17.231999999999999</v>
      </c>
      <c r="J16" s="70">
        <f>SUMIFS(Data!$E$8:$E$92,Data!$B$8:$B$92,$B16)</f>
        <v>2024.423</v>
      </c>
      <c r="K16" s="71">
        <f t="shared" si="1"/>
        <v>8.5120550398804992E-3</v>
      </c>
      <c r="L16" s="63">
        <v>0.10346547216238228</v>
      </c>
      <c r="M16" s="63"/>
      <c r="N16" s="63">
        <f>'Deep dive_YKY'!B9</f>
        <v>15.44908298369783</v>
      </c>
      <c r="O16" s="66">
        <f t="shared" si="2"/>
        <v>15.44908298369783</v>
      </c>
      <c r="Q16" s="75"/>
    </row>
    <row r="17" spans="2:17" x14ac:dyDescent="0.3">
      <c r="B17" s="62" t="s">
        <v>9</v>
      </c>
      <c r="C17" s="77">
        <f>SUMIFS(Data!$D$8:$D$92,Data!$B$8:$B$92,$B17,Data!$C$8:$C$92,C$5)</f>
        <v>0</v>
      </c>
      <c r="D17" s="77">
        <f>SUMIFS(Data!$D$8:$D$92,Data!$B$8:$B$92,$B17,Data!$C$8:$C$92,D$5)</f>
        <v>0</v>
      </c>
      <c r="E17" s="77">
        <f>SUMIFS(Data!$D$8:$D$92,Data!$B$8:$B$92,$B17,Data!$C$8:$C$92,E$5)</f>
        <v>0</v>
      </c>
      <c r="F17" s="77">
        <f>SUMIFS(Data!$D$8:$D$92,Data!$B$8:$B$92,$B17,Data!$C$8:$C$92,F$5)</f>
        <v>0</v>
      </c>
      <c r="G17" s="77">
        <f>SUMIFS(Data!$D$8:$D$92,Data!$B$8:$B$92,$B17,Data!$C$8:$C$92,G$5)</f>
        <v>0</v>
      </c>
      <c r="H17" s="78">
        <f t="shared" si="0"/>
        <v>0</v>
      </c>
      <c r="J17" s="70">
        <f>SUMIFS(Data!$E$8:$E$92,Data!$B$8:$B$92,$B17)</f>
        <v>1368.4611030444821</v>
      </c>
      <c r="K17" s="71">
        <f t="shared" si="1"/>
        <v>0</v>
      </c>
      <c r="L17" s="63"/>
      <c r="M17" s="63"/>
      <c r="N17" s="63"/>
      <c r="O17" s="66">
        <f t="shared" si="2"/>
        <v>0</v>
      </c>
      <c r="Q17" s="75"/>
    </row>
    <row r="18" spans="2:17" x14ac:dyDescent="0.3">
      <c r="B18" s="62" t="s">
        <v>10</v>
      </c>
      <c r="C18" s="77">
        <f>SUMIFS(Data!$D$8:$D$92,Data!$B$8:$B$92,$B18,Data!$C$8:$C$92,C$5)</f>
        <v>0</v>
      </c>
      <c r="D18" s="77">
        <f>SUMIFS(Data!$D$8:$D$92,Data!$B$8:$B$92,$B18,Data!$C$8:$C$92,D$5)</f>
        <v>0</v>
      </c>
      <c r="E18" s="77">
        <f>SUMIFS(Data!$D$8:$D$92,Data!$B$8:$B$92,$B18,Data!$C$8:$C$92,E$5)</f>
        <v>0</v>
      </c>
      <c r="F18" s="77">
        <f>SUMIFS(Data!$D$8:$D$92,Data!$B$8:$B$92,$B18,Data!$C$8:$C$92,F$5)</f>
        <v>0</v>
      </c>
      <c r="G18" s="77">
        <f>SUMIFS(Data!$D$8:$D$92,Data!$B$8:$B$92,$B18,Data!$C$8:$C$92,G$5)</f>
        <v>0</v>
      </c>
      <c r="H18" s="78">
        <f t="shared" si="0"/>
        <v>0</v>
      </c>
      <c r="J18" s="70">
        <f>SUMIFS(Data!$E$8:$E$92,Data!$B$8:$B$92,$B18)</f>
        <v>457.197</v>
      </c>
      <c r="K18" s="71">
        <f t="shared" si="1"/>
        <v>0</v>
      </c>
      <c r="L18" s="63"/>
      <c r="M18" s="63"/>
      <c r="N18" s="63"/>
      <c r="O18" s="66">
        <f t="shared" si="2"/>
        <v>0</v>
      </c>
      <c r="Q18" s="75"/>
    </row>
    <row r="19" spans="2:17" x14ac:dyDescent="0.3">
      <c r="B19" s="62" t="s">
        <v>11</v>
      </c>
      <c r="C19" s="77">
        <f>SUMIFS(Data!$D$8:$D$92,Data!$B$8:$B$92,$B19,Data!$C$8:$C$92,C$5)</f>
        <v>8.6999999999999994E-2</v>
      </c>
      <c r="D19" s="77">
        <f>SUMIFS(Data!$D$8:$D$92,Data!$B$8:$B$92,$B19,Data!$C$8:$C$92,D$5)</f>
        <v>8.6999999999999994E-2</v>
      </c>
      <c r="E19" s="77">
        <f>SUMIFS(Data!$D$8:$D$92,Data!$B$8:$B$92,$B19,Data!$C$8:$C$92,E$5)</f>
        <v>8.6999999999999994E-2</v>
      </c>
      <c r="F19" s="77">
        <f>SUMIFS(Data!$D$8:$D$92,Data!$B$8:$B$92,$B19,Data!$C$8:$C$92,F$5)</f>
        <v>8.6999999999999994E-2</v>
      </c>
      <c r="G19" s="77">
        <f>SUMIFS(Data!$D$8:$D$92,Data!$B$8:$B$92,$B19,Data!$C$8:$C$92,G$5)</f>
        <v>8.6999999999999994E-2</v>
      </c>
      <c r="H19" s="78">
        <f t="shared" si="0"/>
        <v>0.43499999999999994</v>
      </c>
      <c r="J19" s="70">
        <f>SUMIFS(Data!$E$8:$E$92,Data!$B$8:$B$92,$B19)</f>
        <v>223.94399999999999</v>
      </c>
      <c r="K19" s="71">
        <f t="shared" si="1"/>
        <v>1.9424498981888327E-3</v>
      </c>
      <c r="L19" s="63"/>
      <c r="M19" s="63">
        <f t="shared" ref="M19" si="5">H19</f>
        <v>0.43499999999999994</v>
      </c>
      <c r="N19" s="63"/>
      <c r="O19" s="66">
        <f t="shared" si="2"/>
        <v>0.43499999999999994</v>
      </c>
      <c r="Q19" s="75"/>
    </row>
    <row r="20" spans="2:17" x14ac:dyDescent="0.3">
      <c r="B20" s="62" t="s">
        <v>12</v>
      </c>
      <c r="C20" s="77">
        <f>SUMIFS(Data!$D$8:$D$92,Data!$B$8:$B$92,$B20,Data!$C$8:$C$92,C$5)</f>
        <v>0</v>
      </c>
      <c r="D20" s="77">
        <f>SUMIFS(Data!$D$8:$D$92,Data!$B$8:$B$92,$B20,Data!$C$8:$C$92,D$5)</f>
        <v>0</v>
      </c>
      <c r="E20" s="77">
        <f>SUMIFS(Data!$D$8:$D$92,Data!$B$8:$B$92,$B20,Data!$C$8:$C$92,E$5)</f>
        <v>0</v>
      </c>
      <c r="F20" s="77">
        <f>SUMIFS(Data!$D$8:$D$92,Data!$B$8:$B$92,$B20,Data!$C$8:$C$92,F$5)</f>
        <v>0</v>
      </c>
      <c r="G20" s="77">
        <f>SUMIFS(Data!$D$8:$D$92,Data!$B$8:$B$92,$B20,Data!$C$8:$C$92,G$5)</f>
        <v>0</v>
      </c>
      <c r="H20" s="78">
        <f t="shared" si="0"/>
        <v>0</v>
      </c>
      <c r="J20" s="70">
        <f>SUMIFS(Data!$E$8:$E$92,Data!$B$8:$B$92,$B20)</f>
        <v>253.309</v>
      </c>
      <c r="K20" s="71">
        <f t="shared" si="1"/>
        <v>0</v>
      </c>
      <c r="L20" s="63"/>
      <c r="M20" s="63"/>
      <c r="N20" s="63"/>
      <c r="O20" s="66">
        <f t="shared" si="2"/>
        <v>0</v>
      </c>
      <c r="Q20" s="75"/>
    </row>
    <row r="21" spans="2:17" x14ac:dyDescent="0.3">
      <c r="B21" s="62" t="s">
        <v>13</v>
      </c>
      <c r="C21" s="77">
        <f>SUMIFS(Data!$D$8:$D$92,Data!$B$8:$B$92,$B21,Data!$C$8:$C$92,C$5)</f>
        <v>1.6296878025731101</v>
      </c>
      <c r="D21" s="77">
        <f>SUMIFS(Data!$D$8:$D$92,Data!$B$8:$B$92,$B21,Data!$C$8:$C$92,D$5)</f>
        <v>1.3347860574441801</v>
      </c>
      <c r="E21" s="77">
        <f>SUMIFS(Data!$D$8:$D$92,Data!$B$8:$B$92,$B21,Data!$C$8:$C$92,E$5)</f>
        <v>1.34396444780233</v>
      </c>
      <c r="F21" s="77">
        <f>SUMIFS(Data!$D$8:$D$92,Data!$B$8:$B$92,$B21,Data!$C$8:$C$92,F$5)</f>
        <v>1.2175551756262599</v>
      </c>
      <c r="G21" s="77">
        <f>SUMIFS(Data!$D$8:$D$92,Data!$B$8:$B$92,$B21,Data!$C$8:$C$92,G$5)</f>
        <v>1.2289332091945799</v>
      </c>
      <c r="H21" s="78">
        <f t="shared" si="0"/>
        <v>6.7549266926404599</v>
      </c>
      <c r="J21" s="70">
        <f>SUMIFS(Data!$E$8:$E$92,Data!$B$8:$B$92,$B21)</f>
        <v>960.94699999999989</v>
      </c>
      <c r="K21" s="71">
        <f t="shared" si="1"/>
        <v>7.0294477142240526E-3</v>
      </c>
      <c r="L21" s="63">
        <v>8.5623557290976458E-3</v>
      </c>
      <c r="M21" s="63"/>
      <c r="N21" s="63">
        <f>'Deep dive_SEW'!B9</f>
        <v>5.3576708858992763</v>
      </c>
      <c r="O21" s="66">
        <f t="shared" si="2"/>
        <v>5.3576708858992763</v>
      </c>
      <c r="Q21" s="75"/>
    </row>
    <row r="22" spans="2:17" x14ac:dyDescent="0.3">
      <c r="B22" s="62" t="s">
        <v>14</v>
      </c>
      <c r="C22" s="77">
        <f>SUMIFS(Data!$D$8:$D$92,Data!$B$8:$B$92,$B22,Data!$C$8:$C$92,C$5)</f>
        <v>0.52512026654694</v>
      </c>
      <c r="D22" s="77">
        <f>SUMIFS(Data!$D$8:$D$92,Data!$B$8:$B$92,$B22,Data!$C$8:$C$92,D$5)</f>
        <v>0.52512026654694</v>
      </c>
      <c r="E22" s="77">
        <f>SUMIFS(Data!$D$8:$D$92,Data!$B$8:$B$92,$B22,Data!$C$8:$C$92,E$5)</f>
        <v>0.52512026654694</v>
      </c>
      <c r="F22" s="77">
        <f>SUMIFS(Data!$D$8:$D$92,Data!$B$8:$B$92,$B22,Data!$C$8:$C$92,F$5)</f>
        <v>0.52412026654693999</v>
      </c>
      <c r="G22" s="77">
        <f>SUMIFS(Data!$D$8:$D$92,Data!$B$8:$B$92,$B22,Data!$C$8:$C$92,G$5)</f>
        <v>0.52512026654694</v>
      </c>
      <c r="H22" s="78">
        <f t="shared" si="0"/>
        <v>2.6246013327347</v>
      </c>
      <c r="J22" s="70">
        <f>SUMIFS(Data!$E$8:$E$92,Data!$B$8:$B$92,$B22)</f>
        <v>538.02900167239989</v>
      </c>
      <c r="K22" s="71">
        <f t="shared" si="1"/>
        <v>4.8781781736234207E-3</v>
      </c>
      <c r="L22" s="63">
        <v>6.8778600799977052E-2</v>
      </c>
      <c r="M22" s="63">
        <f t="shared" ref="M22" si="6">H22*(1-L22)</f>
        <v>2.4440849254114521</v>
      </c>
      <c r="N22" s="63"/>
      <c r="O22" s="66">
        <f t="shared" si="2"/>
        <v>2.4440849254114521</v>
      </c>
      <c r="Q22" s="75"/>
    </row>
    <row r="23" spans="2:17" x14ac:dyDescent="0.3">
      <c r="B23" s="67" t="s">
        <v>48</v>
      </c>
      <c r="C23" s="78">
        <f>SUM(C6:C22)</f>
        <v>6.8280219669599198</v>
      </c>
      <c r="D23" s="78">
        <f>SUM(D6:D22)</f>
        <v>4.456963305902752</v>
      </c>
      <c r="E23" s="78">
        <f>SUM(E6:E22)</f>
        <v>10.442141696260901</v>
      </c>
      <c r="F23" s="78">
        <f>SUM(F6:F22)</f>
        <v>8.7998320394694467</v>
      </c>
      <c r="G23" s="78">
        <f>SUM(G6:G22)</f>
        <v>5.2862100730377684</v>
      </c>
      <c r="H23" s="78">
        <f t="shared" si="0"/>
        <v>35.813169081630789</v>
      </c>
      <c r="J23" s="64">
        <f>SUM(J6:J22)</f>
        <v>26180.610460802778</v>
      </c>
      <c r="K23" s="65">
        <f t="shared" si="1"/>
        <v>1.3679271969326207E-3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A1:M33"/>
  <sheetViews>
    <sheetView showGridLines="0" zoomScale="90" zoomScaleNormal="90" workbookViewId="0">
      <pane ySplit="1" topLeftCell="A17" activePane="bottomLeft" state="frozen"/>
      <selection pane="bottomLeft" activeCell="B8" sqref="B8:B9"/>
    </sheetView>
  </sheetViews>
  <sheetFormatPr defaultColWidth="9" defaultRowHeight="13" x14ac:dyDescent="0.3"/>
  <cols>
    <col min="1" max="1" width="37.7265625" style="2" customWidth="1"/>
    <col min="2" max="2" width="16.54296875" style="2" customWidth="1"/>
    <col min="3" max="3" width="68" style="2" customWidth="1"/>
    <col min="4" max="4" width="5" style="2" customWidth="1"/>
    <col min="5" max="5" width="26.54296875" style="2" customWidth="1"/>
    <col min="6" max="13" width="8.54296875" style="2" customWidth="1"/>
    <col min="14" max="16384" width="9" style="2"/>
  </cols>
  <sheetData>
    <row r="1" spans="1:8" s="37" customFormat="1" ht="18.5" x14ac:dyDescent="0.3">
      <c r="A1" s="1" t="s">
        <v>87</v>
      </c>
      <c r="B1" s="49"/>
      <c r="C1" s="49"/>
      <c r="D1" s="49"/>
      <c r="E1" s="49"/>
      <c r="F1" s="2"/>
      <c r="G1" s="38"/>
      <c r="H1" s="39"/>
    </row>
    <row r="2" spans="1:8" s="37" customFormat="1" x14ac:dyDescent="0.3">
      <c r="A2" s="9"/>
      <c r="B2" s="50"/>
      <c r="C2" s="50"/>
      <c r="D2" s="2"/>
      <c r="E2" s="2"/>
      <c r="F2" s="2"/>
      <c r="G2" s="38"/>
      <c r="H2" s="39"/>
    </row>
    <row r="3" spans="1:8" s="37" customFormat="1" x14ac:dyDescent="0.3">
      <c r="A3" s="9" t="s">
        <v>86</v>
      </c>
      <c r="B3" s="50"/>
      <c r="C3" s="43"/>
      <c r="D3" s="2"/>
      <c r="E3" s="2"/>
      <c r="F3" s="2"/>
      <c r="G3" s="38"/>
      <c r="H3" s="39"/>
    </row>
    <row r="4" spans="1:8" x14ac:dyDescent="0.3">
      <c r="A4" s="14" t="s">
        <v>16</v>
      </c>
      <c r="B4" s="15" t="s">
        <v>104</v>
      </c>
      <c r="C4" s="43"/>
    </row>
    <row r="5" spans="1:8" x14ac:dyDescent="0.3">
      <c r="A5" s="14" t="s">
        <v>17</v>
      </c>
      <c r="B5" s="15" t="s">
        <v>105</v>
      </c>
      <c r="C5" s="43"/>
    </row>
    <row r="6" spans="1:8" x14ac:dyDescent="0.3">
      <c r="A6" s="41" t="s">
        <v>15</v>
      </c>
      <c r="B6" s="42" t="s">
        <v>13</v>
      </c>
      <c r="C6" s="43"/>
    </row>
    <row r="7" spans="1:8" x14ac:dyDescent="0.3">
      <c r="A7" s="41" t="s">
        <v>18</v>
      </c>
      <c r="B7" s="42" t="s">
        <v>32</v>
      </c>
      <c r="C7" s="43"/>
      <c r="E7" s="24"/>
    </row>
    <row r="8" spans="1:8" x14ac:dyDescent="0.3">
      <c r="A8" s="41" t="s">
        <v>36</v>
      </c>
      <c r="B8" s="77">
        <f>Analysis!H21</f>
        <v>6.7549266926404599</v>
      </c>
    </row>
    <row r="9" spans="1:8" x14ac:dyDescent="0.3">
      <c r="A9" s="44" t="s">
        <v>33</v>
      </c>
      <c r="B9" s="79">
        <f>B8*0.8*(1-Analysis!L21)</f>
        <v>5.3576708858992763</v>
      </c>
      <c r="C9" s="2" t="s">
        <v>81</v>
      </c>
    </row>
    <row r="10" spans="1:8" x14ac:dyDescent="0.3">
      <c r="A10" s="9"/>
    </row>
    <row r="11" spans="1:8" x14ac:dyDescent="0.3">
      <c r="A11" s="9" t="s">
        <v>19</v>
      </c>
      <c r="E11" s="9" t="s">
        <v>20</v>
      </c>
    </row>
    <row r="12" spans="1:8" ht="154.5" customHeight="1" x14ac:dyDescent="0.3">
      <c r="A12" s="41" t="s">
        <v>21</v>
      </c>
      <c r="B12" s="41" t="s">
        <v>60</v>
      </c>
      <c r="C12" s="45" t="s">
        <v>80</v>
      </c>
      <c r="E12" s="45" t="s">
        <v>72</v>
      </c>
    </row>
    <row r="13" spans="1:8" x14ac:dyDescent="0.3">
      <c r="A13" s="41" t="s">
        <v>24</v>
      </c>
      <c r="B13" s="41" t="s">
        <v>22</v>
      </c>
      <c r="C13" s="41"/>
      <c r="E13" s="41" t="s">
        <v>23</v>
      </c>
    </row>
    <row r="14" spans="1:8" ht="51.75" customHeight="1" x14ac:dyDescent="0.3">
      <c r="A14" s="41" t="s">
        <v>25</v>
      </c>
      <c r="B14" s="41" t="s">
        <v>60</v>
      </c>
      <c r="C14" s="45" t="s">
        <v>106</v>
      </c>
      <c r="E14" s="45" t="s">
        <v>102</v>
      </c>
    </row>
    <row r="15" spans="1:8" ht="102.75" customHeight="1" x14ac:dyDescent="0.3">
      <c r="A15" s="41" t="s">
        <v>26</v>
      </c>
      <c r="B15" s="41" t="s">
        <v>56</v>
      </c>
      <c r="C15" s="45" t="s">
        <v>107</v>
      </c>
      <c r="E15" s="45" t="s">
        <v>101</v>
      </c>
      <c r="G15" s="24"/>
    </row>
    <row r="16" spans="1:8" ht="65" x14ac:dyDescent="0.3">
      <c r="A16" s="41" t="s">
        <v>27</v>
      </c>
      <c r="B16" s="41" t="s">
        <v>58</v>
      </c>
      <c r="C16" s="45" t="s">
        <v>108</v>
      </c>
      <c r="E16" s="45" t="s">
        <v>103</v>
      </c>
    </row>
    <row r="17" spans="1:5" ht="157.5" customHeight="1" x14ac:dyDescent="0.3">
      <c r="A17" s="41" t="s">
        <v>28</v>
      </c>
      <c r="B17" s="41" t="s">
        <v>56</v>
      </c>
      <c r="C17" s="45" t="s">
        <v>79</v>
      </c>
      <c r="E17" s="45" t="s">
        <v>73</v>
      </c>
    </row>
    <row r="18" spans="1:5" x14ac:dyDescent="0.3">
      <c r="A18" s="41" t="s">
        <v>29</v>
      </c>
      <c r="B18" s="46" t="s">
        <v>22</v>
      </c>
      <c r="C18" s="45"/>
      <c r="E18" s="41"/>
    </row>
    <row r="19" spans="1:5" x14ac:dyDescent="0.3">
      <c r="A19" s="41" t="s">
        <v>30</v>
      </c>
      <c r="B19" s="41" t="s">
        <v>22</v>
      </c>
      <c r="C19" s="45"/>
      <c r="E19" s="45"/>
    </row>
    <row r="20" spans="1:5" x14ac:dyDescent="0.3">
      <c r="A20" s="47"/>
      <c r="B20" s="47"/>
      <c r="C20" s="47"/>
      <c r="E20" s="47"/>
    </row>
    <row r="21" spans="1:5" x14ac:dyDescent="0.3">
      <c r="A21" s="48"/>
      <c r="B21" s="47"/>
      <c r="C21" s="47"/>
      <c r="E21" s="47"/>
    </row>
    <row r="22" spans="1:5" x14ac:dyDescent="0.3">
      <c r="A22" s="47"/>
      <c r="B22" s="47"/>
      <c r="C22" s="47"/>
      <c r="E22" s="47"/>
    </row>
    <row r="25" spans="1:5" x14ac:dyDescent="0.3">
      <c r="A25" s="9"/>
    </row>
    <row r="28" spans="1:5" x14ac:dyDescent="0.3">
      <c r="A28" s="9"/>
    </row>
    <row r="33" spans="13:13" x14ac:dyDescent="0.3">
      <c r="M33" s="38"/>
    </row>
  </sheetData>
  <dataValidations count="4">
    <dataValidation type="list" allowBlank="1" showInputMessage="1" showErrorMessage="1" sqref="B12:B19">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0:B22">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M46"/>
  <sheetViews>
    <sheetView showGridLines="0" topLeftCell="A16" zoomScale="90" zoomScaleNormal="90" workbookViewId="0">
      <selection activeCell="B8" sqref="B8:B9"/>
    </sheetView>
  </sheetViews>
  <sheetFormatPr defaultColWidth="9" defaultRowHeight="13" x14ac:dyDescent="0.3"/>
  <cols>
    <col min="1" max="1" width="37.7265625" style="2" customWidth="1"/>
    <col min="2" max="2" width="16.54296875" style="2" customWidth="1"/>
    <col min="3" max="3" width="68" style="2" customWidth="1"/>
    <col min="4" max="4" width="3" style="2" customWidth="1"/>
    <col min="5" max="5" width="26.54296875" style="2" customWidth="1"/>
    <col min="6" max="13" width="8.54296875" style="2" customWidth="1"/>
    <col min="14" max="16384" width="9" style="2"/>
  </cols>
  <sheetData>
    <row r="1" spans="1:8" s="37" customFormat="1" ht="18.5" x14ac:dyDescent="0.3">
      <c r="A1" s="1" t="s">
        <v>89</v>
      </c>
      <c r="B1" s="49"/>
      <c r="C1" s="49"/>
      <c r="D1" s="49"/>
      <c r="E1" s="49"/>
      <c r="F1" s="2"/>
      <c r="G1" s="38"/>
      <c r="H1" s="39"/>
    </row>
    <row r="2" spans="1:8" s="37" customFormat="1" x14ac:dyDescent="0.3">
      <c r="A2" s="9"/>
      <c r="B2" s="50"/>
      <c r="C2" s="50"/>
      <c r="D2" s="2"/>
      <c r="E2" s="2"/>
      <c r="F2" s="2"/>
      <c r="G2" s="38"/>
      <c r="H2" s="39"/>
    </row>
    <row r="3" spans="1:8" s="37" customFormat="1" x14ac:dyDescent="0.3">
      <c r="A3" s="9" t="s">
        <v>86</v>
      </c>
      <c r="B3" s="50"/>
      <c r="C3" s="50"/>
      <c r="D3" s="2"/>
      <c r="E3" s="2"/>
      <c r="F3" s="2"/>
      <c r="G3" s="2"/>
      <c r="H3" s="39"/>
    </row>
    <row r="4" spans="1:8" x14ac:dyDescent="0.3">
      <c r="A4" s="14" t="s">
        <v>16</v>
      </c>
      <c r="B4" s="80" t="s">
        <v>104</v>
      </c>
      <c r="C4" s="80"/>
      <c r="E4" s="39"/>
    </row>
    <row r="5" spans="1:8" x14ac:dyDescent="0.3">
      <c r="A5" s="14" t="s">
        <v>17</v>
      </c>
      <c r="B5" s="80" t="s">
        <v>105</v>
      </c>
      <c r="C5" s="80"/>
    </row>
    <row r="6" spans="1:8" x14ac:dyDescent="0.3">
      <c r="A6" s="41" t="s">
        <v>15</v>
      </c>
      <c r="B6" s="42" t="s">
        <v>4</v>
      </c>
      <c r="C6" s="43"/>
    </row>
    <row r="7" spans="1:8" x14ac:dyDescent="0.3">
      <c r="A7" s="41" t="s">
        <v>18</v>
      </c>
      <c r="B7" s="42" t="s">
        <v>32</v>
      </c>
      <c r="C7" s="43"/>
    </row>
    <row r="8" spans="1:8" x14ac:dyDescent="0.3">
      <c r="A8" s="41" t="s">
        <v>36</v>
      </c>
      <c r="B8" s="77">
        <f>Analysis!$H$12</f>
        <v>5.2549999999999999</v>
      </c>
    </row>
    <row r="9" spans="1:8" x14ac:dyDescent="0.3">
      <c r="A9" s="44" t="s">
        <v>33</v>
      </c>
      <c r="B9" s="79">
        <f>B8*0.8*(1-Analysis!L12)</f>
        <v>4.2039999999999997</v>
      </c>
      <c r="C9" s="2" t="s">
        <v>81</v>
      </c>
    </row>
    <row r="10" spans="1:8" x14ac:dyDescent="0.3">
      <c r="A10" s="9"/>
    </row>
    <row r="11" spans="1:8" x14ac:dyDescent="0.3">
      <c r="A11" s="9" t="s">
        <v>19</v>
      </c>
      <c r="E11" s="9" t="s">
        <v>20</v>
      </c>
    </row>
    <row r="12" spans="1:8" ht="208" x14ac:dyDescent="0.3">
      <c r="A12" s="41" t="s">
        <v>21</v>
      </c>
      <c r="B12" s="41" t="s">
        <v>60</v>
      </c>
      <c r="C12" s="45" t="s">
        <v>109</v>
      </c>
      <c r="E12" s="68" t="s">
        <v>57</v>
      </c>
    </row>
    <row r="13" spans="1:8" x14ac:dyDescent="0.3">
      <c r="A13" s="41" t="s">
        <v>24</v>
      </c>
      <c r="B13" s="41" t="s">
        <v>22</v>
      </c>
      <c r="C13" s="45"/>
      <c r="E13" s="41"/>
    </row>
    <row r="14" spans="1:8" x14ac:dyDescent="0.3">
      <c r="A14" s="41" t="s">
        <v>25</v>
      </c>
      <c r="B14" s="46" t="s">
        <v>59</v>
      </c>
      <c r="C14" s="52"/>
      <c r="E14" s="41"/>
      <c r="H14" s="24"/>
    </row>
    <row r="15" spans="1:8" ht="143" x14ac:dyDescent="0.3">
      <c r="A15" s="41" t="s">
        <v>26</v>
      </c>
      <c r="B15" s="41" t="s">
        <v>56</v>
      </c>
      <c r="C15" s="45" t="s">
        <v>110</v>
      </c>
      <c r="E15" s="41" t="s">
        <v>66</v>
      </c>
      <c r="H15" s="53"/>
    </row>
    <row r="16" spans="1:8" x14ac:dyDescent="0.3">
      <c r="A16" s="41" t="s">
        <v>27</v>
      </c>
      <c r="B16" s="41" t="s">
        <v>58</v>
      </c>
      <c r="C16" s="45" t="s">
        <v>63</v>
      </c>
      <c r="E16" s="41"/>
    </row>
    <row r="17" spans="1:8" ht="26" x14ac:dyDescent="0.3">
      <c r="A17" s="41" t="s">
        <v>28</v>
      </c>
      <c r="B17" s="41" t="s">
        <v>56</v>
      </c>
      <c r="C17" s="45" t="s">
        <v>64</v>
      </c>
      <c r="E17" s="41" t="s">
        <v>67</v>
      </c>
      <c r="H17" s="24"/>
    </row>
    <row r="18" spans="1:8" x14ac:dyDescent="0.3">
      <c r="A18" s="41" t="s">
        <v>29</v>
      </c>
      <c r="B18" s="46" t="s">
        <v>59</v>
      </c>
      <c r="C18" s="45"/>
      <c r="E18" s="41"/>
      <c r="H18" s="24"/>
    </row>
    <row r="19" spans="1:8" ht="143" x14ac:dyDescent="0.3">
      <c r="A19" s="41" t="s">
        <v>30</v>
      </c>
      <c r="B19" s="41" t="s">
        <v>60</v>
      </c>
      <c r="C19" s="54" t="s">
        <v>61</v>
      </c>
      <c r="E19" s="41" t="s">
        <v>62</v>
      </c>
    </row>
    <row r="20" spans="1:8" x14ac:dyDescent="0.3">
      <c r="A20" s="47"/>
      <c r="B20" s="47"/>
      <c r="C20" s="47"/>
      <c r="E20" s="47"/>
    </row>
    <row r="21" spans="1:8" x14ac:dyDescent="0.3">
      <c r="A21" s="48"/>
      <c r="B21" s="47"/>
      <c r="C21" s="47"/>
      <c r="E21" s="47"/>
    </row>
    <row r="22" spans="1:8" x14ac:dyDescent="0.3">
      <c r="A22" s="47"/>
      <c r="B22" s="47"/>
      <c r="C22" s="47"/>
      <c r="E22" s="47"/>
    </row>
    <row r="23" spans="1:8" x14ac:dyDescent="0.3">
      <c r="A23" s="47"/>
      <c r="B23" s="47"/>
      <c r="C23" s="47"/>
      <c r="E23" s="47"/>
    </row>
    <row r="24" spans="1:8" x14ac:dyDescent="0.3">
      <c r="A24" s="47"/>
      <c r="B24" s="47"/>
      <c r="C24" s="47"/>
      <c r="E24" s="47"/>
    </row>
    <row r="25" spans="1:8" x14ac:dyDescent="0.3">
      <c r="A25" s="47"/>
      <c r="B25" s="47"/>
      <c r="C25" s="47"/>
      <c r="E25" s="47"/>
    </row>
    <row r="26" spans="1:8" x14ac:dyDescent="0.3">
      <c r="A26" s="47"/>
      <c r="B26" s="47"/>
      <c r="C26" s="47"/>
      <c r="E26" s="47"/>
    </row>
    <row r="27" spans="1:8" x14ac:dyDescent="0.3">
      <c r="A27" s="47"/>
      <c r="B27" s="47"/>
      <c r="C27" s="47"/>
      <c r="E27" s="47"/>
    </row>
    <row r="38" spans="1:13" x14ac:dyDescent="0.3">
      <c r="A38" s="9"/>
    </row>
    <row r="41" spans="1:13" x14ac:dyDescent="0.3">
      <c r="A41" s="9"/>
    </row>
    <row r="46" spans="1:13" x14ac:dyDescent="0.3">
      <c r="M46" s="38"/>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0:B27">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2:B19">
      <formula1>"Pass, Partial pass, Fail, ,Not assessed, 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A1:M46"/>
  <sheetViews>
    <sheetView showGridLines="0" zoomScale="90" zoomScaleNormal="90" workbookViewId="0">
      <pane ySplit="1" topLeftCell="A14" activePane="bottomLeft" state="frozen"/>
      <selection pane="bottomLeft" activeCell="B8" sqref="B8:B9"/>
    </sheetView>
  </sheetViews>
  <sheetFormatPr defaultColWidth="9" defaultRowHeight="13" x14ac:dyDescent="0.3"/>
  <cols>
    <col min="1" max="1" width="37.7265625" style="2" customWidth="1"/>
    <col min="2" max="2" width="16.54296875" style="2" customWidth="1"/>
    <col min="3" max="3" width="68" style="2" customWidth="1"/>
    <col min="4" max="4" width="8.54296875" style="2" customWidth="1"/>
    <col min="5" max="5" width="26.54296875" style="2" customWidth="1"/>
    <col min="6" max="13" width="8.54296875" style="2" customWidth="1"/>
    <col min="14" max="16384" width="9" style="2"/>
  </cols>
  <sheetData>
    <row r="1" spans="1:8" s="37" customFormat="1" ht="18.5" x14ac:dyDescent="0.3">
      <c r="A1" s="1" t="s">
        <v>88</v>
      </c>
      <c r="B1" s="1"/>
      <c r="C1" s="1"/>
      <c r="D1" s="1"/>
      <c r="E1" s="1"/>
      <c r="F1" s="2"/>
      <c r="G1" s="38"/>
      <c r="H1" s="39"/>
    </row>
    <row r="2" spans="1:8" s="37" customFormat="1" ht="18.5" x14ac:dyDescent="0.3">
      <c r="A2" s="9"/>
      <c r="B2" s="40"/>
      <c r="C2" s="40"/>
      <c r="D2" s="2"/>
      <c r="E2" s="2"/>
      <c r="F2" s="2"/>
      <c r="G2" s="38"/>
      <c r="H2" s="39"/>
    </row>
    <row r="3" spans="1:8" s="37" customFormat="1" ht="18.5" x14ac:dyDescent="0.3">
      <c r="A3" s="9" t="s">
        <v>86</v>
      </c>
      <c r="B3" s="40"/>
      <c r="C3" s="40"/>
      <c r="D3" s="2"/>
      <c r="E3" s="2"/>
      <c r="F3" s="2"/>
      <c r="G3" s="38"/>
      <c r="H3" s="39"/>
    </row>
    <row r="4" spans="1:8" x14ac:dyDescent="0.3">
      <c r="A4" s="14" t="s">
        <v>16</v>
      </c>
      <c r="B4" s="80" t="s">
        <v>104</v>
      </c>
      <c r="C4" s="80"/>
    </row>
    <row r="5" spans="1:8" x14ac:dyDescent="0.3">
      <c r="A5" s="14" t="s">
        <v>17</v>
      </c>
      <c r="B5" s="80" t="s">
        <v>105</v>
      </c>
      <c r="C5" s="80"/>
    </row>
    <row r="6" spans="1:8" x14ac:dyDescent="0.3">
      <c r="A6" s="41" t="s">
        <v>15</v>
      </c>
      <c r="B6" s="42" t="s">
        <v>8</v>
      </c>
      <c r="C6" s="43"/>
    </row>
    <row r="7" spans="1:8" x14ac:dyDescent="0.3">
      <c r="A7" s="41" t="s">
        <v>18</v>
      </c>
      <c r="B7" s="42" t="s">
        <v>32</v>
      </c>
      <c r="C7" s="43"/>
    </row>
    <row r="8" spans="1:8" x14ac:dyDescent="0.3">
      <c r="A8" s="41" t="s">
        <v>36</v>
      </c>
      <c r="B8" s="77">
        <f>Analysis!H16</f>
        <v>17.231999999999999</v>
      </c>
    </row>
    <row r="9" spans="1:8" x14ac:dyDescent="0.3">
      <c r="A9" s="44" t="s">
        <v>33</v>
      </c>
      <c r="B9" s="77">
        <f>B8*(1-Analysis!L16)</f>
        <v>15.44908298369783</v>
      </c>
      <c r="C9" s="2" t="s">
        <v>74</v>
      </c>
    </row>
    <row r="10" spans="1:8" x14ac:dyDescent="0.3">
      <c r="A10" s="9"/>
    </row>
    <row r="11" spans="1:8" x14ac:dyDescent="0.3">
      <c r="A11" s="9" t="s">
        <v>19</v>
      </c>
      <c r="E11" s="9" t="s">
        <v>20</v>
      </c>
    </row>
    <row r="12" spans="1:8" ht="91" x14ac:dyDescent="0.3">
      <c r="A12" s="41" t="s">
        <v>21</v>
      </c>
      <c r="B12" s="41" t="s">
        <v>60</v>
      </c>
      <c r="C12" s="45" t="s">
        <v>68</v>
      </c>
      <c r="E12" s="45" t="s">
        <v>70</v>
      </c>
    </row>
    <row r="13" spans="1:8" x14ac:dyDescent="0.3">
      <c r="A13" s="41" t="s">
        <v>24</v>
      </c>
      <c r="B13" s="41" t="s">
        <v>22</v>
      </c>
      <c r="C13" s="45"/>
      <c r="E13" s="41"/>
    </row>
    <row r="14" spans="1:8" x14ac:dyDescent="0.3">
      <c r="A14" s="41" t="s">
        <v>25</v>
      </c>
      <c r="B14" s="41" t="s">
        <v>22</v>
      </c>
      <c r="C14" s="45"/>
      <c r="E14" s="41"/>
    </row>
    <row r="15" spans="1:8" ht="39" x14ac:dyDescent="0.3">
      <c r="A15" s="41" t="s">
        <v>26</v>
      </c>
      <c r="B15" s="41" t="s">
        <v>60</v>
      </c>
      <c r="C15" s="45" t="s">
        <v>112</v>
      </c>
      <c r="E15" s="45" t="s">
        <v>111</v>
      </c>
    </row>
    <row r="16" spans="1:8" ht="91" x14ac:dyDescent="0.3">
      <c r="A16" s="41" t="s">
        <v>27</v>
      </c>
      <c r="B16" s="41" t="s">
        <v>60</v>
      </c>
      <c r="C16" s="45" t="s">
        <v>76</v>
      </c>
      <c r="E16" s="45" t="s">
        <v>77</v>
      </c>
    </row>
    <row r="17" spans="1:7" ht="39" x14ac:dyDescent="0.3">
      <c r="A17" s="41" t="s">
        <v>28</v>
      </c>
      <c r="B17" s="41" t="s">
        <v>56</v>
      </c>
      <c r="C17" s="45" t="s">
        <v>78</v>
      </c>
      <c r="E17" s="41" t="s">
        <v>75</v>
      </c>
      <c r="G17" s="53"/>
    </row>
    <row r="18" spans="1:7" x14ac:dyDescent="0.3">
      <c r="A18" s="41" t="s">
        <v>29</v>
      </c>
      <c r="B18" s="69" t="s">
        <v>59</v>
      </c>
      <c r="C18" s="45" t="s">
        <v>65</v>
      </c>
      <c r="E18" s="41" t="s">
        <v>23</v>
      </c>
      <c r="G18" s="24"/>
    </row>
    <row r="19" spans="1:7" ht="65" x14ac:dyDescent="0.3">
      <c r="A19" s="41" t="s">
        <v>30</v>
      </c>
      <c r="B19" s="41" t="s">
        <v>60</v>
      </c>
      <c r="C19" s="45" t="s">
        <v>69</v>
      </c>
      <c r="E19" s="45" t="s">
        <v>71</v>
      </c>
    </row>
    <row r="20" spans="1:7" x14ac:dyDescent="0.3">
      <c r="A20" s="47"/>
      <c r="B20" s="47"/>
      <c r="C20" s="47"/>
      <c r="E20" s="47"/>
    </row>
    <row r="21" spans="1:7" x14ac:dyDescent="0.3">
      <c r="A21" s="48"/>
      <c r="B21" s="47"/>
      <c r="C21" s="47"/>
      <c r="E21" s="47"/>
    </row>
    <row r="22" spans="1:7" x14ac:dyDescent="0.3">
      <c r="A22" s="47"/>
      <c r="B22" s="47"/>
      <c r="C22" s="47"/>
      <c r="E22" s="47"/>
    </row>
    <row r="23" spans="1:7" x14ac:dyDescent="0.3">
      <c r="A23" s="47"/>
      <c r="B23" s="47"/>
      <c r="C23" s="47"/>
      <c r="E23" s="47"/>
    </row>
    <row r="24" spans="1:7" ht="14.5" x14ac:dyDescent="0.35">
      <c r="A24" s="47"/>
      <c r="B24" s="47"/>
      <c r="C24" s="47"/>
      <c r="D24" s="51"/>
      <c r="E24" s="47"/>
    </row>
    <row r="25" spans="1:7" x14ac:dyDescent="0.3">
      <c r="A25" s="47"/>
      <c r="B25" s="47"/>
      <c r="C25" s="47"/>
      <c r="E25" s="47"/>
    </row>
    <row r="26" spans="1:7" x14ac:dyDescent="0.3">
      <c r="A26" s="47"/>
      <c r="B26" s="47"/>
      <c r="C26" s="47"/>
      <c r="E26" s="47"/>
    </row>
    <row r="27" spans="1:7" x14ac:dyDescent="0.3">
      <c r="A27" s="47"/>
      <c r="B27" s="47"/>
      <c r="C27" s="47"/>
      <c r="E27" s="47"/>
    </row>
    <row r="38" spans="1:13" x14ac:dyDescent="0.3">
      <c r="A38" s="9"/>
    </row>
    <row r="41" spans="1:13" x14ac:dyDescent="0.3">
      <c r="A41" s="9"/>
    </row>
    <row r="46" spans="1:13" x14ac:dyDescent="0.3">
      <c r="M46" s="38"/>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0:B27">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2:B19">
      <formula1>"Pass, Partial pass, Fail, ,Not assessed,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0"/>
  <sheetViews>
    <sheetView showGridLines="0" zoomScale="90" zoomScaleNormal="90" workbookViewId="0">
      <selection activeCell="A2" sqref="A2"/>
    </sheetView>
  </sheetViews>
  <sheetFormatPr defaultColWidth="9" defaultRowHeight="13" x14ac:dyDescent="0.3"/>
  <cols>
    <col min="1" max="1" width="2.7265625" style="2" customWidth="1"/>
    <col min="2" max="2" width="14.36328125" style="2" customWidth="1"/>
    <col min="3" max="3" width="19" style="2" customWidth="1"/>
    <col min="4" max="4" width="14" style="2" customWidth="1"/>
    <col min="5" max="5" width="15" style="2" customWidth="1"/>
    <col min="6" max="7" width="13" style="2" customWidth="1"/>
    <col min="8" max="8" width="14" style="2" customWidth="1"/>
    <col min="9" max="9" width="11.54296875" style="2" bestFit="1" customWidth="1"/>
    <col min="10" max="10" width="11.54296875" style="2" customWidth="1"/>
    <col min="11" max="11" width="11" style="2" bestFit="1" customWidth="1"/>
    <col min="12" max="12" width="12.7265625" style="2" customWidth="1"/>
    <col min="13" max="16384" width="9" style="2"/>
  </cols>
  <sheetData>
    <row r="1" spans="1:12" ht="18.5" x14ac:dyDescent="0.45">
      <c r="A1" s="8" t="s">
        <v>42</v>
      </c>
      <c r="B1" s="13"/>
      <c r="C1" s="13"/>
      <c r="D1" s="13"/>
      <c r="E1" s="13"/>
      <c r="F1" s="13"/>
      <c r="G1" s="13"/>
      <c r="H1" s="13"/>
      <c r="I1" s="13"/>
      <c r="J1" s="13"/>
      <c r="K1" s="13"/>
    </row>
    <row r="3" spans="1:12" x14ac:dyDescent="0.3">
      <c r="B3" s="14" t="s">
        <v>16</v>
      </c>
      <c r="C3" s="15" t="s">
        <v>104</v>
      </c>
      <c r="D3" s="16"/>
      <c r="E3" s="16"/>
      <c r="F3" s="16"/>
      <c r="G3" s="16"/>
      <c r="H3" s="16"/>
    </row>
    <row r="4" spans="1:12" x14ac:dyDescent="0.3">
      <c r="B4" s="14" t="s">
        <v>43</v>
      </c>
      <c r="C4" s="15" t="s">
        <v>105</v>
      </c>
      <c r="D4" s="16"/>
      <c r="E4" s="16"/>
      <c r="F4" s="16"/>
      <c r="G4" s="16"/>
      <c r="H4" s="16"/>
    </row>
    <row r="5" spans="1:12" x14ac:dyDescent="0.3">
      <c r="B5" s="14" t="s">
        <v>44</v>
      </c>
      <c r="C5" s="17" t="s">
        <v>31</v>
      </c>
      <c r="D5" s="18"/>
      <c r="E5" s="18"/>
      <c r="F5" s="18"/>
      <c r="G5" s="18"/>
      <c r="H5" s="19"/>
      <c r="I5" s="20"/>
      <c r="J5" s="20"/>
    </row>
    <row r="6" spans="1:12" x14ac:dyDescent="0.3">
      <c r="B6" s="14" t="s">
        <v>45</v>
      </c>
      <c r="C6" s="17" t="s">
        <v>98</v>
      </c>
      <c r="D6" s="18"/>
      <c r="E6" s="18"/>
      <c r="F6" s="18"/>
      <c r="G6" s="18"/>
      <c r="H6" s="21"/>
    </row>
    <row r="7" spans="1:12" x14ac:dyDescent="0.3">
      <c r="B7" s="22" t="s">
        <v>18</v>
      </c>
      <c r="C7" s="23" t="s">
        <v>32</v>
      </c>
      <c r="D7" s="16"/>
      <c r="E7" s="16"/>
      <c r="F7" s="16"/>
      <c r="G7" s="16"/>
      <c r="H7" s="16"/>
    </row>
    <row r="10" spans="1:12" ht="12.75" customHeight="1" x14ac:dyDescent="0.3">
      <c r="A10" s="9" t="s">
        <v>46</v>
      </c>
    </row>
    <row r="11" spans="1:12" ht="12.75" customHeight="1" x14ac:dyDescent="0.3">
      <c r="A11" s="20"/>
      <c r="B11" s="20"/>
      <c r="C11" s="20"/>
      <c r="F11" s="20"/>
      <c r="G11" s="20"/>
      <c r="H11" s="20"/>
      <c r="I11" s="24"/>
      <c r="J11" s="20"/>
    </row>
    <row r="12" spans="1:12" ht="52" x14ac:dyDescent="0.3">
      <c r="B12" s="10" t="s">
        <v>15</v>
      </c>
      <c r="C12" s="10" t="s">
        <v>49</v>
      </c>
      <c r="D12" s="10" t="s">
        <v>53</v>
      </c>
      <c r="E12" s="10" t="s">
        <v>54</v>
      </c>
      <c r="F12" s="10" t="s">
        <v>55</v>
      </c>
      <c r="G12" s="10" t="s">
        <v>99</v>
      </c>
      <c r="H12" s="11" t="s">
        <v>100</v>
      </c>
      <c r="I12" s="12" t="s">
        <v>50</v>
      </c>
      <c r="J12" s="10" t="s">
        <v>51</v>
      </c>
      <c r="K12" s="10" t="s">
        <v>52</v>
      </c>
      <c r="L12" s="10" t="s">
        <v>47</v>
      </c>
    </row>
    <row r="13" spans="1:12" x14ac:dyDescent="0.3">
      <c r="A13" s="25">
        <v>1</v>
      </c>
      <c r="B13" s="26" t="s">
        <v>0</v>
      </c>
      <c r="C13" s="27">
        <f>Analysis!H6</f>
        <v>0.48842438263641003</v>
      </c>
      <c r="D13" s="27">
        <v>0</v>
      </c>
      <c r="E13" s="27">
        <v>-8.9999999999999993E-3</v>
      </c>
      <c r="F13" s="76">
        <f>E13-D13</f>
        <v>-8.9999999999999993E-3</v>
      </c>
      <c r="G13" s="27">
        <f>C13+F13</f>
        <v>0.47942438263641002</v>
      </c>
      <c r="H13" s="27">
        <f>Analysis!O6+E13</f>
        <v>0.47942438263641002</v>
      </c>
      <c r="I13" s="28">
        <f>MIN(G13,H13)</f>
        <v>0.47942438263641002</v>
      </c>
      <c r="J13" s="27">
        <v>1</v>
      </c>
      <c r="K13" s="27">
        <f>$I13*$J13</f>
        <v>0.47942438263641002</v>
      </c>
      <c r="L13" s="27">
        <f>$I13*(1-$J13)</f>
        <v>0</v>
      </c>
    </row>
    <row r="14" spans="1:12" x14ac:dyDescent="0.3">
      <c r="A14" s="25">
        <v>2</v>
      </c>
      <c r="B14" s="26" t="s">
        <v>35</v>
      </c>
      <c r="C14" s="27">
        <f>Analysis!H7</f>
        <v>0</v>
      </c>
      <c r="D14" s="27">
        <v>0</v>
      </c>
      <c r="E14" s="27">
        <v>0</v>
      </c>
      <c r="F14" s="27">
        <v>0</v>
      </c>
      <c r="G14" s="27">
        <f t="shared" ref="G14" si="0">C14+F14</f>
        <v>0</v>
      </c>
      <c r="H14" s="27">
        <f>Analysis!O7</f>
        <v>0</v>
      </c>
      <c r="I14" s="28">
        <f>MIN(G14,H14)</f>
        <v>0</v>
      </c>
      <c r="J14" s="27">
        <v>0</v>
      </c>
      <c r="K14" s="27">
        <f t="shared" ref="K14:K29" si="1">$I14*$J14</f>
        <v>0</v>
      </c>
      <c r="L14" s="27">
        <f t="shared" ref="L14:L29" si="2">$I14*(1-$J14)</f>
        <v>0</v>
      </c>
    </row>
    <row r="15" spans="1:12" x14ac:dyDescent="0.3">
      <c r="A15" s="25">
        <v>3</v>
      </c>
      <c r="B15" s="26" t="s">
        <v>1</v>
      </c>
      <c r="C15" s="27">
        <f>Analysis!H8</f>
        <v>0</v>
      </c>
      <c r="D15" s="27">
        <v>0</v>
      </c>
      <c r="E15" s="27">
        <v>0</v>
      </c>
      <c r="F15" s="27">
        <v>0</v>
      </c>
      <c r="G15" s="27">
        <f t="shared" ref="G15:G29" si="3">C15+F15</f>
        <v>0</v>
      </c>
      <c r="H15" s="27">
        <f>Analysis!O8</f>
        <v>0</v>
      </c>
      <c r="I15" s="28">
        <f t="shared" ref="I15:I30" si="4">MIN(G15,H15)</f>
        <v>0</v>
      </c>
      <c r="J15" s="27">
        <v>0</v>
      </c>
      <c r="K15" s="27">
        <f>$I15*$J15</f>
        <v>0</v>
      </c>
      <c r="L15" s="27">
        <f t="shared" si="2"/>
        <v>0</v>
      </c>
    </row>
    <row r="16" spans="1:12" x14ac:dyDescent="0.3">
      <c r="A16" s="25">
        <v>4</v>
      </c>
      <c r="B16" s="26" t="s">
        <v>2</v>
      </c>
      <c r="C16" s="27">
        <f>Analysis!H9</f>
        <v>0.35121475054229956</v>
      </c>
      <c r="D16" s="27">
        <v>0</v>
      </c>
      <c r="E16" s="27">
        <v>0</v>
      </c>
      <c r="F16" s="27">
        <v>0</v>
      </c>
      <c r="G16" s="27">
        <f t="shared" si="3"/>
        <v>0.35121475054229956</v>
      </c>
      <c r="H16" s="27">
        <f>Analysis!O9</f>
        <v>0.35121475054229956</v>
      </c>
      <c r="I16" s="28">
        <f t="shared" si="4"/>
        <v>0.35121475054229956</v>
      </c>
      <c r="J16" s="27">
        <v>1</v>
      </c>
      <c r="K16" s="27">
        <f t="shared" si="1"/>
        <v>0.35121475054229956</v>
      </c>
      <c r="L16" s="27">
        <f t="shared" si="2"/>
        <v>0</v>
      </c>
    </row>
    <row r="17" spans="1:12" x14ac:dyDescent="0.3">
      <c r="A17" s="25">
        <v>5</v>
      </c>
      <c r="B17" s="26" t="s">
        <v>3</v>
      </c>
      <c r="C17" s="27">
        <f>Analysis!H10</f>
        <v>0</v>
      </c>
      <c r="D17" s="27">
        <v>0</v>
      </c>
      <c r="E17" s="27">
        <v>0</v>
      </c>
      <c r="F17" s="27">
        <v>0</v>
      </c>
      <c r="G17" s="27">
        <f t="shared" si="3"/>
        <v>0</v>
      </c>
      <c r="H17" s="27">
        <f>Analysis!O10</f>
        <v>0</v>
      </c>
      <c r="I17" s="28">
        <f t="shared" si="4"/>
        <v>0</v>
      </c>
      <c r="J17" s="27">
        <v>0</v>
      </c>
      <c r="K17" s="27">
        <f t="shared" si="1"/>
        <v>0</v>
      </c>
      <c r="L17" s="27">
        <f t="shared" si="2"/>
        <v>0</v>
      </c>
    </row>
    <row r="18" spans="1:12" x14ac:dyDescent="0.3">
      <c r="A18" s="25">
        <v>6</v>
      </c>
      <c r="B18" s="26" t="s">
        <v>34</v>
      </c>
      <c r="C18" s="27">
        <f>Analysis!H11</f>
        <v>0</v>
      </c>
      <c r="D18" s="27">
        <v>0</v>
      </c>
      <c r="E18" s="27">
        <v>0</v>
      </c>
      <c r="F18" s="27">
        <v>0</v>
      </c>
      <c r="G18" s="27">
        <f t="shared" si="3"/>
        <v>0</v>
      </c>
      <c r="H18" s="27">
        <f>Analysis!O11</f>
        <v>0</v>
      </c>
      <c r="I18" s="28">
        <f t="shared" si="4"/>
        <v>0</v>
      </c>
      <c r="J18" s="27"/>
      <c r="K18" s="27">
        <f t="shared" si="1"/>
        <v>0</v>
      </c>
      <c r="L18" s="27">
        <f t="shared" si="2"/>
        <v>0</v>
      </c>
    </row>
    <row r="19" spans="1:12" x14ac:dyDescent="0.3">
      <c r="A19" s="25">
        <v>7</v>
      </c>
      <c r="B19" s="26" t="s">
        <v>4</v>
      </c>
      <c r="C19" s="27">
        <f>Analysis!H12</f>
        <v>5.2549999999999999</v>
      </c>
      <c r="D19" s="27">
        <v>0</v>
      </c>
      <c r="E19" s="27">
        <v>0</v>
      </c>
      <c r="F19" s="27">
        <v>0</v>
      </c>
      <c r="G19" s="27">
        <f t="shared" si="3"/>
        <v>5.2549999999999999</v>
      </c>
      <c r="H19" s="27">
        <f>Analysis!O12</f>
        <v>4.2039999999999997</v>
      </c>
      <c r="I19" s="28">
        <f t="shared" si="4"/>
        <v>4.2039999999999997</v>
      </c>
      <c r="J19" s="27">
        <v>0.47002854424357748</v>
      </c>
      <c r="K19" s="27">
        <f t="shared" si="1"/>
        <v>1.9759999999999995</v>
      </c>
      <c r="L19" s="27">
        <f t="shared" si="2"/>
        <v>2.2280000000000002</v>
      </c>
    </row>
    <row r="20" spans="1:12" x14ac:dyDescent="0.3">
      <c r="A20" s="25">
        <v>8</v>
      </c>
      <c r="B20" s="26" t="s">
        <v>5</v>
      </c>
      <c r="C20" s="27">
        <f>Analysis!H13</f>
        <v>0</v>
      </c>
      <c r="D20" s="27">
        <v>0</v>
      </c>
      <c r="E20" s="27">
        <v>0</v>
      </c>
      <c r="F20" s="27">
        <v>0</v>
      </c>
      <c r="G20" s="27">
        <f t="shared" si="3"/>
        <v>0</v>
      </c>
      <c r="H20" s="27">
        <f>Analysis!O13</f>
        <v>0</v>
      </c>
      <c r="I20" s="28">
        <f t="shared" si="4"/>
        <v>0</v>
      </c>
      <c r="J20" s="27">
        <v>0</v>
      </c>
      <c r="K20" s="27">
        <f t="shared" si="1"/>
        <v>0</v>
      </c>
      <c r="L20" s="27">
        <f t="shared" si="2"/>
        <v>0</v>
      </c>
    </row>
    <row r="21" spans="1:12" x14ac:dyDescent="0.3">
      <c r="A21" s="25">
        <v>9</v>
      </c>
      <c r="B21" s="26" t="s">
        <v>6</v>
      </c>
      <c r="C21" s="27">
        <f>Analysis!H14</f>
        <v>0.74099999999999999</v>
      </c>
      <c r="D21" s="27">
        <v>0</v>
      </c>
      <c r="E21" s="27">
        <v>0</v>
      </c>
      <c r="F21" s="27">
        <v>0</v>
      </c>
      <c r="G21" s="27">
        <f t="shared" si="3"/>
        <v>0.74099999999999999</v>
      </c>
      <c r="H21" s="27">
        <f>Analysis!O14</f>
        <v>0.74099999999999999</v>
      </c>
      <c r="I21" s="28">
        <f t="shared" si="4"/>
        <v>0.74099999999999999</v>
      </c>
      <c r="J21" s="27">
        <v>1</v>
      </c>
      <c r="K21" s="27">
        <f t="shared" si="1"/>
        <v>0.74099999999999999</v>
      </c>
      <c r="L21" s="27">
        <f t="shared" si="2"/>
        <v>0</v>
      </c>
    </row>
    <row r="22" spans="1:12" x14ac:dyDescent="0.3">
      <c r="A22" s="25">
        <v>10</v>
      </c>
      <c r="B22" s="26" t="s">
        <v>7</v>
      </c>
      <c r="C22" s="27">
        <f>Analysis!H15</f>
        <v>1.9310019230769202</v>
      </c>
      <c r="D22" s="27">
        <v>0</v>
      </c>
      <c r="E22" s="27">
        <v>0</v>
      </c>
      <c r="F22" s="27">
        <v>0</v>
      </c>
      <c r="G22" s="27">
        <f t="shared" si="3"/>
        <v>1.9310019230769202</v>
      </c>
      <c r="H22" s="27">
        <f>Analysis!O15</f>
        <v>1.9310019230769202</v>
      </c>
      <c r="I22" s="28">
        <f t="shared" si="4"/>
        <v>1.9310019230769202</v>
      </c>
      <c r="J22" s="27">
        <v>1</v>
      </c>
      <c r="K22" s="27">
        <f t="shared" si="1"/>
        <v>1.9310019230769202</v>
      </c>
      <c r="L22" s="27">
        <f t="shared" si="2"/>
        <v>0</v>
      </c>
    </row>
    <row r="23" spans="1:12" x14ac:dyDescent="0.3">
      <c r="A23" s="25">
        <v>11</v>
      </c>
      <c r="B23" s="26" t="s">
        <v>8</v>
      </c>
      <c r="C23" s="27">
        <f>Analysis!H16</f>
        <v>17.231999999999999</v>
      </c>
      <c r="D23" s="27">
        <v>0</v>
      </c>
      <c r="E23" s="27">
        <v>0</v>
      </c>
      <c r="F23" s="27">
        <v>0</v>
      </c>
      <c r="G23" s="27">
        <f t="shared" si="3"/>
        <v>17.231999999999999</v>
      </c>
      <c r="H23" s="27">
        <f>Analysis!O16</f>
        <v>15.44908298369783</v>
      </c>
      <c r="I23" s="28">
        <f t="shared" si="4"/>
        <v>15.44908298369783</v>
      </c>
      <c r="J23" s="27">
        <v>0.19916434540389974</v>
      </c>
      <c r="K23" s="27">
        <f t="shared" si="1"/>
        <v>3.0769064995387043</v>
      </c>
      <c r="L23" s="27">
        <f t="shared" si="2"/>
        <v>12.372176484159125</v>
      </c>
    </row>
    <row r="24" spans="1:12" x14ac:dyDescent="0.3">
      <c r="A24" s="25">
        <v>12</v>
      </c>
      <c r="B24" s="26" t="s">
        <v>9</v>
      </c>
      <c r="C24" s="27">
        <f>Analysis!H17</f>
        <v>0</v>
      </c>
      <c r="D24" s="27">
        <v>0</v>
      </c>
      <c r="E24" s="27">
        <v>0</v>
      </c>
      <c r="F24" s="27">
        <v>0</v>
      </c>
      <c r="G24" s="27">
        <f t="shared" si="3"/>
        <v>0</v>
      </c>
      <c r="H24" s="27">
        <f>Analysis!O17</f>
        <v>0</v>
      </c>
      <c r="I24" s="28">
        <f t="shared" si="4"/>
        <v>0</v>
      </c>
      <c r="J24" s="27">
        <v>0</v>
      </c>
      <c r="K24" s="27">
        <f t="shared" si="1"/>
        <v>0</v>
      </c>
      <c r="L24" s="27">
        <f t="shared" si="2"/>
        <v>0</v>
      </c>
    </row>
    <row r="25" spans="1:12" x14ac:dyDescent="0.3">
      <c r="A25" s="25">
        <v>13</v>
      </c>
      <c r="B25" s="26" t="s">
        <v>10</v>
      </c>
      <c r="C25" s="27">
        <f>Analysis!H18</f>
        <v>0</v>
      </c>
      <c r="D25" s="27">
        <v>0</v>
      </c>
      <c r="E25" s="27">
        <v>0</v>
      </c>
      <c r="F25" s="27">
        <v>0</v>
      </c>
      <c r="G25" s="27">
        <f t="shared" si="3"/>
        <v>0</v>
      </c>
      <c r="H25" s="27">
        <f>Analysis!O18</f>
        <v>0</v>
      </c>
      <c r="I25" s="28">
        <f t="shared" si="4"/>
        <v>0</v>
      </c>
      <c r="J25" s="27">
        <v>0</v>
      </c>
      <c r="K25" s="27">
        <f t="shared" si="1"/>
        <v>0</v>
      </c>
      <c r="L25" s="27">
        <f t="shared" si="2"/>
        <v>0</v>
      </c>
    </row>
    <row r="26" spans="1:12" x14ac:dyDescent="0.3">
      <c r="A26" s="25">
        <v>14</v>
      </c>
      <c r="B26" s="26" t="s">
        <v>11</v>
      </c>
      <c r="C26" s="27">
        <f>Analysis!H19</f>
        <v>0.43499999999999994</v>
      </c>
      <c r="D26" s="27">
        <v>0</v>
      </c>
      <c r="E26" s="27">
        <v>0</v>
      </c>
      <c r="F26" s="27">
        <v>0</v>
      </c>
      <c r="G26" s="27">
        <f t="shared" si="3"/>
        <v>0.43499999999999994</v>
      </c>
      <c r="H26" s="27">
        <f>Analysis!O19</f>
        <v>0.43499999999999994</v>
      </c>
      <c r="I26" s="28">
        <f t="shared" si="4"/>
        <v>0.43499999999999994</v>
      </c>
      <c r="J26" s="27">
        <v>1</v>
      </c>
      <c r="K26" s="27">
        <f t="shared" si="1"/>
        <v>0.43499999999999994</v>
      </c>
      <c r="L26" s="27">
        <f t="shared" si="2"/>
        <v>0</v>
      </c>
    </row>
    <row r="27" spans="1:12" x14ac:dyDescent="0.3">
      <c r="A27" s="25">
        <v>15</v>
      </c>
      <c r="B27" s="26" t="s">
        <v>12</v>
      </c>
      <c r="C27" s="27">
        <f>Analysis!H20</f>
        <v>0</v>
      </c>
      <c r="D27" s="27">
        <v>0</v>
      </c>
      <c r="E27" s="27">
        <v>0</v>
      </c>
      <c r="F27" s="27">
        <v>0</v>
      </c>
      <c r="G27" s="27">
        <f t="shared" si="3"/>
        <v>0</v>
      </c>
      <c r="H27" s="27">
        <f>Analysis!O20</f>
        <v>0</v>
      </c>
      <c r="I27" s="28">
        <f t="shared" si="4"/>
        <v>0</v>
      </c>
      <c r="J27" s="27">
        <v>0</v>
      </c>
      <c r="K27" s="27">
        <f t="shared" si="1"/>
        <v>0</v>
      </c>
      <c r="L27" s="27">
        <f t="shared" si="2"/>
        <v>0</v>
      </c>
    </row>
    <row r="28" spans="1:12" x14ac:dyDescent="0.3">
      <c r="A28" s="25">
        <v>16</v>
      </c>
      <c r="B28" s="26" t="s">
        <v>13</v>
      </c>
      <c r="C28" s="27">
        <f>Analysis!H21</f>
        <v>6.7549266926404599</v>
      </c>
      <c r="D28" s="27">
        <v>0</v>
      </c>
      <c r="E28" s="27">
        <v>0</v>
      </c>
      <c r="F28" s="27">
        <v>0</v>
      </c>
      <c r="G28" s="27">
        <f t="shared" si="3"/>
        <v>6.7549266926404599</v>
      </c>
      <c r="H28" s="27">
        <f>Analysis!O21</f>
        <v>5.3576708858992763</v>
      </c>
      <c r="I28" s="28">
        <f t="shared" si="4"/>
        <v>5.3576708858992763</v>
      </c>
      <c r="J28" s="27">
        <v>0.96999212055246953</v>
      </c>
      <c r="K28" s="27">
        <f t="shared" si="1"/>
        <v>5.1968985438356672</v>
      </c>
      <c r="L28" s="27">
        <f t="shared" si="2"/>
        <v>0.16077234206360927</v>
      </c>
    </row>
    <row r="29" spans="1:12" x14ac:dyDescent="0.3">
      <c r="A29" s="25">
        <v>17</v>
      </c>
      <c r="B29" s="26" t="s">
        <v>14</v>
      </c>
      <c r="C29" s="27">
        <f>Analysis!H22</f>
        <v>2.6246013327347</v>
      </c>
      <c r="D29" s="27">
        <v>0</v>
      </c>
      <c r="E29" s="27">
        <v>0</v>
      </c>
      <c r="F29" s="27">
        <v>0</v>
      </c>
      <c r="G29" s="27">
        <f t="shared" si="3"/>
        <v>2.6246013327347</v>
      </c>
      <c r="H29" s="27">
        <f>Analysis!O22</f>
        <v>2.4440849254114521</v>
      </c>
      <c r="I29" s="28">
        <f t="shared" si="4"/>
        <v>2.4440849254114521</v>
      </c>
      <c r="J29" s="27">
        <v>1</v>
      </c>
      <c r="K29" s="27">
        <f t="shared" si="1"/>
        <v>2.4440849254114521</v>
      </c>
      <c r="L29" s="27">
        <f t="shared" si="2"/>
        <v>0</v>
      </c>
    </row>
    <row r="30" spans="1:12" x14ac:dyDescent="0.3">
      <c r="B30" s="29" t="s">
        <v>48</v>
      </c>
      <c r="C30" s="30">
        <f t="shared" ref="C30:H30" si="5">SUM(C13:C29)</f>
        <v>35.813169081630789</v>
      </c>
      <c r="D30" s="30">
        <f t="shared" si="5"/>
        <v>0</v>
      </c>
      <c r="E30" s="30">
        <f t="shared" si="5"/>
        <v>-8.9999999999999993E-3</v>
      </c>
      <c r="F30" s="30">
        <f t="shared" si="5"/>
        <v>-8.9999999999999993E-3</v>
      </c>
      <c r="G30" s="30">
        <f t="shared" si="5"/>
        <v>35.804169081630789</v>
      </c>
      <c r="H30" s="30">
        <f t="shared" si="5"/>
        <v>31.392479851264184</v>
      </c>
      <c r="I30" s="31">
        <f t="shared" si="4"/>
        <v>31.392479851264184</v>
      </c>
      <c r="J30" s="30"/>
      <c r="K30" s="30">
        <f>SUM(K13:K29)</f>
        <v>16.631531025041454</v>
      </c>
      <c r="L30" s="30">
        <f>SUM(L13:L29)</f>
        <v>14.760948826222734</v>
      </c>
    </row>
  </sheetData>
  <conditionalFormatting sqref="F13 F15:F29">
    <cfRule type="cellIs" dxfId="3" priority="3" operator="lessThan">
      <formula>0</formula>
    </cfRule>
    <cfRule type="cellIs" dxfId="2" priority="4" operator="greaterThan">
      <formula>0</formula>
    </cfRule>
  </conditionalFormatting>
  <conditionalFormatting sqref="F14">
    <cfRule type="cellIs" dxfId="1" priority="1" operator="lessThan">
      <formula>0</formula>
    </cfRule>
    <cfRule type="cellIs" dxfId="0" priority="2" operator="greaterThan">
      <formula>0</formula>
    </cfRule>
  </conditionalFormatting>
  <dataValidations count="1">
    <dataValidation type="list" allowBlank="1" showInputMessage="1" showErrorMessage="1" sqref="C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Cover</vt:lpstr>
      <vt:lpstr>Data</vt:lpstr>
      <vt:lpstr>Analysis</vt:lpstr>
      <vt:lpstr>Deep dive_SEW</vt:lpstr>
      <vt:lpstr>Deep dive_SWB</vt:lpstr>
      <vt:lpstr>Deep dive_YKY</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2019-01-24T09:31:20Z</dcterms:created>
  <dcterms:modified xsi:type="dcterms:W3CDTF">2019-01-25T15:20:06Z</dcterms:modified>
  <cp:category/>
  <cp:contentStatus/>
</cp:coreProperties>
</file>