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0" yWindow="0" windowWidth="13160" windowHeight="7020" tabRatio="895"/>
  </bookViews>
  <sheets>
    <sheet name="Cover" sheetId="22" r:id="rId1"/>
    <sheet name="Data" sheetId="41" r:id="rId2"/>
    <sheet name="Analysis" sheetId="90" r:id="rId3"/>
    <sheet name="Deep dive_HDD" sheetId="86" r:id="rId4"/>
    <sheet name="Deep dive_PRT" sheetId="88" r:id="rId5"/>
    <sheet name="Deep dive_SSC" sheetId="85" r:id="rId6"/>
    <sheet name="Deep dive_WSX" sheetId="87" r:id="rId7"/>
    <sheet name="Allowance" sheetId="84" r:id="rId8"/>
  </sheets>
  <calcPr calcId="152511"/>
</workbook>
</file>

<file path=xl/calcChain.xml><?xml version="1.0" encoding="utf-8"?>
<calcChain xmlns="http://schemas.openxmlformats.org/spreadsheetml/2006/main">
  <c r="A5" i="90" l="1"/>
  <c r="A105" i="41"/>
  <c r="A104" i="41"/>
  <c r="A103" i="41"/>
  <c r="A102" i="41"/>
  <c r="A101" i="41"/>
  <c r="A100" i="41"/>
  <c r="A99" i="41"/>
  <c r="A98" i="41"/>
  <c r="A97" i="41"/>
  <c r="A96" i="41"/>
  <c r="E15" i="84" l="1"/>
  <c r="E19" i="84"/>
  <c r="E24" i="84"/>
  <c r="E16" i="84"/>
  <c r="E21" i="84"/>
  <c r="E13" i="84"/>
  <c r="E20" i="84"/>
  <c r="E26" i="84"/>
  <c r="E17" i="84"/>
  <c r="E28" i="84"/>
  <c r="E22" i="84"/>
  <c r="E23" i="84"/>
  <c r="E25" i="84"/>
  <c r="D30" i="84"/>
  <c r="E18" i="84" l="1"/>
  <c r="E14" i="84"/>
  <c r="E27" i="84"/>
  <c r="E29" i="84"/>
  <c r="F30" i="84"/>
  <c r="E30" i="84" l="1"/>
  <c r="I8" i="90" l="1"/>
  <c r="I11" i="90"/>
  <c r="I13" i="90"/>
  <c r="I19" i="90"/>
  <c r="E13" i="90" l="1"/>
  <c r="F16" i="90"/>
  <c r="C15" i="90"/>
  <c r="E15" i="90"/>
  <c r="B15" i="90"/>
  <c r="E8" i="90"/>
  <c r="F22" i="90"/>
  <c r="C13" i="90"/>
  <c r="B13" i="90"/>
  <c r="B7" i="90"/>
  <c r="B19" i="90"/>
  <c r="F12" i="90"/>
  <c r="E22" i="90"/>
  <c r="D19" i="90"/>
  <c r="D11" i="90"/>
  <c r="F13" i="90"/>
  <c r="C7" i="90"/>
  <c r="B17" i="90"/>
  <c r="F19" i="90"/>
  <c r="C22" i="90"/>
  <c r="F11" i="90"/>
  <c r="F8" i="90"/>
  <c r="B8" i="90"/>
  <c r="D8" i="90"/>
  <c r="F9" i="90"/>
  <c r="F20" i="90"/>
  <c r="D22" i="90"/>
  <c r="B21" i="90"/>
  <c r="C11" i="90"/>
  <c r="D15" i="90"/>
  <c r="C8" i="90"/>
  <c r="E11" i="90"/>
  <c r="B11" i="90"/>
  <c r="E9" i="90"/>
  <c r="E19" i="90"/>
  <c r="D13" i="90"/>
  <c r="D9" i="90"/>
  <c r="C19" i="90"/>
  <c r="G8" i="90" l="1"/>
  <c r="G19" i="90"/>
  <c r="L19" i="90" s="1"/>
  <c r="G11" i="90"/>
  <c r="G13" i="90"/>
  <c r="L13" i="90" s="1"/>
  <c r="N19" i="90" l="1"/>
  <c r="H25" i="84" s="1"/>
  <c r="C25" i="84"/>
  <c r="J8" i="90"/>
  <c r="B8" i="86"/>
  <c r="C14" i="84"/>
  <c r="J13" i="90"/>
  <c r="N13" i="90"/>
  <c r="H19" i="84" s="1"/>
  <c r="C19" i="84"/>
  <c r="J11" i="90"/>
  <c r="N11" i="90"/>
  <c r="H17" i="84" s="1"/>
  <c r="C17" i="84"/>
  <c r="J19" i="90"/>
  <c r="B9" i="86" l="1"/>
  <c r="M8" i="90" s="1"/>
  <c r="N8" i="90" s="1"/>
  <c r="H14" i="84" s="1"/>
  <c r="E7" i="90" l="1"/>
  <c r="D7" i="90"/>
  <c r="F7" i="90"/>
  <c r="G7" i="90" l="1"/>
  <c r="N7" i="90" l="1"/>
  <c r="H13" i="84" s="1"/>
  <c r="C13" i="84"/>
  <c r="B9" i="90" l="1"/>
  <c r="B14" i="90" l="1"/>
  <c r="D12" i="90"/>
  <c r="D14" i="90"/>
  <c r="E18" i="90"/>
  <c r="B16" i="90"/>
  <c r="C16" i="90"/>
  <c r="C14" i="90"/>
  <c r="F17" i="90"/>
  <c r="D21" i="90"/>
  <c r="E21" i="90"/>
  <c r="D17" i="90"/>
  <c r="B10" i="90"/>
  <c r="F21" i="90"/>
  <c r="B23" i="90"/>
  <c r="C18" i="90"/>
  <c r="D10" i="90"/>
  <c r="F10" i="90"/>
  <c r="C17" i="90"/>
  <c r="C23" i="90"/>
  <c r="C21" i="90"/>
  <c r="D23" i="90"/>
  <c r="E10" i="90"/>
  <c r="E17" i="90"/>
  <c r="E23" i="90"/>
  <c r="C10" i="90"/>
  <c r="D18" i="90"/>
  <c r="F23" i="90"/>
  <c r="E12" i="90"/>
  <c r="E14" i="90"/>
  <c r="F14" i="90"/>
  <c r="C20" i="90"/>
  <c r="D20" i="90"/>
  <c r="F18" i="90"/>
  <c r="B12" i="90"/>
  <c r="C12" i="90"/>
  <c r="D16" i="90"/>
  <c r="B20" i="90"/>
  <c r="I22" i="90"/>
  <c r="I9" i="90" l="1"/>
  <c r="I16" i="90"/>
  <c r="I14" i="90"/>
  <c r="I20" i="90"/>
  <c r="D24" i="90"/>
  <c r="I12" i="90"/>
  <c r="G10" i="90"/>
  <c r="L10" i="90" s="1"/>
  <c r="G12" i="90"/>
  <c r="L12" i="90" s="1"/>
  <c r="G23" i="90"/>
  <c r="G21" i="90"/>
  <c r="G14" i="90"/>
  <c r="G17" i="90"/>
  <c r="E16" i="90"/>
  <c r="N21" i="90" l="1"/>
  <c r="H27" i="84" s="1"/>
  <c r="C27" i="84"/>
  <c r="B8" i="85"/>
  <c r="B9" i="85" s="1"/>
  <c r="C29" i="84"/>
  <c r="N17" i="90"/>
  <c r="H23" i="84" s="1"/>
  <c r="C23" i="84"/>
  <c r="C18" i="84"/>
  <c r="J14" i="90"/>
  <c r="N14" i="90"/>
  <c r="H20" i="84" s="1"/>
  <c r="C20" i="84"/>
  <c r="N10" i="90"/>
  <c r="H16" i="84" s="1"/>
  <c r="C16" i="84"/>
  <c r="F15" i="90"/>
  <c r="B18" i="90"/>
  <c r="G18" i="90" s="1"/>
  <c r="E20" i="90"/>
  <c r="G20" i="90" s="1"/>
  <c r="B22" i="90"/>
  <c r="G16" i="90"/>
  <c r="J12" i="90"/>
  <c r="N12" i="90"/>
  <c r="H18" i="84" s="1"/>
  <c r="J16" i="90" l="1"/>
  <c r="B8" i="87"/>
  <c r="B9" i="87" s="1"/>
  <c r="C22" i="84"/>
  <c r="G22" i="84" s="1"/>
  <c r="G15" i="90"/>
  <c r="L15" i="90" s="1"/>
  <c r="F24" i="90"/>
  <c r="G22" i="90"/>
  <c r="J22" i="90" s="1"/>
  <c r="B24" i="90"/>
  <c r="N18" i="90"/>
  <c r="H24" i="84" s="1"/>
  <c r="C24" i="84"/>
  <c r="G24" i="84" s="1"/>
  <c r="J20" i="90"/>
  <c r="B8" i="88"/>
  <c r="B9" i="88" s="1"/>
  <c r="M20" i="90" s="1"/>
  <c r="N20" i="90" s="1"/>
  <c r="H26" i="84" s="1"/>
  <c r="C26" i="84"/>
  <c r="G26" i="84" s="1"/>
  <c r="E24" i="90"/>
  <c r="C9" i="90"/>
  <c r="G23" i="84"/>
  <c r="G17" i="84"/>
  <c r="G9" i="90" l="1"/>
  <c r="L9" i="90" s="1"/>
  <c r="C24" i="90"/>
  <c r="N15" i="90"/>
  <c r="H21" i="84" s="1"/>
  <c r="C21" i="84"/>
  <c r="G21" i="84" s="1"/>
  <c r="N22" i="90"/>
  <c r="H28" i="84" s="1"/>
  <c r="C28" i="84"/>
  <c r="G28" i="84" s="1"/>
  <c r="G18" i="84"/>
  <c r="G14" i="84"/>
  <c r="G25" i="84"/>
  <c r="G27" i="84"/>
  <c r="G19" i="84"/>
  <c r="G29" i="84"/>
  <c r="G16" i="84"/>
  <c r="G20" i="84"/>
  <c r="N9" i="90" l="1"/>
  <c r="H15" i="84" s="1"/>
  <c r="C15" i="84"/>
  <c r="G24" i="90"/>
  <c r="J9" i="90"/>
  <c r="I18" i="84"/>
  <c r="L18" i="84" s="1"/>
  <c r="K18" i="84" l="1"/>
  <c r="G15" i="84"/>
  <c r="I14" i="84"/>
  <c r="G13" i="84"/>
  <c r="M16" i="90"/>
  <c r="N16" i="90" s="1"/>
  <c r="M23" i="90"/>
  <c r="N23" i="90" s="1"/>
  <c r="H29" i="84" s="1"/>
  <c r="H22" i="84" l="1"/>
  <c r="N24" i="90"/>
  <c r="C30" i="84"/>
  <c r="G30" i="84"/>
  <c r="L14" i="84"/>
  <c r="K14" i="84"/>
  <c r="I13" i="84" l="1"/>
  <c r="L13" i="84" l="1"/>
  <c r="I18" i="90" l="1"/>
  <c r="J18" i="90" s="1"/>
  <c r="I17" i="90" l="1"/>
  <c r="J17" i="90" s="1"/>
  <c r="I23" i="90" l="1"/>
  <c r="J23" i="90" s="1"/>
  <c r="I10" i="90" l="1"/>
  <c r="J10" i="90" s="1"/>
  <c r="I7" i="90" l="1"/>
  <c r="J7" i="90" l="1"/>
  <c r="I15" i="90" l="1"/>
  <c r="J15" i="90" l="1"/>
  <c r="I21" i="90" l="1"/>
  <c r="J21" i="90" l="1"/>
  <c r="I24" i="90"/>
  <c r="J24" i="90" s="1"/>
  <c r="I15" i="84" l="1"/>
  <c r="I24" i="84"/>
  <c r="I26" i="84"/>
  <c r="I17" i="84"/>
  <c r="I23" i="84"/>
  <c r="L26" i="84" l="1"/>
  <c r="K26" i="84"/>
  <c r="K24" i="84"/>
  <c r="L24" i="84"/>
  <c r="L23" i="84"/>
  <c r="K23" i="84"/>
  <c r="L15" i="84"/>
  <c r="K15" i="84"/>
  <c r="L17" i="84"/>
  <c r="K17" i="84"/>
  <c r="I20" i="84"/>
  <c r="I29" i="84"/>
  <c r="I16" i="84"/>
  <c r="I22" i="84"/>
  <c r="I27" i="84"/>
  <c r="I25" i="84"/>
  <c r="I28" i="84"/>
  <c r="I19" i="84"/>
  <c r="I21" i="84"/>
  <c r="I30" i="84" l="1"/>
  <c r="L25" i="84"/>
  <c r="K25" i="84"/>
  <c r="L27" i="84"/>
  <c r="K27" i="84"/>
  <c r="L29" i="84"/>
  <c r="K29" i="84"/>
  <c r="L28" i="84"/>
  <c r="K28" i="84"/>
  <c r="L16" i="84"/>
  <c r="K16" i="84"/>
  <c r="L21" i="84"/>
  <c r="K21" i="84"/>
  <c r="L19" i="84"/>
  <c r="K19" i="84"/>
  <c r="K22" i="84"/>
  <c r="L22" i="84"/>
  <c r="K20" i="84"/>
  <c r="L20" i="84"/>
  <c r="H30" i="84" l="1"/>
  <c r="K13" i="84" l="1"/>
  <c r="K30" i="84" s="1"/>
  <c r="L30" i="84"/>
</calcChain>
</file>

<file path=xl/sharedStrings.xml><?xml version="1.0" encoding="utf-8"?>
<sst xmlns="http://schemas.openxmlformats.org/spreadsheetml/2006/main" count="441" uniqueCount="207">
  <si>
    <t>Totex</t>
  </si>
  <si>
    <t>ANH</t>
  </si>
  <si>
    <t>NES</t>
  </si>
  <si>
    <t>NWT</t>
  </si>
  <si>
    <t>SRN</t>
  </si>
  <si>
    <t>SVT</t>
  </si>
  <si>
    <t>SWB</t>
  </si>
  <si>
    <t>TMS</t>
  </si>
  <si>
    <t>WSH</t>
  </si>
  <si>
    <t>WSX</t>
  </si>
  <si>
    <t>YKY</t>
  </si>
  <si>
    <t>AFW</t>
  </si>
  <si>
    <t>BRL</t>
  </si>
  <si>
    <t>DVW</t>
  </si>
  <si>
    <t>PRT</t>
  </si>
  <si>
    <t>SES</t>
  </si>
  <si>
    <t>SEW</t>
  </si>
  <si>
    <t>SSC</t>
  </si>
  <si>
    <t>Company</t>
  </si>
  <si>
    <t>Assessor's name</t>
  </si>
  <si>
    <t>Peer review (initials, date and QA log ref.)</t>
  </si>
  <si>
    <t>Control</t>
  </si>
  <si>
    <t>WS2002CAW</t>
  </si>
  <si>
    <t>Wholesale water</t>
  </si>
  <si>
    <t>Shallow dive</t>
  </si>
  <si>
    <t>BWH</t>
  </si>
  <si>
    <t>ANH21</t>
  </si>
  <si>
    <t>ANH22</t>
  </si>
  <si>
    <t>ANH23</t>
  </si>
  <si>
    <t>ANH24</t>
  </si>
  <si>
    <t>ANH25</t>
  </si>
  <si>
    <t>NES21</t>
  </si>
  <si>
    <t>NES22</t>
  </si>
  <si>
    <t>NES23</t>
  </si>
  <si>
    <t>NES24</t>
  </si>
  <si>
    <t>NES25</t>
  </si>
  <si>
    <t>NWT21</t>
  </si>
  <si>
    <t>NWT22</t>
  </si>
  <si>
    <t>NWT23</t>
  </si>
  <si>
    <t>NWT24</t>
  </si>
  <si>
    <t>NWT25</t>
  </si>
  <si>
    <t>SRN21</t>
  </si>
  <si>
    <t>SRN22</t>
  </si>
  <si>
    <t>SRN23</t>
  </si>
  <si>
    <t>SRN24</t>
  </si>
  <si>
    <t>SRN25</t>
  </si>
  <si>
    <t>SVT21</t>
  </si>
  <si>
    <t>SVT22</t>
  </si>
  <si>
    <t>SVT23</t>
  </si>
  <si>
    <t>SVT24</t>
  </si>
  <si>
    <t>SVT25</t>
  </si>
  <si>
    <t>SWB21</t>
  </si>
  <si>
    <t>SWB22</t>
  </si>
  <si>
    <t>SWB23</t>
  </si>
  <si>
    <t>SWB24</t>
  </si>
  <si>
    <t>SWB25</t>
  </si>
  <si>
    <t>TMS21</t>
  </si>
  <si>
    <t>TMS22</t>
  </si>
  <si>
    <t>TMS23</t>
  </si>
  <si>
    <t>TMS24</t>
  </si>
  <si>
    <t>TMS25</t>
  </si>
  <si>
    <t>WSH21</t>
  </si>
  <si>
    <t>WSH22</t>
  </si>
  <si>
    <t>WSH23</t>
  </si>
  <si>
    <t>WSH24</t>
  </si>
  <si>
    <t>WSH25</t>
  </si>
  <si>
    <t>WSX21</t>
  </si>
  <si>
    <t>WSX22</t>
  </si>
  <si>
    <t>WSX23</t>
  </si>
  <si>
    <t>WSX24</t>
  </si>
  <si>
    <t>WSX25</t>
  </si>
  <si>
    <t>YKY21</t>
  </si>
  <si>
    <t>YKY22</t>
  </si>
  <si>
    <t>YKY23</t>
  </si>
  <si>
    <t>YKY24</t>
  </si>
  <si>
    <t>YKY25</t>
  </si>
  <si>
    <t>AFW21</t>
  </si>
  <si>
    <t>AFW22</t>
  </si>
  <si>
    <t>AFW23</t>
  </si>
  <si>
    <t>AFW24</t>
  </si>
  <si>
    <t>AFW25</t>
  </si>
  <si>
    <t>BRL21</t>
  </si>
  <si>
    <t>BRL22</t>
  </si>
  <si>
    <t>BRL23</t>
  </si>
  <si>
    <t>BRL24</t>
  </si>
  <si>
    <t>BRL25</t>
  </si>
  <si>
    <t>BWH21</t>
  </si>
  <si>
    <t>BWH22</t>
  </si>
  <si>
    <t>BWH23</t>
  </si>
  <si>
    <t>BWH24</t>
  </si>
  <si>
    <t>BWH25</t>
  </si>
  <si>
    <t>DVW21</t>
  </si>
  <si>
    <t>DVW22</t>
  </si>
  <si>
    <t>DVW23</t>
  </si>
  <si>
    <t>DVW24</t>
  </si>
  <si>
    <t>DVW25</t>
  </si>
  <si>
    <t>PRT21</t>
  </si>
  <si>
    <t>PRT22</t>
  </si>
  <si>
    <t>PRT23</t>
  </si>
  <si>
    <t>PRT24</t>
  </si>
  <si>
    <t>PRT25</t>
  </si>
  <si>
    <t>SES21</t>
  </si>
  <si>
    <t>SES22</t>
  </si>
  <si>
    <t>SES23</t>
  </si>
  <si>
    <t>SES24</t>
  </si>
  <si>
    <t>SES25</t>
  </si>
  <si>
    <t>SEW21</t>
  </si>
  <si>
    <t>SEW22</t>
  </si>
  <si>
    <t>SEW23</t>
  </si>
  <si>
    <t>SEW24</t>
  </si>
  <si>
    <t>SEW25</t>
  </si>
  <si>
    <t>SSC21</t>
  </si>
  <si>
    <t>SSC22</t>
  </si>
  <si>
    <t>SSC23</t>
  </si>
  <si>
    <t>SSC24</t>
  </si>
  <si>
    <t>SSC25</t>
  </si>
  <si>
    <t>SVE</t>
  </si>
  <si>
    <t>HDD</t>
  </si>
  <si>
    <t>realW3026TECAW</t>
  </si>
  <si>
    <t>realWS2002CAW</t>
  </si>
  <si>
    <t>Cover sheet</t>
  </si>
  <si>
    <t>Data</t>
  </si>
  <si>
    <t>Materiality</t>
  </si>
  <si>
    <t>Approach</t>
  </si>
  <si>
    <t xml:space="preserve">Allowed costs </t>
  </si>
  <si>
    <t>Peer review (initials, date)</t>
  </si>
  <si>
    <t>BoN code</t>
  </si>
  <si>
    <t>Enhancement line</t>
  </si>
  <si>
    <t>Cost allowance for AMP7 (£m)</t>
  </si>
  <si>
    <t>Capex allowed - network plus</t>
  </si>
  <si>
    <t>Total</t>
  </si>
  <si>
    <t>Capex in business plan - wholesale water</t>
  </si>
  <si>
    <t>Capex allowed - wholesale water</t>
  </si>
  <si>
    <t>Proportion of water resources</t>
  </si>
  <si>
    <t>Capex allowed - water resources</t>
  </si>
  <si>
    <t>Capex carried through deep dive AMP7  (£m)</t>
  </si>
  <si>
    <t>Assessment gates</t>
  </si>
  <si>
    <t>References</t>
  </si>
  <si>
    <t>Need for investment</t>
  </si>
  <si>
    <t>Need for adjustment</t>
  </si>
  <si>
    <t>Management control</t>
  </si>
  <si>
    <t>Best option for customers</t>
  </si>
  <si>
    <t>Pass</t>
  </si>
  <si>
    <t>Robustness and efficiency of costs</t>
  </si>
  <si>
    <t>Fail</t>
  </si>
  <si>
    <t>Customer protection</t>
  </si>
  <si>
    <t>Affordability</t>
  </si>
  <si>
    <t>Board assurance</t>
  </si>
  <si>
    <t>Ofwat view of allowance for AMP7 (£m)</t>
  </si>
  <si>
    <t>App A29 Capital investment to deliver a class leading service, p84</t>
  </si>
  <si>
    <t>Scheme need and expenditure agreed with EA</t>
  </si>
  <si>
    <t>App A29 Capital investment to deliver a class leading service, p85</t>
  </si>
  <si>
    <t>9.11.9 RP084 - Eel Screens</t>
  </si>
  <si>
    <t>Partial pass</t>
  </si>
  <si>
    <t>Statutory requirement</t>
  </si>
  <si>
    <t>Appendix 4 Enhancement business cases and cost adjustment claims, p24</t>
  </si>
  <si>
    <t>Appendix 4 Enhancement business cases and cost adjustment claims, p25</t>
  </si>
  <si>
    <t>Position Paper: AMP7_PPA_0101 - Environmental Studies (Eel)v2
WINEP3</t>
  </si>
  <si>
    <t>Appendix 4 Enhancement business cases and cost adjustment claims, p22 and 23
WINEP3</t>
  </si>
  <si>
    <t>05.01 - Protecting and enhancing the environment, p156
WINEP3</t>
  </si>
  <si>
    <t>05.01 - Protecting and enhancing the environment, p162</t>
  </si>
  <si>
    <t>05.01 - Protecting and enhancing the environment, p165</t>
  </si>
  <si>
    <t>Referencing performance commitment and ODI</t>
  </si>
  <si>
    <t>Capex reallocated out to other lines</t>
  </si>
  <si>
    <t>Capex reallocated in to this line</t>
  </si>
  <si>
    <t>Net Capex reallocated in</t>
  </si>
  <si>
    <t>Deep dive</t>
  </si>
  <si>
    <t>HDD state that "The estimate for the eels screen is derived from an independent bottom up quotation to the required intervention. This used rates from the SPON’s Civil engineering &amp; Highway Works Price Book and specialist budget quotations for the screen, mechanical and electrical components. Additional add on costs were then estimated using specific multipliers of the construction costs". However, no breakdown of scope and costs can be identified.</t>
  </si>
  <si>
    <t>PRT notes that they have had extensive dialogue with EA as cost not proportional to risk. But are obliged to resolve and worked with EA on least cost solution.</t>
  </si>
  <si>
    <t>No evidence identified.</t>
  </si>
  <si>
    <t>No specifics given. General reference to AMP6 scheme costs, previous estimates or industry knowledge.</t>
  </si>
  <si>
    <t>Focus is on high risk for eel entrainment. Three other sites identified but deemed lower risk, and notes improvement should only be completed as part of other works being completed at these sites.</t>
  </si>
  <si>
    <t xml:space="preserve">20% challenge applied due to we are unsighted on the optioneering that was carried out, whether the proposed solution is the best option for customers, the lack of detail of solution scope and any cost buildup. Consistent with other deep dive challenges applied. </t>
  </si>
  <si>
    <t>9.11.9 RP084 - Eel Screens, specifically Appendix 4: 0101.RP084 - Eel Screens at Itchen WLC 19Jun17.xls</t>
  </si>
  <si>
    <t>No information is evident regarding least cost solution for customers</t>
  </si>
  <si>
    <t>05.01 - Protecting and enhancing the environment, p161/5
05.01E - APEM - Investigations - cost assurance</t>
  </si>
  <si>
    <t>Eels Regulations (measures at intakes)</t>
  </si>
  <si>
    <t>Deep dive sheet - HDD</t>
  </si>
  <si>
    <t>N/A</t>
  </si>
  <si>
    <t>Summary</t>
  </si>
  <si>
    <t>Deep dive sheet - South Staffs</t>
  </si>
  <si>
    <t>Deep dive sheet - Portsmouth Water</t>
  </si>
  <si>
    <t>Deep dive sheet - Wessex Water</t>
  </si>
  <si>
    <t>£m 2017-18 prices</t>
  </si>
  <si>
    <t>Year</t>
  </si>
  <si>
    <t>Code</t>
  </si>
  <si>
    <t>Capex WINEP / NEP ~ Eels Regulations (measures at intakes)</t>
  </si>
  <si>
    <t>Wholesale water totex</t>
  </si>
  <si>
    <t>Materiality analysis and determination of allowance</t>
  </si>
  <si>
    <t>Shallow dive allowance</t>
  </si>
  <si>
    <t>Deep dive allowance</t>
  </si>
  <si>
    <t>Final allowance</t>
  </si>
  <si>
    <t>WINEP3  identifies two schemes, both are GREEN
- WSX00005 Albert street B&amp;T canal intake eels with delivery March 2022, 7.6km river improved
- WSX00840 Rive Yeo at Clifton Maybank with delivery by March 2025, 3.5km river improved
WSX expenditure is programmed for Yr1, but is not disaggregated to each scheme</t>
  </si>
  <si>
    <t>Deducting "risk cost" of £0.53m per argument in 'robustness and efficiency of costs' gate below</t>
  </si>
  <si>
    <t>Statutory requirement. Scheme need and expenditure agreed with EA</t>
  </si>
  <si>
    <t>WINEP3 identifies GMC00504 at Barrelwell Hill Green high priority and completion date is 31/03/2025. HDD have money phased equally in Yr 1 and 2.
HDD comment "required to install a screen at the Bangor on Dee Intake" and .... "engineered and costed the necessary solution. We are proposing to install a Hydrolox band screen on the existing intake structure. The band screen has been designed for a maximum flow of 52.4Ml/day (0.61m3/s), in line with the capacity of the intake".
Assume EA's Barrelwell Hill Green (googled and is on Dee at Chester) and HDD's Bangor are the same scheme.
WINEP3 does not quantify km river length improved.</t>
  </si>
  <si>
    <t>Capex after reallocations</t>
  </si>
  <si>
    <t>Modelled allowance</t>
  </si>
  <si>
    <t>2 - South Staffs Water final business plan 2020 to 2025 3 Sept 2018 p137,153
EA WINEP3
SSC-IAP-CA-009</t>
  </si>
  <si>
    <t>PM</t>
  </si>
  <si>
    <t>AF 23/01/19</t>
  </si>
  <si>
    <r>
      <t xml:space="preserve">WINEP3 identifies SSD00042 Gaters Mill Eel Screens, </t>
    </r>
    <r>
      <rPr>
        <sz val="10"/>
        <rFont val="Calibri"/>
        <family val="2"/>
        <scheme val="minor"/>
      </rPr>
      <t>Green</t>
    </r>
    <r>
      <rPr>
        <sz val="10"/>
        <color theme="1"/>
        <rFont val="Calibri"/>
        <family val="2"/>
        <scheme val="minor"/>
      </rPr>
      <t xml:space="preserve"> high priority and completion date is 31/03/2021 as this is when the Eels Regulations time limited exemption expires.
101 - Investment to address Environmental Studies Habitats Directive &amp; NEP.  The scope of the works is to provide eel screens to protect the abstraction at Itchen river intake (£2,264k).
WINEP3 quantifies river length improved as 2.6km.
PRT have used and updated the 18 May CAC they submitted - Ofwat rejected this CAC and PRT have correctly included the expenditure in the appropriate Enhancement line.</t>
    </r>
  </si>
  <si>
    <t xml:space="preserve">Detailed breakdown of costs provided in Appendix 4 of reference document. External QS, TR61 cost estimate tool and technical solution input from Hydrolox. Basic cost is £1.45m, with risk cost of £0.53m for screen extension/coffer dam and then on-costs (7.5% contingency and 6.5% management and supervision). We consider that the Risk Cost (£0.53m) for the any screen extension could be fully negated through thorough up front inspection and design. </t>
  </si>
  <si>
    <t>PRT are noting possible penalty if statutory obligation is not delivered, with ongoing EA negotiations - that remain confidential.</t>
  </si>
  <si>
    <r>
      <t xml:space="preserve">Generic comment 'including almost £3 million to be compliant with the Eels (England and Wales) Regulations (2009)', there is no detail provided about what the scheme/s are and the solutions to them.
As no scope is explained there is no cost build up provided either.
WINEP3  identifies WMD00038  Nethertown Trent Abstraction as the only scheme </t>
    </r>
    <r>
      <rPr>
        <sz val="10"/>
        <rFont val="Calibri"/>
        <family val="2"/>
        <scheme val="minor"/>
      </rPr>
      <t>(GREEN)</t>
    </r>
    <r>
      <rPr>
        <sz val="10"/>
        <color theme="1"/>
        <rFont val="Calibri"/>
        <family val="2"/>
        <scheme val="minor"/>
      </rPr>
      <t xml:space="preserve"> for delivery by March 2025 and notes that Nethertown was in PR14 as an E1 Driver for screening however did not include the Trent abstraction.  As Nethertown is undergoing considerable capital works in PR19 it would be advantageous to also include the Trent Abstraction point. (Discussed with South Staffs 10/08/17). Nethertown abstraction is associated with Blithfield reservoir and Seedy Mill WTW.
However the SSC investment is forecast for 2020/21, this £2.9m expenditure is likely to be associated with the need for Eel screens for Hampton Loade WTW on the River Severn.  However WINEP3 does not identify HLTW as a scheme nor does WINEP2.
WINEP3 quantifies river length improved as 21km for Nethertown Trent Abstraction.
Query SSC-IAP-CA-009 was raised 10/1/19. SSC provided additional scheme information for completion in Yr1 AMP7.  This information is not reflected in the EA WINEP3.  </t>
    </r>
  </si>
  <si>
    <t>WSX notes: 'For those sites found not to be compliant, screen improvements were costed subject to the Environment Agency’s cost benefit assessment', we have not been able to locate assessment examples.
WSX Engineering appraisal of the two eel passage schemes, using both in-house Wessex Water estimating teams and external advice from APEM (however it is not apparent that the APEM letter includes eels in scope).  External cost assessment from specialist contractors – APEM and ESI. However no scope and cost breakdowns identified.</t>
  </si>
  <si>
    <t xml:space="preserve">20% challenge applied due to we are unsighted on the optioneering that was carried out, whether the proposed solution is the best option for customers, the lack of detail of solution scope and any cost build-up. Consistent with other deep dive challenges applied.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</si>
</sst>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00"/>
    <numFmt numFmtId="166" formatCode="#,##0_);\(#,##0\);&quot;-  &quot;;&quot; &quot;@&quot; &quot;"/>
    <numFmt numFmtId="167" formatCode="_-* #,##0.000_-;\-* #,##0.000_-;_-* &quot;-&quot;??_-;_-@_-"/>
    <numFmt numFmtId="168" formatCode="_(* #,##0.0_);_(* \(#,##0.0\);_(* &quot;-&quot;??_);_(@_)"/>
    <numFmt numFmtId="169" formatCode="_(* #,##0_);_(* \(#,##0\);_(* &quot;-&quot;??_);_(@_)"/>
    <numFmt numFmtId="170" formatCode="_(* #,##0.000_);_(* \(#,##0.000\);_(* &quot;-&quot;??_);_(@_)"/>
  </numFmts>
  <fonts count="31"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1"/>
      <color indexed="8"/>
      <name val="Calibri"/>
      <family val="2"/>
      <scheme val="minor"/>
    </font>
    <font>
      <sz val="11"/>
      <color theme="1"/>
      <name val="Calibri"/>
      <family val="2"/>
      <scheme val="minor"/>
    </font>
    <font>
      <b/>
      <sz val="14"/>
      <color theme="1"/>
      <name val="Calibri"/>
      <family val="2"/>
      <scheme val="minor"/>
    </font>
    <font>
      <b/>
      <sz val="14"/>
      <color theme="1"/>
      <name val="Gill Sans MT"/>
      <family val="2"/>
    </font>
    <font>
      <sz val="10"/>
      <color theme="1"/>
      <name val="Gill Sans MT"/>
      <family val="2"/>
    </font>
    <font>
      <b/>
      <sz val="10"/>
      <color theme="1"/>
      <name val="Gill Sans MT"/>
      <family val="2"/>
    </font>
    <font>
      <b/>
      <sz val="10"/>
      <name val="Gill Sans MT"/>
      <family val="2"/>
    </font>
    <font>
      <sz val="10"/>
      <name val="Gill Sans MT"/>
      <family val="2"/>
    </font>
    <font>
      <sz val="10"/>
      <color theme="1"/>
      <name val="Calibri"/>
      <family val="2"/>
      <scheme val="minor"/>
    </font>
    <font>
      <sz val="9"/>
      <name val="Gill Sans MT"/>
      <family val="2"/>
    </font>
    <font>
      <sz val="11"/>
      <color theme="1"/>
      <name val="Gill Sans MT"/>
      <family val="2"/>
    </font>
    <font>
      <i/>
      <sz val="11"/>
      <color rgb="FF7F7F7F"/>
      <name val="Arial"/>
      <family val="2"/>
    </font>
    <font>
      <b/>
      <sz val="10"/>
      <color theme="1"/>
      <name val="Calibri"/>
      <family val="2"/>
      <scheme val="minor"/>
    </font>
    <font>
      <i/>
      <sz val="10"/>
      <color rgb="FF7F7F7F"/>
      <name val="Calibri"/>
      <family val="2"/>
      <scheme val="minor"/>
    </font>
    <font>
      <b/>
      <sz val="10"/>
      <name val="Calibri"/>
      <family val="2"/>
      <scheme val="minor"/>
    </font>
    <font>
      <sz val="12"/>
      <color theme="3"/>
      <name val="Calibri"/>
      <family val="2"/>
      <scheme val="minor"/>
    </font>
    <font>
      <sz val="14"/>
      <color theme="3"/>
      <name val="Calibri"/>
      <family val="2"/>
      <scheme val="minor"/>
    </font>
    <font>
      <b/>
      <sz val="14"/>
      <color theme="3"/>
      <name val="Calibri"/>
      <family val="2"/>
      <scheme val="minor"/>
    </font>
    <font>
      <b/>
      <sz val="10"/>
      <color theme="3"/>
      <name val="Calibri"/>
      <family val="2"/>
      <scheme val="minor"/>
    </font>
    <font>
      <sz val="10"/>
      <name val="Calibri"/>
      <family val="2"/>
      <scheme val="minor"/>
    </font>
    <font>
      <b/>
      <i/>
      <sz val="10"/>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theme="0" tint="-0.499984740745262"/>
      </bottom>
      <diagonal/>
    </border>
  </borders>
  <cellStyleXfs count="22">
    <xf numFmtId="0" fontId="0" fillId="0" borderId="0"/>
    <xf numFmtId="0" fontId="9" fillId="0" borderId="0"/>
    <xf numFmtId="0" fontId="8" fillId="0" borderId="0"/>
    <xf numFmtId="0" fontId="10" fillId="0" borderId="0"/>
    <xf numFmtId="0" fontId="11" fillId="0" borderId="0"/>
    <xf numFmtId="0" fontId="7" fillId="0" borderId="0"/>
    <xf numFmtId="164" fontId="11" fillId="0" borderId="0" applyFont="0" applyFill="0" applyBorder="0" applyAlignment="0" applyProtection="0"/>
    <xf numFmtId="9" fontId="11" fillId="0" borderId="0" applyFont="0" applyFill="0" applyBorder="0" applyAlignment="0" applyProtection="0"/>
    <xf numFmtId="0" fontId="6" fillId="0" borderId="0"/>
    <xf numFmtId="166" fontId="5" fillId="0" borderId="0" applyFont="0" applyFill="0" applyBorder="0" applyProtection="0">
      <alignment vertical="top"/>
    </xf>
    <xf numFmtId="0" fontId="11" fillId="0" borderId="0"/>
    <xf numFmtId="164" fontId="11" fillId="0" borderId="0" applyFont="0" applyFill="0" applyBorder="0" applyAlignment="0" applyProtection="0"/>
    <xf numFmtId="0" fontId="4" fillId="0" borderId="0"/>
    <xf numFmtId="0" fontId="3" fillId="0" borderId="0"/>
    <xf numFmtId="0" fontId="3" fillId="0" borderId="0"/>
    <xf numFmtId="164" fontId="11" fillId="0" borderId="0" applyFont="0" applyFill="0" applyBorder="0" applyAlignment="0" applyProtection="0"/>
    <xf numFmtId="0" fontId="11" fillId="0" borderId="0"/>
    <xf numFmtId="0" fontId="2" fillId="0" borderId="0"/>
    <xf numFmtId="0" fontId="21" fillId="0" borderId="0" applyNumberForma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84">
    <xf numFmtId="0" fontId="0" fillId="0" borderId="0" xfId="0"/>
    <xf numFmtId="0" fontId="13" fillId="3" borderId="0" xfId="10" applyFont="1" applyFill="1" applyAlignment="1">
      <alignment vertical="center"/>
    </xf>
    <xf numFmtId="0" fontId="14" fillId="0" borderId="0" xfId="0" applyFont="1"/>
    <xf numFmtId="0" fontId="17" fillId="0" borderId="0" xfId="0" applyFont="1"/>
    <xf numFmtId="0" fontId="15" fillId="0" borderId="0" xfId="0" applyFont="1"/>
    <xf numFmtId="0" fontId="12" fillId="3" borderId="0" xfId="10" applyFont="1" applyFill="1" applyAlignment="1">
      <alignment vertical="center"/>
    </xf>
    <xf numFmtId="0" fontId="18" fillId="0" borderId="0" xfId="0" applyFont="1"/>
    <xf numFmtId="0" fontId="13" fillId="0" borderId="0" xfId="10" applyFont="1" applyAlignment="1">
      <alignment vertical="center"/>
    </xf>
    <xf numFmtId="0" fontId="16" fillId="0" borderId="0" xfId="0" applyFont="1"/>
    <xf numFmtId="0" fontId="17" fillId="0" borderId="0" xfId="1" applyFont="1"/>
    <xf numFmtId="0" fontId="18" fillId="0" borderId="1" xfId="0" applyFont="1" applyBorder="1" applyAlignment="1">
      <alignment vertical="center"/>
    </xf>
    <xf numFmtId="0" fontId="13" fillId="3" borderId="2" xfId="10" applyFont="1" applyFill="1" applyBorder="1"/>
    <xf numFmtId="0" fontId="19" fillId="3" borderId="5" xfId="1" applyFont="1" applyFill="1" applyBorder="1"/>
    <xf numFmtId="0" fontId="20" fillId="0" borderId="0" xfId="0" applyFont="1"/>
    <xf numFmtId="0" fontId="20" fillId="0" borderId="0" xfId="0" applyFont="1" applyAlignment="1">
      <alignment horizontal="center" vertical="center"/>
    </xf>
    <xf numFmtId="0" fontId="12" fillId="3" borderId="0" xfId="0" applyFont="1" applyFill="1"/>
    <xf numFmtId="0" fontId="22" fillId="0" borderId="0" xfId="0" applyFont="1"/>
    <xf numFmtId="0" fontId="22" fillId="2" borderId="1" xfId="0" applyFont="1" applyFill="1" applyBorder="1" applyAlignment="1">
      <alignment horizontal="left" wrapText="1"/>
    </xf>
    <xf numFmtId="0" fontId="22" fillId="2" borderId="1" xfId="0" quotePrefix="1" applyFont="1" applyFill="1" applyBorder="1" applyAlignment="1">
      <alignment horizontal="left" wrapText="1"/>
    </xf>
    <xf numFmtId="0" fontId="22" fillId="6" borderId="1" xfId="0" applyFont="1" applyFill="1" applyBorder="1" applyAlignment="1">
      <alignment horizontal="left" wrapText="1"/>
    </xf>
    <xf numFmtId="0" fontId="22" fillId="3" borderId="0" xfId="0" applyFont="1" applyFill="1"/>
    <xf numFmtId="0" fontId="18" fillId="5" borderId="1" xfId="0" applyFont="1" applyFill="1" applyBorder="1" applyAlignment="1">
      <alignment horizontal="left"/>
    </xf>
    <xf numFmtId="0" fontId="18" fillId="0" borderId="1" xfId="0" applyFont="1" applyBorder="1" applyAlignment="1"/>
    <xf numFmtId="0" fontId="18" fillId="0" borderId="0" xfId="0" applyFont="1" applyBorder="1" applyAlignment="1"/>
    <xf numFmtId="14" fontId="18" fillId="0" borderId="1" xfId="0" applyNumberFormat="1" applyFont="1" applyBorder="1"/>
    <xf numFmtId="0" fontId="18" fillId="0" borderId="0" xfId="0" applyFont="1" applyBorder="1"/>
    <xf numFmtId="0" fontId="18" fillId="0" borderId="0" xfId="0" applyFont="1" applyBorder="1" applyAlignment="1" applyProtection="1">
      <alignment horizontal="left"/>
      <protection locked="0"/>
    </xf>
    <xf numFmtId="0" fontId="23" fillId="0" borderId="0" xfId="18" applyFont="1"/>
    <xf numFmtId="14" fontId="18" fillId="0" borderId="0" xfId="0" applyNumberFormat="1" applyFont="1" applyBorder="1" applyAlignment="1" applyProtection="1">
      <alignment horizontal="left"/>
      <protection locked="0"/>
    </xf>
    <xf numFmtId="0" fontId="18" fillId="0" borderId="6" xfId="0" applyFont="1" applyBorder="1" applyAlignment="1">
      <alignment vertical="top"/>
    </xf>
    <xf numFmtId="0" fontId="18" fillId="0" borderId="6" xfId="0" applyFont="1" applyBorder="1" applyAlignment="1"/>
    <xf numFmtId="0" fontId="18" fillId="0" borderId="0" xfId="0" applyFont="1" applyFill="1"/>
    <xf numFmtId="0" fontId="18" fillId="0" borderId="1" xfId="19" applyFont="1" applyBorder="1" applyAlignment="1">
      <alignment horizontal="center"/>
    </xf>
    <xf numFmtId="0" fontId="18" fillId="0" borderId="1" xfId="19" applyFont="1" applyBorder="1"/>
    <xf numFmtId="167" fontId="18" fillId="0" borderId="1" xfId="6" applyNumberFormat="1" applyFont="1" applyBorder="1"/>
    <xf numFmtId="167" fontId="18" fillId="6" borderId="1" xfId="6" applyNumberFormat="1" applyFont="1" applyFill="1" applyBorder="1"/>
    <xf numFmtId="0" fontId="22" fillId="0" borderId="1" xfId="19" applyFont="1" applyBorder="1"/>
    <xf numFmtId="167" fontId="24" fillId="0" borderId="1" xfId="6" applyNumberFormat="1" applyFont="1" applyBorder="1"/>
    <xf numFmtId="0" fontId="18" fillId="0" borderId="0" xfId="0" applyFont="1" applyAlignment="1">
      <alignment vertical="center"/>
    </xf>
    <xf numFmtId="0" fontId="18" fillId="0" borderId="0" xfId="0" applyFont="1" applyAlignment="1">
      <alignment vertical="top" wrapText="1"/>
    </xf>
    <xf numFmtId="2" fontId="18" fillId="0" borderId="1" xfId="0" applyNumberFormat="1" applyFont="1" applyFill="1" applyBorder="1" applyAlignment="1">
      <alignment vertical="center"/>
    </xf>
    <xf numFmtId="2" fontId="18" fillId="0" borderId="1" xfId="16" applyNumberFormat="1" applyFont="1" applyFill="1" applyBorder="1" applyAlignment="1">
      <alignment vertical="center"/>
    </xf>
    <xf numFmtId="0" fontId="18" fillId="0" borderId="1" xfId="0" applyFont="1" applyFill="1" applyBorder="1" applyAlignment="1">
      <alignment vertical="center"/>
    </xf>
    <xf numFmtId="4" fontId="18" fillId="0" borderId="0" xfId="0" applyNumberFormat="1" applyFont="1" applyAlignment="1">
      <alignment vertical="center"/>
    </xf>
    <xf numFmtId="4" fontId="18" fillId="0" borderId="0" xfId="0" applyNumberFormat="1" applyFont="1"/>
    <xf numFmtId="0" fontId="25" fillId="0" borderId="0" xfId="0" applyFont="1" applyAlignment="1">
      <alignment vertical="center"/>
    </xf>
    <xf numFmtId="0" fontId="26" fillId="0" borderId="0" xfId="0" applyFont="1" applyAlignment="1">
      <alignment vertical="center"/>
    </xf>
    <xf numFmtId="0" fontId="18" fillId="4" borderId="1" xfId="0" applyFont="1" applyFill="1" applyBorder="1" applyAlignment="1">
      <alignment vertical="top" wrapText="1"/>
    </xf>
    <xf numFmtId="169" fontId="18" fillId="0" borderId="1" xfId="6" applyNumberFormat="1" applyFont="1" applyBorder="1" applyAlignment="1">
      <alignment vertical="center"/>
    </xf>
    <xf numFmtId="0" fontId="27" fillId="0" borderId="0" xfId="0" applyFont="1" applyAlignment="1">
      <alignment vertical="center"/>
    </xf>
    <xf numFmtId="0" fontId="22" fillId="2" borderId="1" xfId="0" applyNumberFormat="1" applyFont="1" applyFill="1" applyBorder="1" applyAlignment="1">
      <alignment horizontal="center"/>
    </xf>
    <xf numFmtId="165" fontId="18" fillId="0" borderId="1" xfId="0" applyNumberFormat="1" applyFont="1" applyBorder="1" applyAlignment="1">
      <alignment vertical="center" wrapText="1"/>
    </xf>
    <xf numFmtId="168" fontId="18" fillId="0" borderId="1" xfId="6" applyNumberFormat="1" applyFont="1" applyBorder="1"/>
    <xf numFmtId="169" fontId="18" fillId="0" borderId="1" xfId="6" applyNumberFormat="1" applyFont="1" applyBorder="1"/>
    <xf numFmtId="10" fontId="18" fillId="0" borderId="1" xfId="7" applyNumberFormat="1" applyFont="1" applyBorder="1"/>
    <xf numFmtId="164" fontId="18" fillId="0" borderId="1" xfId="6" applyFont="1" applyBorder="1"/>
    <xf numFmtId="0" fontId="28" fillId="0" borderId="0" xfId="0" applyFont="1"/>
    <xf numFmtId="0" fontId="22" fillId="4" borderId="1" xfId="0" applyFont="1" applyFill="1" applyBorder="1" applyAlignment="1">
      <alignment vertical="top" wrapText="1"/>
    </xf>
    <xf numFmtId="0" fontId="22" fillId="0" borderId="1" xfId="0" applyFont="1" applyBorder="1"/>
    <xf numFmtId="168" fontId="22" fillId="0" borderId="1" xfId="6" applyNumberFormat="1" applyFont="1" applyBorder="1"/>
    <xf numFmtId="169" fontId="22" fillId="0" borderId="1" xfId="6" applyNumberFormat="1" applyFont="1" applyBorder="1"/>
    <xf numFmtId="0" fontId="22" fillId="2" borderId="1" xfId="0" applyNumberFormat="1" applyFont="1" applyFill="1" applyBorder="1" applyAlignment="1">
      <alignment horizontal="center" wrapText="1"/>
    </xf>
    <xf numFmtId="168" fontId="22" fillId="0" borderId="4" xfId="6" applyNumberFormat="1" applyFont="1" applyBorder="1"/>
    <xf numFmtId="0" fontId="18" fillId="0" borderId="1" xfId="0" applyFont="1" applyBorder="1"/>
    <xf numFmtId="0" fontId="0" fillId="0" borderId="0" xfId="0" applyFont="1"/>
    <xf numFmtId="0" fontId="18" fillId="0" borderId="0" xfId="0" applyFont="1" applyAlignment="1">
      <alignment wrapText="1"/>
    </xf>
    <xf numFmtId="0" fontId="18" fillId="0" borderId="1" xfId="0" applyFont="1" applyBorder="1" applyAlignment="1">
      <alignment wrapText="1"/>
    </xf>
    <xf numFmtId="0" fontId="12" fillId="0" borderId="0" xfId="10" applyFont="1" applyAlignment="1">
      <alignment vertical="center"/>
    </xf>
    <xf numFmtId="0" fontId="24" fillId="0" borderId="0" xfId="0" applyFont="1"/>
    <xf numFmtId="0" fontId="29" fillId="0" borderId="0" xfId="1" applyFont="1"/>
    <xf numFmtId="0" fontId="29" fillId="0" borderId="0" xfId="0" applyFont="1"/>
    <xf numFmtId="0" fontId="18" fillId="0" borderId="1" xfId="0" applyFont="1" applyBorder="1" applyAlignment="1">
      <alignment vertical="top"/>
    </xf>
    <xf numFmtId="0" fontId="18" fillId="0" borderId="3" xfId="0" applyFont="1" applyBorder="1" applyAlignment="1">
      <alignment horizontal="left" wrapText="1"/>
    </xf>
    <xf numFmtId="0" fontId="18" fillId="0" borderId="0" xfId="0" applyFont="1" applyAlignment="1">
      <alignment horizontal="left" wrapText="1"/>
    </xf>
    <xf numFmtId="0" fontId="18" fillId="0" borderId="1" xfId="0" quotePrefix="1" applyFont="1" applyBorder="1" applyAlignment="1">
      <alignment vertical="top" wrapText="1"/>
    </xf>
    <xf numFmtId="0" fontId="18" fillId="0" borderId="1" xfId="0" applyFont="1" applyBorder="1" applyAlignment="1">
      <alignment vertical="top" wrapText="1"/>
    </xf>
    <xf numFmtId="0" fontId="18" fillId="0" borderId="0" xfId="0" applyFont="1" applyBorder="1" applyAlignment="1">
      <alignment vertical="top"/>
    </xf>
    <xf numFmtId="0" fontId="30" fillId="0" borderId="0" xfId="0" applyFont="1" applyAlignment="1">
      <alignment horizontal="left" indent="1"/>
    </xf>
    <xf numFmtId="164" fontId="18" fillId="0" borderId="0" xfId="0" applyNumberFormat="1" applyFont="1"/>
    <xf numFmtId="170" fontId="18" fillId="0" borderId="1" xfId="6" applyNumberFormat="1" applyFont="1" applyBorder="1"/>
    <xf numFmtId="170" fontId="22" fillId="0" borderId="1" xfId="6" applyNumberFormat="1" applyFont="1" applyBorder="1"/>
    <xf numFmtId="170" fontId="22" fillId="0" borderId="1" xfId="0" applyNumberFormat="1" applyFont="1" applyBorder="1"/>
    <xf numFmtId="170" fontId="18" fillId="0" borderId="4" xfId="6" applyNumberFormat="1" applyFont="1" applyBorder="1"/>
    <xf numFmtId="170" fontId="18" fillId="0" borderId="1" xfId="0" applyNumberFormat="1" applyFont="1" applyBorder="1"/>
  </cellXfs>
  <cellStyles count="22">
    <cellStyle name="Comma" xfId="6" builtinId="3"/>
    <cellStyle name="Comma 2" xfId="11"/>
    <cellStyle name="Comma 3" xfId="15"/>
    <cellStyle name="Comma 4 2" xfId="20"/>
    <cellStyle name="Explanatory Text" xfId="18" builtinId="53"/>
    <cellStyle name="Normal" xfId="0" builtinId="0"/>
    <cellStyle name="Normal 2" xfId="4"/>
    <cellStyle name="Normal 2 2" xfId="1"/>
    <cellStyle name="Normal 2 2 2" xfId="10"/>
    <cellStyle name="Normal 2 6" xfId="16"/>
    <cellStyle name="Normal 20" xfId="9"/>
    <cellStyle name="Normal 3" xfId="2"/>
    <cellStyle name="Normal 3 2" xfId="13"/>
    <cellStyle name="Normal 4" xfId="5"/>
    <cellStyle name="Normal 4 2" xfId="14"/>
    <cellStyle name="Normal 5" xfId="8"/>
    <cellStyle name="Normal 5 2" xfId="12"/>
    <cellStyle name="Normal 5 2 2" xfId="19"/>
    <cellStyle name="Normal 6" xfId="17"/>
    <cellStyle name="Normal 9" xfId="3"/>
    <cellStyle name="Percent" xfId="7" builtinId="5"/>
    <cellStyle name="Percent 2" xfId="21"/>
  </cellStyles>
  <dxfs count="3">
    <dxf>
      <font>
        <color theme="0"/>
      </font>
    </dxf>
    <dxf>
      <font>
        <color theme="0"/>
      </font>
    </dxf>
    <dxf>
      <font>
        <color theme="0"/>
      </font>
    </dxf>
  </dxfs>
  <tableStyles count="0" defaultTableStyle="TableStyleMedium2" defaultPivotStyle="PivotStyleMedium9"/>
  <colors>
    <mruColors>
      <color rgb="FFD2ECB6"/>
      <color rgb="FFFFD9D9"/>
      <color rgb="FFE23114"/>
      <color rgb="FFFFF1C5"/>
      <color rgb="FFFFABAB"/>
      <color rgb="FFFF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6350</xdr:colOff>
      <xdr:row>15</xdr:row>
      <xdr:rowOff>38100</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101600" y="469900"/>
          <a:ext cx="9067800" cy="2844800"/>
        </a:xfrm>
        <a:prstGeom prst="rect">
          <a:avLst/>
        </a:prstGeom>
        <a:solidFill>
          <a:schemeClr val="bg2">
            <a:lumMod val="7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chemeClr val="dk1"/>
              </a:solidFill>
              <a:effectLst/>
              <a:latin typeface="+mn-lt"/>
              <a:ea typeface="+mn-ea"/>
              <a:cs typeface="+mn-cs"/>
            </a:rPr>
            <a:t>Eels regulations enhancement feeder model</a:t>
          </a:r>
          <a:endParaRPr lang="en-GB" sz="1100" b="1" i="0" u="sng" baseline="0">
            <a:solidFill>
              <a:schemeClr val="dk1"/>
            </a:solidFill>
            <a:effectLst/>
            <a:latin typeface="+mn-lt"/>
            <a:ea typeface="+mn-ea"/>
            <a:cs typeface="+mn-cs"/>
          </a:endParaRPr>
        </a:p>
        <a:p>
          <a:endParaRPr lang="en-GB" sz="1100">
            <a:effectLst/>
          </a:endParaRPr>
        </a:p>
        <a:p>
          <a:r>
            <a:rPr lang="en-GB" sz="1100" b="1" baseline="0">
              <a:solidFill>
                <a:schemeClr val="dk1"/>
              </a:solidFill>
              <a:effectLst/>
              <a:latin typeface="+mn-lt"/>
              <a:ea typeface="+mn-ea"/>
              <a:cs typeface="+mn-cs"/>
            </a:rPr>
            <a:t>Objective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To assess enhancement capex expenditure submitted by companies in their PR19 business plan submissions for</a:t>
          </a:r>
          <a:r>
            <a:rPr lang="en-GB" sz="1100" baseline="0">
              <a:solidFill>
                <a:schemeClr val="dk1"/>
              </a:solidFill>
              <a:effectLst/>
              <a:latin typeface="+mn-lt"/>
              <a:ea typeface="+mn-ea"/>
              <a:cs typeface="+mn-cs"/>
            </a:rPr>
            <a:t> eel regulations (measures at intakes), Table WS2 line 2 WINEP / NEP ~ Eels Regulations  (measures at Intakes)</a:t>
          </a:r>
          <a:r>
            <a:rPr lang="en-GB" sz="1100">
              <a:solidFill>
                <a:schemeClr val="dk1"/>
              </a:solidFill>
              <a:effectLst/>
              <a:latin typeface="+mn-lt"/>
              <a:ea typeface="+mn-ea"/>
              <a:cs typeface="+mn-cs"/>
            </a:rPr>
            <a:t>.</a:t>
          </a:r>
        </a:p>
        <a:p>
          <a:endParaRPr lang="en-GB" sz="1100"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Approach</a:t>
          </a:r>
          <a:endParaRPr lang="en-GB" sz="1100" baseline="0">
            <a:solidFill>
              <a:schemeClr val="dk1"/>
            </a:solidFill>
            <a:effectLst/>
            <a:latin typeface="+mn-lt"/>
            <a:ea typeface="+mn-ea"/>
            <a:cs typeface="+mn-cs"/>
          </a:endParaRPr>
        </a:p>
        <a:p>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Shallow or Deep dive assessments are carried out as no suitable cost driver could be identified for econometric modelling</a:t>
          </a:r>
          <a:r>
            <a:rPr lang="en-GB" sz="1100" b="0" i="0">
              <a:solidFill>
                <a:schemeClr val="dk1"/>
              </a:solidFill>
              <a:effectLst/>
              <a:latin typeface="+mn-lt"/>
              <a:ea typeface="+mn-ea"/>
              <a:cs typeface="+mn-cs"/>
            </a:rPr>
            <a:t>. </a:t>
          </a:r>
          <a:r>
            <a:rPr lang="en-GB" sz="1100" baseline="0">
              <a:solidFill>
                <a:schemeClr val="dk1"/>
              </a:solidFill>
              <a:effectLst/>
              <a:latin typeface="+mn-lt"/>
              <a:ea typeface="+mn-ea"/>
              <a:cs typeface="+mn-cs"/>
            </a:rPr>
            <a:t>.  We consider impacts of misallocation, double counting and regulatory support. </a:t>
          </a:r>
          <a:r>
            <a:rPr lang="en-GB" sz="1100" b="0" i="0">
              <a:solidFill>
                <a:schemeClr val="dk1"/>
              </a:solidFill>
              <a:effectLst/>
              <a:latin typeface="+mn-lt"/>
              <a:ea typeface="+mn-ea"/>
              <a:cs typeface="+mn-cs"/>
            </a:rPr>
            <a:t>We do not apply our company-specific efficiency challenge to the companies that we shallow dive and allow the costs in full, due to the low materiality of these proposals. For the deep-dive assessment, we consider the availability and quality of evidence provided. We also reconcile information that has been identified within the companies’ submissions with the list of schemes in the EAs’ WINEP3, March 2018.</a:t>
          </a:r>
          <a:endParaRPr lang="en-GB" sz="1100" baseline="0">
            <a:solidFill>
              <a:schemeClr val="dk1"/>
            </a:solidFill>
            <a:effectLst/>
            <a:latin typeface="+mn-lt"/>
            <a:ea typeface="+mn-ea"/>
            <a:cs typeface="+mn-cs"/>
          </a:endParaRPr>
        </a:p>
        <a:p>
          <a:endParaRPr lang="en-GB" sz="1100" baseline="0">
            <a:solidFill>
              <a:schemeClr val="dk1"/>
            </a:solidFill>
            <a:effectLst/>
            <a:latin typeface="+mn-lt"/>
            <a:ea typeface="+mn-ea"/>
            <a:cs typeface="+mn-cs"/>
          </a:endParaRPr>
        </a:p>
        <a:p>
          <a:endParaRPr lang="en-GB" sz="1100" baseline="0">
            <a:solidFill>
              <a:schemeClr val="dk1"/>
            </a:solidFill>
            <a:effectLst/>
            <a:latin typeface="+mn-lt"/>
            <a:ea typeface="+mn-ea"/>
            <a:cs typeface="+mn-cs"/>
          </a:endParaRPr>
        </a:p>
        <a:p>
          <a:endParaRPr lang="en-GB" sz="11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1768078</xdr:colOff>
      <xdr:row>41</xdr:row>
      <xdr:rowOff>184545</xdr:rowOff>
    </xdr:from>
    <xdr:ext cx="2976563" cy="482203"/>
    <xdr:sp macro="" textlink="">
      <xdr:nvSpPr>
        <xdr:cNvPr id="2" name="TextBox 1">
          <a:extLst>
            <a:ext uri="{FF2B5EF4-FFF2-40B4-BE49-F238E27FC236}">
              <a16:creationId xmlns:a16="http://schemas.microsoft.com/office/drawing/2014/main" xmlns="" id="{00000000-0008-0000-0400-000003000000}"/>
            </a:ext>
          </a:extLst>
        </xdr:cNvPr>
        <xdr:cNvSpPr txBox="1"/>
      </xdr:nvSpPr>
      <xdr:spPr>
        <a:xfrm>
          <a:off x="1910953" y="99762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1768078</xdr:colOff>
      <xdr:row>41</xdr:row>
      <xdr:rowOff>184545</xdr:rowOff>
    </xdr:from>
    <xdr:ext cx="2976563" cy="482203"/>
    <xdr:sp macro="" textlink="">
      <xdr:nvSpPr>
        <xdr:cNvPr id="6" name="TextBox 5">
          <a:extLst>
            <a:ext uri="{FF2B5EF4-FFF2-40B4-BE49-F238E27FC236}">
              <a16:creationId xmlns:a16="http://schemas.microsoft.com/office/drawing/2014/main" xmlns="" id="{00000000-0008-0000-0400-000003000000}"/>
            </a:ext>
          </a:extLst>
        </xdr:cNvPr>
        <xdr:cNvSpPr txBox="1"/>
      </xdr:nvSpPr>
      <xdr:spPr>
        <a:xfrm>
          <a:off x="1910953" y="99762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1768078</xdr:colOff>
      <xdr:row>41</xdr:row>
      <xdr:rowOff>184545</xdr:rowOff>
    </xdr:from>
    <xdr:ext cx="2976563" cy="482203"/>
    <xdr:sp macro="" textlink="">
      <xdr:nvSpPr>
        <xdr:cNvPr id="2" name="TextBox 1">
          <a:extLst>
            <a:ext uri="{FF2B5EF4-FFF2-40B4-BE49-F238E27FC236}">
              <a16:creationId xmlns:a16="http://schemas.microsoft.com/office/drawing/2014/main" xmlns="" id="{00000000-0008-0000-0400-000003000000}"/>
            </a:ext>
          </a:extLst>
        </xdr:cNvPr>
        <xdr:cNvSpPr txBox="1"/>
      </xdr:nvSpPr>
      <xdr:spPr>
        <a:xfrm>
          <a:off x="1910953" y="99762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1768078</xdr:colOff>
      <xdr:row>41</xdr:row>
      <xdr:rowOff>184545</xdr:rowOff>
    </xdr:from>
    <xdr:ext cx="2976563" cy="482203"/>
    <xdr:sp macro="" textlink="">
      <xdr:nvSpPr>
        <xdr:cNvPr id="2" name="TextBox 1">
          <a:extLst>
            <a:ext uri="{FF2B5EF4-FFF2-40B4-BE49-F238E27FC236}">
              <a16:creationId xmlns:a16="http://schemas.microsoft.com/office/drawing/2014/main" xmlns="" id="{00000000-0008-0000-0400-000003000000}"/>
            </a:ext>
          </a:extLst>
        </xdr:cNvPr>
        <xdr:cNvSpPr txBox="1"/>
      </xdr:nvSpPr>
      <xdr:spPr>
        <a:xfrm>
          <a:off x="1910953" y="99762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7"/>
  <sheetViews>
    <sheetView showGridLines="0" tabSelected="1" zoomScale="80" zoomScaleNormal="80" workbookViewId="0">
      <selection activeCell="B19" sqref="B19"/>
    </sheetView>
  </sheetViews>
  <sheetFormatPr defaultColWidth="9" defaultRowHeight="16.5" x14ac:dyDescent="0.5"/>
  <cols>
    <col min="1" max="1" width="11" style="13" customWidth="1"/>
    <col min="2" max="2" width="100.1796875" style="13" customWidth="1"/>
    <col min="3" max="3" width="18" style="14" customWidth="1"/>
    <col min="4" max="16384" width="9" style="13"/>
  </cols>
  <sheetData>
    <row r="1" spans="1:3" ht="20.25" customHeight="1" x14ac:dyDescent="0.6">
      <c r="A1" s="11" t="s">
        <v>120</v>
      </c>
      <c r="B1" s="12"/>
      <c r="C1" s="12"/>
    </row>
    <row r="2" spans="1:3" ht="17.25" customHeight="1" x14ac:dyDescent="0.5"/>
    <row r="3" spans="1:3" ht="17.25" customHeight="1" x14ac:dyDescent="0.5"/>
    <row r="4" spans="1:3" ht="17.25" customHeight="1" x14ac:dyDescent="0.5"/>
    <row r="5" spans="1:3" ht="17.25" customHeight="1" x14ac:dyDescent="0.5"/>
    <row r="6" spans="1:3" ht="17.25" customHeight="1" x14ac:dyDescent="0.5"/>
    <row r="7" spans="1:3" ht="17.25" customHeight="1" x14ac:dyDescent="0.5"/>
    <row r="8" spans="1:3" ht="17.25" customHeight="1" x14ac:dyDescent="0.5"/>
    <row r="9" spans="1:3" ht="17.25" customHeight="1" x14ac:dyDescent="0.5"/>
    <row r="10" spans="1:3" ht="17.25" customHeight="1" x14ac:dyDescent="0.5"/>
    <row r="11" spans="1:3" ht="17.25" customHeight="1" x14ac:dyDescent="0.5"/>
    <row r="12" spans="1:3" ht="17.25" customHeight="1" x14ac:dyDescent="0.5"/>
    <row r="13" spans="1:3" ht="17.25" customHeight="1" x14ac:dyDescent="0.5"/>
    <row r="14" spans="1:3" ht="17.25" customHeight="1" x14ac:dyDescent="0.5"/>
    <row r="15" spans="1:3" ht="17.25" customHeight="1" x14ac:dyDescent="0.5"/>
    <row r="16" spans="1:3" ht="17.25" customHeight="1" x14ac:dyDescent="0.5"/>
    <row r="17" ht="17.25" customHeight="1" x14ac:dyDescent="0.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11"/>
  <sheetViews>
    <sheetView showGridLines="0" zoomScale="80" zoomScaleNormal="80" workbookViewId="0"/>
  </sheetViews>
  <sheetFormatPr defaultColWidth="8.54296875" defaultRowHeight="13" x14ac:dyDescent="0.3"/>
  <cols>
    <col min="1" max="1" width="10.54296875" style="38" customWidth="1"/>
    <col min="2" max="2" width="11.1796875" style="38" customWidth="1"/>
    <col min="3" max="3" width="10.1796875" style="38" customWidth="1"/>
    <col min="4" max="5" width="22.1796875" style="6" customWidth="1"/>
    <col min="6" max="16384" width="8.54296875" style="6"/>
  </cols>
  <sheetData>
    <row r="1" spans="1:5" ht="18.5" x14ac:dyDescent="0.3">
      <c r="A1" s="46" t="s">
        <v>121</v>
      </c>
    </row>
    <row r="2" spans="1:5" ht="15.5" x14ac:dyDescent="0.3">
      <c r="A2" s="45" t="s">
        <v>183</v>
      </c>
      <c r="B2" s="6"/>
      <c r="C2" s="6"/>
    </row>
    <row r="3" spans="1:5" x14ac:dyDescent="0.3">
      <c r="B3" s="6"/>
      <c r="C3" s="6"/>
    </row>
    <row r="4" spans="1:5" s="39" customFormat="1" x14ac:dyDescent="0.35">
      <c r="A4" s="47"/>
      <c r="B4" s="47"/>
      <c r="C4" s="47"/>
      <c r="D4" s="47" t="s">
        <v>119</v>
      </c>
      <c r="E4" s="47" t="s">
        <v>118</v>
      </c>
    </row>
    <row r="5" spans="1:5" ht="39" x14ac:dyDescent="0.3">
      <c r="A5" s="57" t="s">
        <v>185</v>
      </c>
      <c r="B5" s="57" t="s">
        <v>18</v>
      </c>
      <c r="C5" s="57" t="s">
        <v>184</v>
      </c>
      <c r="D5" s="57" t="s">
        <v>186</v>
      </c>
      <c r="E5" s="57" t="s">
        <v>187</v>
      </c>
    </row>
    <row r="6" spans="1:5" x14ac:dyDescent="0.3">
      <c r="A6" s="41" t="s">
        <v>26</v>
      </c>
      <c r="B6" s="42" t="s">
        <v>1</v>
      </c>
      <c r="C6" s="42">
        <v>2021</v>
      </c>
      <c r="D6" s="40">
        <v>0.35561360274623999</v>
      </c>
      <c r="E6" s="48">
        <v>498.47770338281299</v>
      </c>
    </row>
    <row r="7" spans="1:5" x14ac:dyDescent="0.3">
      <c r="A7" s="41" t="s">
        <v>27</v>
      </c>
      <c r="B7" s="42" t="s">
        <v>1</v>
      </c>
      <c r="C7" s="42">
        <v>2022</v>
      </c>
      <c r="D7" s="40">
        <v>1.0424433024380599</v>
      </c>
      <c r="E7" s="48">
        <v>579.18202511472305</v>
      </c>
    </row>
    <row r="8" spans="1:5" x14ac:dyDescent="0.3">
      <c r="A8" s="41" t="s">
        <v>28</v>
      </c>
      <c r="B8" s="42" t="s">
        <v>1</v>
      </c>
      <c r="C8" s="42">
        <v>2023</v>
      </c>
      <c r="D8" s="40">
        <v>0.69300733201588305</v>
      </c>
      <c r="E8" s="48">
        <v>637.09420862741194</v>
      </c>
    </row>
    <row r="9" spans="1:5" x14ac:dyDescent="0.3">
      <c r="A9" s="41" t="s">
        <v>29</v>
      </c>
      <c r="B9" s="42" t="s">
        <v>1</v>
      </c>
      <c r="C9" s="42">
        <v>2024</v>
      </c>
      <c r="D9" s="40">
        <v>6.1898542870197799</v>
      </c>
      <c r="E9" s="48">
        <v>622.90395098778004</v>
      </c>
    </row>
    <row r="10" spans="1:5" x14ac:dyDescent="0.3">
      <c r="A10" s="41" t="s">
        <v>30</v>
      </c>
      <c r="B10" s="42" t="s">
        <v>1</v>
      </c>
      <c r="C10" s="42">
        <v>2025</v>
      </c>
      <c r="D10" s="40">
        <v>0</v>
      </c>
      <c r="E10" s="48">
        <v>476.34762997356398</v>
      </c>
    </row>
    <row r="11" spans="1:5" x14ac:dyDescent="0.3">
      <c r="A11" s="41" t="s">
        <v>31</v>
      </c>
      <c r="B11" s="42" t="s">
        <v>2</v>
      </c>
      <c r="C11" s="42">
        <v>2021</v>
      </c>
      <c r="D11" s="40">
        <v>0.97399999999999998</v>
      </c>
      <c r="E11" s="48">
        <v>349.52199999999999</v>
      </c>
    </row>
    <row r="12" spans="1:5" x14ac:dyDescent="0.3">
      <c r="A12" s="41" t="s">
        <v>32</v>
      </c>
      <c r="B12" s="42" t="s">
        <v>2</v>
      </c>
      <c r="C12" s="42">
        <v>2022</v>
      </c>
      <c r="D12" s="40">
        <v>0.97499999999999998</v>
      </c>
      <c r="E12" s="48">
        <v>369.464</v>
      </c>
    </row>
    <row r="13" spans="1:5" x14ac:dyDescent="0.3">
      <c r="A13" s="41" t="s">
        <v>33</v>
      </c>
      <c r="B13" s="42" t="s">
        <v>2</v>
      </c>
      <c r="C13" s="42">
        <v>2023</v>
      </c>
      <c r="D13" s="40">
        <v>0.65</v>
      </c>
      <c r="E13" s="48">
        <v>361.08300000000003</v>
      </c>
    </row>
    <row r="14" spans="1:5" x14ac:dyDescent="0.3">
      <c r="A14" s="41" t="s">
        <v>34</v>
      </c>
      <c r="B14" s="42" t="s">
        <v>2</v>
      </c>
      <c r="C14" s="42">
        <v>2024</v>
      </c>
      <c r="D14" s="40">
        <v>0.32500000000000001</v>
      </c>
      <c r="E14" s="48">
        <v>337.65199999999999</v>
      </c>
    </row>
    <row r="15" spans="1:5" x14ac:dyDescent="0.3">
      <c r="A15" s="41" t="s">
        <v>35</v>
      </c>
      <c r="B15" s="42" t="s">
        <v>2</v>
      </c>
      <c r="C15" s="42">
        <v>2025</v>
      </c>
      <c r="D15" s="40">
        <v>0.32600000000000001</v>
      </c>
      <c r="E15" s="48">
        <v>312.16300000000001</v>
      </c>
    </row>
    <row r="16" spans="1:5" x14ac:dyDescent="0.3">
      <c r="A16" s="41" t="s">
        <v>36</v>
      </c>
      <c r="B16" s="42" t="s">
        <v>3</v>
      </c>
      <c r="C16" s="42">
        <v>2021</v>
      </c>
      <c r="D16" s="40">
        <v>0</v>
      </c>
      <c r="E16" s="48">
        <v>546.91416406629901</v>
      </c>
    </row>
    <row r="17" spans="1:5" x14ac:dyDescent="0.3">
      <c r="A17" s="41" t="s">
        <v>37</v>
      </c>
      <c r="B17" s="42" t="s">
        <v>3</v>
      </c>
      <c r="C17" s="42">
        <v>2022</v>
      </c>
      <c r="D17" s="40">
        <v>1.8423703638999998E-2</v>
      </c>
      <c r="E17" s="48">
        <v>511.02602983742503</v>
      </c>
    </row>
    <row r="18" spans="1:5" x14ac:dyDescent="0.3">
      <c r="A18" s="41" t="s">
        <v>38</v>
      </c>
      <c r="B18" s="42" t="s">
        <v>3</v>
      </c>
      <c r="C18" s="42">
        <v>2023</v>
      </c>
      <c r="D18" s="40">
        <v>0.14559679304600001</v>
      </c>
      <c r="E18" s="48">
        <v>491.88321983896702</v>
      </c>
    </row>
    <row r="19" spans="1:5" x14ac:dyDescent="0.3">
      <c r="A19" s="41" t="s">
        <v>39</v>
      </c>
      <c r="B19" s="42" t="s">
        <v>3</v>
      </c>
      <c r="C19" s="42">
        <v>2024</v>
      </c>
      <c r="D19" s="40">
        <v>1.412745887412</v>
      </c>
      <c r="E19" s="48">
        <v>466.261810421863</v>
      </c>
    </row>
    <row r="20" spans="1:5" x14ac:dyDescent="0.3">
      <c r="A20" s="41" t="s">
        <v>40</v>
      </c>
      <c r="B20" s="42" t="s">
        <v>3</v>
      </c>
      <c r="C20" s="42">
        <v>2025</v>
      </c>
      <c r="D20" s="40">
        <v>3.5110092909500001</v>
      </c>
      <c r="E20" s="48">
        <v>461.41828629616703</v>
      </c>
    </row>
    <row r="21" spans="1:5" x14ac:dyDescent="0.3">
      <c r="A21" s="41" t="s">
        <v>41</v>
      </c>
      <c r="B21" s="42" t="s">
        <v>4</v>
      </c>
      <c r="C21" s="42">
        <v>2021</v>
      </c>
      <c r="D21" s="40">
        <v>0</v>
      </c>
      <c r="E21" s="48">
        <v>250.37200000000001</v>
      </c>
    </row>
    <row r="22" spans="1:5" x14ac:dyDescent="0.3">
      <c r="A22" s="41" t="s">
        <v>42</v>
      </c>
      <c r="B22" s="42" t="s">
        <v>4</v>
      </c>
      <c r="C22" s="42">
        <v>2022</v>
      </c>
      <c r="D22" s="40">
        <v>0</v>
      </c>
      <c r="E22" s="48">
        <v>250.60900000000001</v>
      </c>
    </row>
    <row r="23" spans="1:5" x14ac:dyDescent="0.3">
      <c r="A23" s="41" t="s">
        <v>43</v>
      </c>
      <c r="B23" s="42" t="s">
        <v>4</v>
      </c>
      <c r="C23" s="42">
        <v>2023</v>
      </c>
      <c r="D23" s="40">
        <v>0</v>
      </c>
      <c r="E23" s="48">
        <v>233.85300000000001</v>
      </c>
    </row>
    <row r="24" spans="1:5" x14ac:dyDescent="0.3">
      <c r="A24" s="41" t="s">
        <v>44</v>
      </c>
      <c r="B24" s="42" t="s">
        <v>4</v>
      </c>
      <c r="C24" s="42">
        <v>2024</v>
      </c>
      <c r="D24" s="40">
        <v>0</v>
      </c>
      <c r="E24" s="48">
        <v>230.23699999999999</v>
      </c>
    </row>
    <row r="25" spans="1:5" x14ac:dyDescent="0.3">
      <c r="A25" s="41" t="s">
        <v>45</v>
      </c>
      <c r="B25" s="42" t="s">
        <v>4</v>
      </c>
      <c r="C25" s="42">
        <v>2025</v>
      </c>
      <c r="D25" s="40">
        <v>0</v>
      </c>
      <c r="E25" s="48">
        <v>261.53300000000002</v>
      </c>
    </row>
    <row r="26" spans="1:5" x14ac:dyDescent="0.3">
      <c r="A26" s="41" t="s">
        <v>46</v>
      </c>
      <c r="B26" s="42" t="s">
        <v>5</v>
      </c>
      <c r="C26" s="42">
        <v>2021</v>
      </c>
      <c r="D26" s="40">
        <v>0</v>
      </c>
      <c r="E26" s="48">
        <v>0</v>
      </c>
    </row>
    <row r="27" spans="1:5" x14ac:dyDescent="0.3">
      <c r="A27" s="41" t="s">
        <v>47</v>
      </c>
      <c r="B27" s="42" t="s">
        <v>5</v>
      </c>
      <c r="C27" s="42">
        <v>2022</v>
      </c>
      <c r="D27" s="40">
        <v>0</v>
      </c>
      <c r="E27" s="48">
        <v>0</v>
      </c>
    </row>
    <row r="28" spans="1:5" x14ac:dyDescent="0.3">
      <c r="A28" s="41" t="s">
        <v>48</v>
      </c>
      <c r="B28" s="42" t="s">
        <v>5</v>
      </c>
      <c r="C28" s="42">
        <v>2023</v>
      </c>
      <c r="D28" s="40">
        <v>0</v>
      </c>
      <c r="E28" s="48">
        <v>0</v>
      </c>
    </row>
    <row r="29" spans="1:5" x14ac:dyDescent="0.3">
      <c r="A29" s="41" t="s">
        <v>49</v>
      </c>
      <c r="B29" s="42" t="s">
        <v>5</v>
      </c>
      <c r="C29" s="42">
        <v>2024</v>
      </c>
      <c r="D29" s="40">
        <v>0</v>
      </c>
      <c r="E29" s="48">
        <v>0</v>
      </c>
    </row>
    <row r="30" spans="1:5" x14ac:dyDescent="0.3">
      <c r="A30" s="41" t="s">
        <v>50</v>
      </c>
      <c r="B30" s="42" t="s">
        <v>5</v>
      </c>
      <c r="C30" s="42">
        <v>2025</v>
      </c>
      <c r="D30" s="40">
        <v>0</v>
      </c>
      <c r="E30" s="48">
        <v>0</v>
      </c>
    </row>
    <row r="31" spans="1:5" x14ac:dyDescent="0.3">
      <c r="A31" s="41" t="s">
        <v>51</v>
      </c>
      <c r="B31" s="42" t="s">
        <v>6</v>
      </c>
      <c r="C31" s="42">
        <v>2021</v>
      </c>
      <c r="D31" s="40">
        <v>0.2</v>
      </c>
      <c r="E31" s="48">
        <v>164.92599999999999</v>
      </c>
    </row>
    <row r="32" spans="1:5" x14ac:dyDescent="0.3">
      <c r="A32" s="41" t="s">
        <v>52</v>
      </c>
      <c r="B32" s="42" t="s">
        <v>6</v>
      </c>
      <c r="C32" s="42">
        <v>2022</v>
      </c>
      <c r="D32" s="40">
        <v>0.21</v>
      </c>
      <c r="E32" s="48">
        <v>179.66900000000001</v>
      </c>
    </row>
    <row r="33" spans="1:5" x14ac:dyDescent="0.3">
      <c r="A33" s="41" t="s">
        <v>53</v>
      </c>
      <c r="B33" s="42" t="s">
        <v>6</v>
      </c>
      <c r="C33" s="42">
        <v>2023</v>
      </c>
      <c r="D33" s="40">
        <v>0.2</v>
      </c>
      <c r="E33" s="48">
        <v>192.19399999999999</v>
      </c>
    </row>
    <row r="34" spans="1:5" x14ac:dyDescent="0.3">
      <c r="A34" s="41" t="s">
        <v>54</v>
      </c>
      <c r="B34" s="42" t="s">
        <v>6</v>
      </c>
      <c r="C34" s="42">
        <v>2024</v>
      </c>
      <c r="D34" s="40">
        <v>0.21</v>
      </c>
      <c r="E34" s="48">
        <v>181.702</v>
      </c>
    </row>
    <row r="35" spans="1:5" x14ac:dyDescent="0.3">
      <c r="A35" s="41" t="s">
        <v>55</v>
      </c>
      <c r="B35" s="42" t="s">
        <v>6</v>
      </c>
      <c r="C35" s="42">
        <v>2025</v>
      </c>
      <c r="D35" s="40">
        <v>9.1999999999999998E-2</v>
      </c>
      <c r="E35" s="48">
        <v>175.761</v>
      </c>
    </row>
    <row r="36" spans="1:5" x14ac:dyDescent="0.3">
      <c r="A36" s="41" t="s">
        <v>56</v>
      </c>
      <c r="B36" s="42" t="s">
        <v>7</v>
      </c>
      <c r="C36" s="42">
        <v>2021</v>
      </c>
      <c r="D36" s="40">
        <v>0</v>
      </c>
      <c r="E36" s="48">
        <v>1070.0059304862</v>
      </c>
    </row>
    <row r="37" spans="1:5" x14ac:dyDescent="0.3">
      <c r="A37" s="41" t="s">
        <v>57</v>
      </c>
      <c r="B37" s="42" t="s">
        <v>7</v>
      </c>
      <c r="C37" s="42">
        <v>2022</v>
      </c>
      <c r="D37" s="40">
        <v>0</v>
      </c>
      <c r="E37" s="48">
        <v>1195.82265311585</v>
      </c>
    </row>
    <row r="38" spans="1:5" x14ac:dyDescent="0.3">
      <c r="A38" s="41" t="s">
        <v>58</v>
      </c>
      <c r="B38" s="42" t="s">
        <v>7</v>
      </c>
      <c r="C38" s="42">
        <v>2023</v>
      </c>
      <c r="D38" s="40">
        <v>0</v>
      </c>
      <c r="E38" s="48">
        <v>1164.87342744906</v>
      </c>
    </row>
    <row r="39" spans="1:5" x14ac:dyDescent="0.3">
      <c r="A39" s="41" t="s">
        <v>59</v>
      </c>
      <c r="B39" s="42" t="s">
        <v>7</v>
      </c>
      <c r="C39" s="42">
        <v>2024</v>
      </c>
      <c r="D39" s="40">
        <v>0</v>
      </c>
      <c r="E39" s="48">
        <v>1136.5628313935199</v>
      </c>
    </row>
    <row r="40" spans="1:5" x14ac:dyDescent="0.3">
      <c r="A40" s="41" t="s">
        <v>60</v>
      </c>
      <c r="B40" s="42" t="s">
        <v>7</v>
      </c>
      <c r="C40" s="42">
        <v>2025</v>
      </c>
      <c r="D40" s="40">
        <v>0</v>
      </c>
      <c r="E40" s="48">
        <v>1090.9390820118099</v>
      </c>
    </row>
    <row r="41" spans="1:5" x14ac:dyDescent="0.3">
      <c r="A41" s="41" t="s">
        <v>61</v>
      </c>
      <c r="B41" s="42" t="s">
        <v>8</v>
      </c>
      <c r="C41" s="42">
        <v>2021</v>
      </c>
      <c r="D41" s="40">
        <v>6.8000000000000005E-2</v>
      </c>
      <c r="E41" s="48">
        <v>329.959</v>
      </c>
    </row>
    <row r="42" spans="1:5" x14ac:dyDescent="0.3">
      <c r="A42" s="41" t="s">
        <v>62</v>
      </c>
      <c r="B42" s="42" t="s">
        <v>8</v>
      </c>
      <c r="C42" s="42">
        <v>2022</v>
      </c>
      <c r="D42" s="40">
        <v>0</v>
      </c>
      <c r="E42" s="48">
        <v>343.76</v>
      </c>
    </row>
    <row r="43" spans="1:5" x14ac:dyDescent="0.3">
      <c r="A43" s="41" t="s">
        <v>63</v>
      </c>
      <c r="B43" s="42" t="s">
        <v>8</v>
      </c>
      <c r="C43" s="42">
        <v>2023</v>
      </c>
      <c r="D43" s="40">
        <v>0</v>
      </c>
      <c r="E43" s="48">
        <v>335.88499999999999</v>
      </c>
    </row>
    <row r="44" spans="1:5" x14ac:dyDescent="0.3">
      <c r="A44" s="41" t="s">
        <v>64</v>
      </c>
      <c r="B44" s="42" t="s">
        <v>8</v>
      </c>
      <c r="C44" s="42">
        <v>2024</v>
      </c>
      <c r="D44" s="40">
        <v>0</v>
      </c>
      <c r="E44" s="48">
        <v>322.13900000000001</v>
      </c>
    </row>
    <row r="45" spans="1:5" x14ac:dyDescent="0.3">
      <c r="A45" s="41" t="s">
        <v>65</v>
      </c>
      <c r="B45" s="42" t="s">
        <v>8</v>
      </c>
      <c r="C45" s="42">
        <v>2025</v>
      </c>
      <c r="D45" s="40">
        <v>0</v>
      </c>
      <c r="E45" s="48">
        <v>314.649</v>
      </c>
    </row>
    <row r="46" spans="1:5" x14ac:dyDescent="0.3">
      <c r="A46" s="41" t="s">
        <v>66</v>
      </c>
      <c r="B46" s="42" t="s">
        <v>9</v>
      </c>
      <c r="C46" s="42">
        <v>2021</v>
      </c>
      <c r="D46" s="40">
        <v>4.95789230769231</v>
      </c>
      <c r="E46" s="48">
        <v>136.11830693204701</v>
      </c>
    </row>
    <row r="47" spans="1:5" x14ac:dyDescent="0.3">
      <c r="A47" s="41" t="s">
        <v>67</v>
      </c>
      <c r="B47" s="42" t="s">
        <v>9</v>
      </c>
      <c r="C47" s="42">
        <v>2022</v>
      </c>
      <c r="D47" s="40">
        <v>0</v>
      </c>
      <c r="E47" s="48">
        <v>127.600640139625</v>
      </c>
    </row>
    <row r="48" spans="1:5" x14ac:dyDescent="0.3">
      <c r="A48" s="41" t="s">
        <v>68</v>
      </c>
      <c r="B48" s="42" t="s">
        <v>9</v>
      </c>
      <c r="C48" s="42">
        <v>2023</v>
      </c>
      <c r="D48" s="40">
        <v>0</v>
      </c>
      <c r="E48" s="48">
        <v>146.37373859446299</v>
      </c>
    </row>
    <row r="49" spans="1:5" x14ac:dyDescent="0.3">
      <c r="A49" s="41" t="s">
        <v>69</v>
      </c>
      <c r="B49" s="42" t="s">
        <v>9</v>
      </c>
      <c r="C49" s="42">
        <v>2024</v>
      </c>
      <c r="D49" s="40">
        <v>0</v>
      </c>
      <c r="E49" s="48">
        <v>127.48123932778</v>
      </c>
    </row>
    <row r="50" spans="1:5" x14ac:dyDescent="0.3">
      <c r="A50" s="41" t="s">
        <v>70</v>
      </c>
      <c r="B50" s="42" t="s">
        <v>9</v>
      </c>
      <c r="C50" s="42">
        <v>2025</v>
      </c>
      <c r="D50" s="40">
        <v>0</v>
      </c>
      <c r="E50" s="48">
        <v>122.774642789297</v>
      </c>
    </row>
    <row r="51" spans="1:5" x14ac:dyDescent="0.3">
      <c r="A51" s="41" t="s">
        <v>71</v>
      </c>
      <c r="B51" s="42" t="s">
        <v>10</v>
      </c>
      <c r="C51" s="42">
        <v>2021</v>
      </c>
      <c r="D51" s="40">
        <v>0</v>
      </c>
      <c r="E51" s="48">
        <v>414.65499999999997</v>
      </c>
    </row>
    <row r="52" spans="1:5" x14ac:dyDescent="0.3">
      <c r="A52" s="41" t="s">
        <v>72</v>
      </c>
      <c r="B52" s="42" t="s">
        <v>10</v>
      </c>
      <c r="C52" s="42">
        <v>2022</v>
      </c>
      <c r="D52" s="40">
        <v>0</v>
      </c>
      <c r="E52" s="48">
        <v>412.077</v>
      </c>
    </row>
    <row r="53" spans="1:5" x14ac:dyDescent="0.3">
      <c r="A53" s="41" t="s">
        <v>73</v>
      </c>
      <c r="B53" s="42" t="s">
        <v>10</v>
      </c>
      <c r="C53" s="42">
        <v>2023</v>
      </c>
      <c r="D53" s="40">
        <v>0</v>
      </c>
      <c r="E53" s="48">
        <v>420.154</v>
      </c>
    </row>
    <row r="54" spans="1:5" x14ac:dyDescent="0.3">
      <c r="A54" s="41" t="s">
        <v>74</v>
      </c>
      <c r="B54" s="42" t="s">
        <v>10</v>
      </c>
      <c r="C54" s="42">
        <v>2024</v>
      </c>
      <c r="D54" s="40">
        <v>0</v>
      </c>
      <c r="E54" s="48">
        <v>402.70400000000001</v>
      </c>
    </row>
    <row r="55" spans="1:5" x14ac:dyDescent="0.3">
      <c r="A55" s="41" t="s">
        <v>75</v>
      </c>
      <c r="B55" s="42" t="s">
        <v>10</v>
      </c>
      <c r="C55" s="42">
        <v>2025</v>
      </c>
      <c r="D55" s="40">
        <v>0</v>
      </c>
      <c r="E55" s="48">
        <v>374.83300000000003</v>
      </c>
    </row>
    <row r="56" spans="1:5" x14ac:dyDescent="0.3">
      <c r="A56" s="41" t="s">
        <v>76</v>
      </c>
      <c r="B56" s="42" t="s">
        <v>11</v>
      </c>
      <c r="C56" s="42">
        <v>2021</v>
      </c>
      <c r="D56" s="40">
        <v>0</v>
      </c>
      <c r="E56" s="48">
        <v>294.21575712666902</v>
      </c>
    </row>
    <row r="57" spans="1:5" x14ac:dyDescent="0.3">
      <c r="A57" s="41" t="s">
        <v>77</v>
      </c>
      <c r="B57" s="42" t="s">
        <v>11</v>
      </c>
      <c r="C57" s="42">
        <v>2022</v>
      </c>
      <c r="D57" s="40">
        <v>0</v>
      </c>
      <c r="E57" s="48">
        <v>293.25057516172097</v>
      </c>
    </row>
    <row r="58" spans="1:5" x14ac:dyDescent="0.3">
      <c r="A58" s="41" t="s">
        <v>78</v>
      </c>
      <c r="B58" s="42" t="s">
        <v>11</v>
      </c>
      <c r="C58" s="42">
        <v>2023</v>
      </c>
      <c r="D58" s="40">
        <v>0</v>
      </c>
      <c r="E58" s="48">
        <v>281.71299825291601</v>
      </c>
    </row>
    <row r="59" spans="1:5" x14ac:dyDescent="0.3">
      <c r="A59" s="41" t="s">
        <v>79</v>
      </c>
      <c r="B59" s="42" t="s">
        <v>11</v>
      </c>
      <c r="C59" s="42">
        <v>2024</v>
      </c>
      <c r="D59" s="40">
        <v>0</v>
      </c>
      <c r="E59" s="48">
        <v>263.00993647553798</v>
      </c>
    </row>
    <row r="60" spans="1:5" x14ac:dyDescent="0.3">
      <c r="A60" s="41" t="s">
        <v>80</v>
      </c>
      <c r="B60" s="42" t="s">
        <v>11</v>
      </c>
      <c r="C60" s="42">
        <v>2025</v>
      </c>
      <c r="D60" s="40">
        <v>0</v>
      </c>
      <c r="E60" s="48">
        <v>236.27183602763799</v>
      </c>
    </row>
    <row r="61" spans="1:5" x14ac:dyDescent="0.3">
      <c r="A61" s="41" t="s">
        <v>81</v>
      </c>
      <c r="B61" s="42" t="s">
        <v>12</v>
      </c>
      <c r="C61" s="42">
        <v>2021</v>
      </c>
      <c r="D61" s="40">
        <v>8.3000000000000004E-2</v>
      </c>
      <c r="E61" s="48">
        <v>90.980999999999995</v>
      </c>
    </row>
    <row r="62" spans="1:5" x14ac:dyDescent="0.3">
      <c r="A62" s="41" t="s">
        <v>82</v>
      </c>
      <c r="B62" s="42" t="s">
        <v>12</v>
      </c>
      <c r="C62" s="42">
        <v>2022</v>
      </c>
      <c r="D62" s="40">
        <v>8.3000000000000004E-2</v>
      </c>
      <c r="E62" s="48">
        <v>90.581999999999994</v>
      </c>
    </row>
    <row r="63" spans="1:5" x14ac:dyDescent="0.3">
      <c r="A63" s="41" t="s">
        <v>83</v>
      </c>
      <c r="B63" s="42" t="s">
        <v>12</v>
      </c>
      <c r="C63" s="42">
        <v>2023</v>
      </c>
      <c r="D63" s="40">
        <v>8.3000000000000004E-2</v>
      </c>
      <c r="E63" s="48">
        <v>91.372</v>
      </c>
    </row>
    <row r="64" spans="1:5" x14ac:dyDescent="0.3">
      <c r="A64" s="41" t="s">
        <v>84</v>
      </c>
      <c r="B64" s="42" t="s">
        <v>12</v>
      </c>
      <c r="C64" s="42">
        <v>2024</v>
      </c>
      <c r="D64" s="40">
        <v>8.3000000000000004E-2</v>
      </c>
      <c r="E64" s="48">
        <v>91.606999999999999</v>
      </c>
    </row>
    <row r="65" spans="1:5" x14ac:dyDescent="0.3">
      <c r="A65" s="41" t="s">
        <v>85</v>
      </c>
      <c r="B65" s="42" t="s">
        <v>12</v>
      </c>
      <c r="C65" s="42">
        <v>2025</v>
      </c>
      <c r="D65" s="40">
        <v>8.3000000000000004E-2</v>
      </c>
      <c r="E65" s="48">
        <v>92.655000000000001</v>
      </c>
    </row>
    <row r="66" spans="1:5" x14ac:dyDescent="0.3">
      <c r="A66" s="41" t="s">
        <v>86</v>
      </c>
      <c r="B66" s="42" t="s">
        <v>25</v>
      </c>
      <c r="C66" s="42">
        <v>2021</v>
      </c>
      <c r="D66" s="40">
        <v>0</v>
      </c>
      <c r="E66" s="48">
        <v>0</v>
      </c>
    </row>
    <row r="67" spans="1:5" x14ac:dyDescent="0.3">
      <c r="A67" s="41" t="s">
        <v>87</v>
      </c>
      <c r="B67" s="42" t="s">
        <v>25</v>
      </c>
      <c r="C67" s="42">
        <v>2022</v>
      </c>
      <c r="D67" s="40">
        <v>0</v>
      </c>
      <c r="E67" s="48">
        <v>0</v>
      </c>
    </row>
    <row r="68" spans="1:5" x14ac:dyDescent="0.3">
      <c r="A68" s="41" t="s">
        <v>88</v>
      </c>
      <c r="B68" s="42" t="s">
        <v>25</v>
      </c>
      <c r="C68" s="42">
        <v>2023</v>
      </c>
      <c r="D68" s="40">
        <v>0</v>
      </c>
      <c r="E68" s="48">
        <v>0</v>
      </c>
    </row>
    <row r="69" spans="1:5" x14ac:dyDescent="0.3">
      <c r="A69" s="41" t="s">
        <v>89</v>
      </c>
      <c r="B69" s="42" t="s">
        <v>25</v>
      </c>
      <c r="C69" s="42">
        <v>2024</v>
      </c>
      <c r="D69" s="40">
        <v>0</v>
      </c>
      <c r="E69" s="48">
        <v>0</v>
      </c>
    </row>
    <row r="70" spans="1:5" x14ac:dyDescent="0.3">
      <c r="A70" s="41" t="s">
        <v>90</v>
      </c>
      <c r="B70" s="42" t="s">
        <v>25</v>
      </c>
      <c r="C70" s="42">
        <v>2025</v>
      </c>
      <c r="D70" s="40">
        <v>0</v>
      </c>
      <c r="E70" s="48">
        <v>0</v>
      </c>
    </row>
    <row r="71" spans="1:5" x14ac:dyDescent="0.3">
      <c r="A71" s="41" t="s">
        <v>91</v>
      </c>
      <c r="B71" s="42" t="s">
        <v>13</v>
      </c>
      <c r="C71" s="42">
        <v>2021</v>
      </c>
      <c r="D71" s="40">
        <v>0</v>
      </c>
      <c r="E71" s="48">
        <v>0</v>
      </c>
    </row>
    <row r="72" spans="1:5" x14ac:dyDescent="0.3">
      <c r="A72" s="41" t="s">
        <v>92</v>
      </c>
      <c r="B72" s="42" t="s">
        <v>13</v>
      </c>
      <c r="C72" s="42">
        <v>2022</v>
      </c>
      <c r="D72" s="40">
        <v>0</v>
      </c>
      <c r="E72" s="48">
        <v>0</v>
      </c>
    </row>
    <row r="73" spans="1:5" x14ac:dyDescent="0.3">
      <c r="A73" s="41" t="s">
        <v>93</v>
      </c>
      <c r="B73" s="42" t="s">
        <v>13</v>
      </c>
      <c r="C73" s="42">
        <v>2023</v>
      </c>
      <c r="D73" s="40">
        <v>0</v>
      </c>
      <c r="E73" s="48">
        <v>0</v>
      </c>
    </row>
    <row r="74" spans="1:5" x14ac:dyDescent="0.3">
      <c r="A74" s="41" t="s">
        <v>94</v>
      </c>
      <c r="B74" s="42" t="s">
        <v>13</v>
      </c>
      <c r="C74" s="42">
        <v>2024</v>
      </c>
      <c r="D74" s="40">
        <v>0</v>
      </c>
      <c r="E74" s="48">
        <v>0</v>
      </c>
    </row>
    <row r="75" spans="1:5" x14ac:dyDescent="0.3">
      <c r="A75" s="41" t="s">
        <v>95</v>
      </c>
      <c r="B75" s="42" t="s">
        <v>13</v>
      </c>
      <c r="C75" s="42">
        <v>2025</v>
      </c>
      <c r="D75" s="40">
        <v>0</v>
      </c>
      <c r="E75" s="48">
        <v>0</v>
      </c>
    </row>
    <row r="76" spans="1:5" x14ac:dyDescent="0.3">
      <c r="A76" s="41" t="s">
        <v>96</v>
      </c>
      <c r="B76" s="42" t="s">
        <v>14</v>
      </c>
      <c r="C76" s="42">
        <v>2021</v>
      </c>
      <c r="D76" s="40">
        <v>2.2639999999999998</v>
      </c>
      <c r="E76" s="48">
        <v>40.406999999999996</v>
      </c>
    </row>
    <row r="77" spans="1:5" x14ac:dyDescent="0.3">
      <c r="A77" s="41" t="s">
        <v>97</v>
      </c>
      <c r="B77" s="42" t="s">
        <v>14</v>
      </c>
      <c r="C77" s="42">
        <v>2022</v>
      </c>
      <c r="D77" s="40">
        <v>0</v>
      </c>
      <c r="E77" s="48">
        <v>38.174999999999997</v>
      </c>
    </row>
    <row r="78" spans="1:5" x14ac:dyDescent="0.3">
      <c r="A78" s="41" t="s">
        <v>98</v>
      </c>
      <c r="B78" s="42" t="s">
        <v>14</v>
      </c>
      <c r="C78" s="42">
        <v>2023</v>
      </c>
      <c r="D78" s="40">
        <v>0</v>
      </c>
      <c r="E78" s="48">
        <v>38.857999999999997</v>
      </c>
    </row>
    <row r="79" spans="1:5" x14ac:dyDescent="0.3">
      <c r="A79" s="41" t="s">
        <v>99</v>
      </c>
      <c r="B79" s="42" t="s">
        <v>14</v>
      </c>
      <c r="C79" s="42">
        <v>2024</v>
      </c>
      <c r="D79" s="40">
        <v>0</v>
      </c>
      <c r="E79" s="48">
        <v>51.771999999999998</v>
      </c>
    </row>
    <row r="80" spans="1:5" x14ac:dyDescent="0.3">
      <c r="A80" s="41" t="s">
        <v>100</v>
      </c>
      <c r="B80" s="42" t="s">
        <v>14</v>
      </c>
      <c r="C80" s="42">
        <v>2025</v>
      </c>
      <c r="D80" s="40">
        <v>0</v>
      </c>
      <c r="E80" s="48">
        <v>54.731999999999999</v>
      </c>
    </row>
    <row r="81" spans="1:5" x14ac:dyDescent="0.3">
      <c r="A81" s="41" t="s">
        <v>101</v>
      </c>
      <c r="B81" s="42" t="s">
        <v>15</v>
      </c>
      <c r="C81" s="42">
        <v>2021</v>
      </c>
      <c r="D81" s="40">
        <v>0</v>
      </c>
      <c r="E81" s="48">
        <v>52.654000000000003</v>
      </c>
    </row>
    <row r="82" spans="1:5" x14ac:dyDescent="0.3">
      <c r="A82" s="41" t="s">
        <v>102</v>
      </c>
      <c r="B82" s="42" t="s">
        <v>15</v>
      </c>
      <c r="C82" s="42">
        <v>2022</v>
      </c>
      <c r="D82" s="40">
        <v>0</v>
      </c>
      <c r="E82" s="48">
        <v>57.351999999999997</v>
      </c>
    </row>
    <row r="83" spans="1:5" x14ac:dyDescent="0.3">
      <c r="A83" s="41" t="s">
        <v>103</v>
      </c>
      <c r="B83" s="42" t="s">
        <v>15</v>
      </c>
      <c r="C83" s="42">
        <v>2023</v>
      </c>
      <c r="D83" s="40">
        <v>0</v>
      </c>
      <c r="E83" s="48">
        <v>51.917999999999999</v>
      </c>
    </row>
    <row r="84" spans="1:5" x14ac:dyDescent="0.3">
      <c r="A84" s="41" t="s">
        <v>104</v>
      </c>
      <c r="B84" s="42" t="s">
        <v>15</v>
      </c>
      <c r="C84" s="42">
        <v>2024</v>
      </c>
      <c r="D84" s="40">
        <v>0</v>
      </c>
      <c r="E84" s="48">
        <v>46.165999999999997</v>
      </c>
    </row>
    <row r="85" spans="1:5" x14ac:dyDescent="0.3">
      <c r="A85" s="41" t="s">
        <v>105</v>
      </c>
      <c r="B85" s="42" t="s">
        <v>15</v>
      </c>
      <c r="C85" s="42">
        <v>2025</v>
      </c>
      <c r="D85" s="40">
        <v>0</v>
      </c>
      <c r="E85" s="48">
        <v>45.219000000000001</v>
      </c>
    </row>
    <row r="86" spans="1:5" x14ac:dyDescent="0.3">
      <c r="A86" s="41" t="s">
        <v>106</v>
      </c>
      <c r="B86" s="42" t="s">
        <v>16</v>
      </c>
      <c r="C86" s="42">
        <v>2021</v>
      </c>
      <c r="D86" s="40">
        <v>0</v>
      </c>
      <c r="E86" s="48">
        <v>172.16200000000001</v>
      </c>
    </row>
    <row r="87" spans="1:5" x14ac:dyDescent="0.3">
      <c r="A87" s="41" t="s">
        <v>107</v>
      </c>
      <c r="B87" s="42" t="s">
        <v>16</v>
      </c>
      <c r="C87" s="42">
        <v>2022</v>
      </c>
      <c r="D87" s="40">
        <v>0</v>
      </c>
      <c r="E87" s="48">
        <v>199.673</v>
      </c>
    </row>
    <row r="88" spans="1:5" x14ac:dyDescent="0.3">
      <c r="A88" s="41" t="s">
        <v>108</v>
      </c>
      <c r="B88" s="42" t="s">
        <v>16</v>
      </c>
      <c r="C88" s="42">
        <v>2023</v>
      </c>
      <c r="D88" s="40">
        <v>0</v>
      </c>
      <c r="E88" s="48">
        <v>208.291</v>
      </c>
    </row>
    <row r="89" spans="1:5" x14ac:dyDescent="0.3">
      <c r="A89" s="41" t="s">
        <v>109</v>
      </c>
      <c r="B89" s="42" t="s">
        <v>16</v>
      </c>
      <c r="C89" s="42">
        <v>2024</v>
      </c>
      <c r="D89" s="40">
        <v>0</v>
      </c>
      <c r="E89" s="48">
        <v>186.22200000000001</v>
      </c>
    </row>
    <row r="90" spans="1:5" x14ac:dyDescent="0.3">
      <c r="A90" s="41" t="s">
        <v>110</v>
      </c>
      <c r="B90" s="42" t="s">
        <v>16</v>
      </c>
      <c r="C90" s="42">
        <v>2025</v>
      </c>
      <c r="D90" s="40">
        <v>0</v>
      </c>
      <c r="E90" s="48">
        <v>194.59899999999999</v>
      </c>
    </row>
    <row r="91" spans="1:5" x14ac:dyDescent="0.3">
      <c r="A91" s="41" t="s">
        <v>111</v>
      </c>
      <c r="B91" s="42" t="s">
        <v>17</v>
      </c>
      <c r="C91" s="42">
        <v>2021</v>
      </c>
      <c r="D91" s="40">
        <v>2.9146386892577199</v>
      </c>
      <c r="E91" s="48">
        <v>112.527432753265</v>
      </c>
    </row>
    <row r="92" spans="1:5" x14ac:dyDescent="0.3">
      <c r="A92" s="41" t="s">
        <v>112</v>
      </c>
      <c r="B92" s="42" t="s">
        <v>17</v>
      </c>
      <c r="C92" s="42">
        <v>2022</v>
      </c>
      <c r="D92" s="40">
        <v>0</v>
      </c>
      <c r="E92" s="48">
        <v>116.29561663750501</v>
      </c>
    </row>
    <row r="93" spans="1:5" x14ac:dyDescent="0.3">
      <c r="A93" s="41" t="s">
        <v>113</v>
      </c>
      <c r="B93" s="42" t="s">
        <v>17</v>
      </c>
      <c r="C93" s="42">
        <v>2023</v>
      </c>
      <c r="D93" s="40">
        <v>0</v>
      </c>
      <c r="E93" s="48">
        <v>117.955781425252</v>
      </c>
    </row>
    <row r="94" spans="1:5" x14ac:dyDescent="0.3">
      <c r="A94" s="41" t="s">
        <v>114</v>
      </c>
      <c r="B94" s="42" t="s">
        <v>17</v>
      </c>
      <c r="C94" s="42">
        <v>2024</v>
      </c>
      <c r="D94" s="40">
        <v>0</v>
      </c>
      <c r="E94" s="48">
        <v>94.121966414052807</v>
      </c>
    </row>
    <row r="95" spans="1:5" x14ac:dyDescent="0.3">
      <c r="A95" s="41" t="s">
        <v>115</v>
      </c>
      <c r="B95" s="42" t="s">
        <v>17</v>
      </c>
      <c r="C95" s="42">
        <v>2025</v>
      </c>
      <c r="D95" s="40">
        <v>0</v>
      </c>
      <c r="E95" s="48">
        <v>97.128204442325099</v>
      </c>
    </row>
    <row r="96" spans="1:5" x14ac:dyDescent="0.3">
      <c r="A96" s="41" t="str">
        <f t="shared" ref="A96" si="0">B96&amp;RIGHT(C96,2)</f>
        <v>SVE21</v>
      </c>
      <c r="B96" s="10" t="s">
        <v>116</v>
      </c>
      <c r="C96" s="42">
        <v>2021</v>
      </c>
      <c r="D96" s="40">
        <v>2.7509999999999999</v>
      </c>
      <c r="E96" s="48">
        <v>575.06571742576398</v>
      </c>
    </row>
    <row r="97" spans="1:6" x14ac:dyDescent="0.3">
      <c r="A97" s="41" t="str">
        <f>B97&amp;RIGHT(C97,2)</f>
        <v>SVE22</v>
      </c>
      <c r="B97" s="10" t="s">
        <v>116</v>
      </c>
      <c r="C97" s="42">
        <v>2022</v>
      </c>
      <c r="D97" s="40">
        <v>1.0009999999999999</v>
      </c>
      <c r="E97" s="48">
        <v>631.12859132579104</v>
      </c>
    </row>
    <row r="98" spans="1:6" x14ac:dyDescent="0.3">
      <c r="A98" s="41" t="str">
        <f>B98&amp;RIGHT(C98,2)</f>
        <v>SVE23</v>
      </c>
      <c r="B98" s="10" t="s">
        <v>116</v>
      </c>
      <c r="C98" s="42">
        <v>2023</v>
      </c>
      <c r="D98" s="40">
        <v>1.8029999999999999</v>
      </c>
      <c r="E98" s="48">
        <v>643.43469392974998</v>
      </c>
    </row>
    <row r="99" spans="1:6" x14ac:dyDescent="0.3">
      <c r="A99" s="41" t="str">
        <f>B99&amp;RIGHT(C99,2)</f>
        <v>SVE24</v>
      </c>
      <c r="B99" s="10" t="s">
        <v>116</v>
      </c>
      <c r="C99" s="42">
        <v>2024</v>
      </c>
      <c r="D99" s="40">
        <v>1.8029999999999999</v>
      </c>
      <c r="E99" s="48">
        <v>635.41164547131598</v>
      </c>
    </row>
    <row r="100" spans="1:6" x14ac:dyDescent="0.3">
      <c r="A100" s="41" t="str">
        <f>B100&amp;RIGHT(C100,2)</f>
        <v>SVE25</v>
      </c>
      <c r="B100" s="10" t="s">
        <v>116</v>
      </c>
      <c r="C100" s="42">
        <v>2025</v>
      </c>
      <c r="D100" s="40">
        <v>1.4530000000000001</v>
      </c>
      <c r="E100" s="48">
        <v>630.76354224170598</v>
      </c>
    </row>
    <row r="101" spans="1:6" x14ac:dyDescent="0.3">
      <c r="A101" s="41" t="str">
        <f t="shared" ref="A101" si="1">B101&amp;RIGHT(C101,2)</f>
        <v>HDD21</v>
      </c>
      <c r="B101" s="10" t="s">
        <v>117</v>
      </c>
      <c r="C101" s="42">
        <v>2021</v>
      </c>
      <c r="D101" s="40">
        <v>0.69207947530290403</v>
      </c>
      <c r="E101" s="48">
        <v>26.872050951823599</v>
      </c>
    </row>
    <row r="102" spans="1:6" x14ac:dyDescent="0.3">
      <c r="A102" s="41" t="str">
        <f>B102&amp;RIGHT(C102,2)</f>
        <v>HDD22</v>
      </c>
      <c r="B102" s="10" t="s">
        <v>117</v>
      </c>
      <c r="C102" s="42">
        <v>2022</v>
      </c>
      <c r="D102" s="40">
        <v>0.69207947530290403</v>
      </c>
      <c r="E102" s="48">
        <v>26.692718899269298</v>
      </c>
    </row>
    <row r="103" spans="1:6" x14ac:dyDescent="0.3">
      <c r="A103" s="41" t="str">
        <f>B103&amp;RIGHT(C103,2)</f>
        <v>HDD23</v>
      </c>
      <c r="B103" s="10" t="s">
        <v>117</v>
      </c>
      <c r="C103" s="42">
        <v>2023</v>
      </c>
      <c r="D103" s="40">
        <v>0</v>
      </c>
      <c r="E103" s="48">
        <v>26.203587153191499</v>
      </c>
    </row>
    <row r="104" spans="1:6" x14ac:dyDescent="0.3">
      <c r="A104" s="41" t="str">
        <f>B104&amp;RIGHT(C104,2)</f>
        <v>HDD24</v>
      </c>
      <c r="B104" s="10" t="s">
        <v>117</v>
      </c>
      <c r="C104" s="42">
        <v>2024</v>
      </c>
      <c r="D104" s="40">
        <v>0</v>
      </c>
      <c r="E104" s="48">
        <v>25.616950688549899</v>
      </c>
    </row>
    <row r="105" spans="1:6" x14ac:dyDescent="0.3">
      <c r="A105" s="41" t="str">
        <f>B105&amp;RIGHT(C105,2)</f>
        <v>HDD25</v>
      </c>
      <c r="B105" s="10" t="s">
        <v>117</v>
      </c>
      <c r="C105" s="42">
        <v>2025</v>
      </c>
      <c r="D105" s="40">
        <v>0</v>
      </c>
      <c r="E105" s="48">
        <v>25.9173372120738</v>
      </c>
    </row>
    <row r="107" spans="1:6" s="44" customFormat="1" x14ac:dyDescent="0.3">
      <c r="A107" s="43"/>
      <c r="B107" s="6"/>
      <c r="C107" s="6"/>
      <c r="D107" s="6"/>
      <c r="E107" s="6"/>
      <c r="F107" s="6"/>
    </row>
    <row r="108" spans="1:6" x14ac:dyDescent="0.3">
      <c r="B108" s="6"/>
      <c r="C108" s="6"/>
    </row>
    <row r="109" spans="1:6" x14ac:dyDescent="0.3">
      <c r="B109" s="6"/>
      <c r="C109" s="6"/>
    </row>
    <row r="110" spans="1:6" x14ac:dyDescent="0.3">
      <c r="B110" s="6"/>
      <c r="C110" s="6"/>
    </row>
    <row r="111" spans="1:6" x14ac:dyDescent="0.3">
      <c r="B111" s="6"/>
      <c r="C111" s="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24"/>
  <sheetViews>
    <sheetView showGridLines="0" zoomScale="80" zoomScaleNormal="80" workbookViewId="0">
      <selection activeCell="R9" sqref="R9"/>
    </sheetView>
  </sheetViews>
  <sheetFormatPr defaultColWidth="9" defaultRowHeight="13" x14ac:dyDescent="0.3"/>
  <cols>
    <col min="1" max="1" width="9" style="6"/>
    <col min="2" max="7" width="10" style="6" customWidth="1"/>
    <col min="8" max="8" width="5" style="6" customWidth="1"/>
    <col min="9" max="10" width="10" style="6" customWidth="1"/>
    <col min="11" max="11" width="14.7265625" style="6" customWidth="1"/>
    <col min="12" max="14" width="10" style="6" customWidth="1"/>
    <col min="15" max="16384" width="9" style="6"/>
  </cols>
  <sheetData>
    <row r="1" spans="1:16" ht="18.5" x14ac:dyDescent="0.3">
      <c r="A1" s="49" t="s">
        <v>188</v>
      </c>
    </row>
    <row r="5" spans="1:16" x14ac:dyDescent="0.3">
      <c r="A5" s="56" t="str">
        <f>Data!D5</f>
        <v>Capex WINEP / NEP ~ Eels Regulations (measures at intakes)</v>
      </c>
    </row>
    <row r="6" spans="1:16" ht="39" x14ac:dyDescent="0.3">
      <c r="B6" s="50">
        <v>2021</v>
      </c>
      <c r="C6" s="50">
        <v>2022</v>
      </c>
      <c r="D6" s="50">
        <v>2023</v>
      </c>
      <c r="E6" s="50">
        <v>2024</v>
      </c>
      <c r="F6" s="50">
        <v>2025</v>
      </c>
      <c r="G6" s="50" t="s">
        <v>130</v>
      </c>
      <c r="I6" s="50" t="s">
        <v>0</v>
      </c>
      <c r="J6" s="50" t="s">
        <v>122</v>
      </c>
      <c r="K6" s="50" t="s">
        <v>123</v>
      </c>
      <c r="L6" s="61" t="s">
        <v>189</v>
      </c>
      <c r="M6" s="61" t="s">
        <v>190</v>
      </c>
      <c r="N6" s="61" t="s">
        <v>191</v>
      </c>
    </row>
    <row r="7" spans="1:16" x14ac:dyDescent="0.3">
      <c r="A7" s="51" t="s">
        <v>1</v>
      </c>
      <c r="B7" s="79">
        <f>SUMIFS(Data!$D$6:$D$105,Data!$B$6:$B$105,$A7,Data!$C$6:$C$105,B$6)</f>
        <v>0.35561360274623999</v>
      </c>
      <c r="C7" s="79">
        <f>SUMIFS(Data!$D$6:$D$105,Data!$B$6:$B$105,$A7,Data!$C$6:$C$105,C$6)</f>
        <v>1.0424433024380599</v>
      </c>
      <c r="D7" s="79">
        <f>SUMIFS(Data!$D$6:$D$105,Data!$B$6:$B$105,$A7,Data!$C$6:$C$105,D$6)</f>
        <v>0.69300733201588305</v>
      </c>
      <c r="E7" s="79">
        <f>SUMIFS(Data!$D$6:$D$105,Data!$B$6:$B$105,$A7,Data!$C$6:$C$105,E$6)</f>
        <v>6.1898542870197799</v>
      </c>
      <c r="F7" s="79">
        <f>SUMIFS(Data!$D$6:$D$105,Data!$B$6:$B$105,$A7,Data!$C$6:$C$105,F$6)</f>
        <v>0</v>
      </c>
      <c r="G7" s="80">
        <f>SUM(B7:F7)</f>
        <v>8.2809185242199632</v>
      </c>
      <c r="I7" s="53">
        <f>SUMIFS(Data!$E$6:$E$105,Data!$B$6:$B$105,$A7,Data!$C$6:$C$105,"&gt;=2021")</f>
        <v>2814.0055180862919</v>
      </c>
      <c r="J7" s="54">
        <f>G7/I7</f>
        <v>2.9427513453674854E-3</v>
      </c>
      <c r="K7" s="52" t="s">
        <v>24</v>
      </c>
      <c r="L7" s="79">
        <v>7.0387807455869682</v>
      </c>
      <c r="M7" s="79"/>
      <c r="N7" s="79">
        <f>L7+M7</f>
        <v>7.0387807455869682</v>
      </c>
      <c r="P7" s="78"/>
    </row>
    <row r="8" spans="1:16" x14ac:dyDescent="0.3">
      <c r="A8" s="51" t="s">
        <v>117</v>
      </c>
      <c r="B8" s="79">
        <f>SUMIFS(Data!$D$6:$D$105,Data!$B$6:$B$105,$A8,Data!$C$6:$C$105,B$6)</f>
        <v>0.69207947530290403</v>
      </c>
      <c r="C8" s="79">
        <f>SUMIFS(Data!$D$6:$D$105,Data!$B$6:$B$105,$A8,Data!$C$6:$C$105,C$6)</f>
        <v>0.69207947530290403</v>
      </c>
      <c r="D8" s="79">
        <f>SUMIFS(Data!$D$6:$D$105,Data!$B$6:$B$105,$A8,Data!$C$6:$C$105,D$6)</f>
        <v>0</v>
      </c>
      <c r="E8" s="79">
        <f>SUMIFS(Data!$D$6:$D$105,Data!$B$6:$B$105,$A8,Data!$C$6:$C$105,E$6)</f>
        <v>0</v>
      </c>
      <c r="F8" s="79">
        <f>SUMIFS(Data!$D$6:$D$105,Data!$B$6:$B$105,$A8,Data!$C$6:$C$105,F$6)</f>
        <v>0</v>
      </c>
      <c r="G8" s="80">
        <f t="shared" ref="G8:G23" si="0">SUM(B8:F8)</f>
        <v>1.3841589506058081</v>
      </c>
      <c r="I8" s="53">
        <f>SUMIFS(Data!$E$6:$E$105,Data!$B$6:$B$105,$A8,Data!$C$6:$C$105,"&gt;=2021")</f>
        <v>131.30264490490808</v>
      </c>
      <c r="J8" s="54">
        <f t="shared" ref="J8:J24" si="1">G8/I8</f>
        <v>1.0541744620668097E-2</v>
      </c>
      <c r="K8" s="59" t="s">
        <v>166</v>
      </c>
      <c r="L8" s="79"/>
      <c r="M8" s="79">
        <f>'Deep dive_HDD'!B9</f>
        <v>1.1073271604846464</v>
      </c>
      <c r="N8" s="79">
        <f t="shared" ref="N8:N23" si="2">L8+M8</f>
        <v>1.1073271604846464</v>
      </c>
      <c r="P8" s="78"/>
    </row>
    <row r="9" spans="1:16" x14ac:dyDescent="0.3">
      <c r="A9" s="51" t="s">
        <v>2</v>
      </c>
      <c r="B9" s="79">
        <f>SUMIFS(Data!$D$6:$D$105,Data!$B$6:$B$105,$A9,Data!$C$6:$C$105,B$6)</f>
        <v>0.97399999999999998</v>
      </c>
      <c r="C9" s="79">
        <f>SUMIFS(Data!$D$6:$D$105,Data!$B$6:$B$105,$A9,Data!$C$6:$C$105,C$6)</f>
        <v>0.97499999999999998</v>
      </c>
      <c r="D9" s="79">
        <f>SUMIFS(Data!$D$6:$D$105,Data!$B$6:$B$105,$A9,Data!$C$6:$C$105,D$6)</f>
        <v>0.65</v>
      </c>
      <c r="E9" s="79">
        <f>SUMIFS(Data!$D$6:$D$105,Data!$B$6:$B$105,$A9,Data!$C$6:$C$105,E$6)</f>
        <v>0.32500000000000001</v>
      </c>
      <c r="F9" s="79">
        <f>SUMIFS(Data!$D$6:$D$105,Data!$B$6:$B$105,$A9,Data!$C$6:$C$105,F$6)</f>
        <v>0.32600000000000001</v>
      </c>
      <c r="G9" s="80">
        <f t="shared" si="0"/>
        <v>3.25</v>
      </c>
      <c r="I9" s="53">
        <f>SUMIFS(Data!$E$6:$E$105,Data!$B$6:$B$105,$A9,Data!$C$6:$C$105,"&gt;=2021")</f>
        <v>1729.884</v>
      </c>
      <c r="J9" s="54">
        <f t="shared" si="1"/>
        <v>1.8787386899930861E-3</v>
      </c>
      <c r="K9" s="52" t="s">
        <v>24</v>
      </c>
      <c r="L9" s="79">
        <f>G9</f>
        <v>3.25</v>
      </c>
      <c r="M9" s="79"/>
      <c r="N9" s="79">
        <f t="shared" si="2"/>
        <v>3.25</v>
      </c>
      <c r="P9" s="78"/>
    </row>
    <row r="10" spans="1:16" x14ac:dyDescent="0.3">
      <c r="A10" s="51" t="s">
        <v>3</v>
      </c>
      <c r="B10" s="79">
        <f>SUMIFS(Data!$D$6:$D$105,Data!$B$6:$B$105,$A10,Data!$C$6:$C$105,B$6)</f>
        <v>0</v>
      </c>
      <c r="C10" s="79">
        <f>SUMIFS(Data!$D$6:$D$105,Data!$B$6:$B$105,$A10,Data!$C$6:$C$105,C$6)</f>
        <v>1.8423703638999998E-2</v>
      </c>
      <c r="D10" s="79">
        <f>SUMIFS(Data!$D$6:$D$105,Data!$B$6:$B$105,$A10,Data!$C$6:$C$105,D$6)</f>
        <v>0.14559679304600001</v>
      </c>
      <c r="E10" s="79">
        <f>SUMIFS(Data!$D$6:$D$105,Data!$B$6:$B$105,$A10,Data!$C$6:$C$105,E$6)</f>
        <v>1.412745887412</v>
      </c>
      <c r="F10" s="79">
        <f>SUMIFS(Data!$D$6:$D$105,Data!$B$6:$B$105,$A10,Data!$C$6:$C$105,F$6)</f>
        <v>3.5110092909500001</v>
      </c>
      <c r="G10" s="80">
        <f t="shared" si="0"/>
        <v>5.0877756750470002</v>
      </c>
      <c r="I10" s="53">
        <f>SUMIFS(Data!$E$6:$E$105,Data!$B$6:$B$105,$A10,Data!$C$6:$C$105,"&gt;=2021")</f>
        <v>2477.5035104607214</v>
      </c>
      <c r="J10" s="54">
        <f t="shared" si="1"/>
        <v>2.053589693643206E-3</v>
      </c>
      <c r="K10" s="52" t="s">
        <v>24</v>
      </c>
      <c r="L10" s="79">
        <f>G10</f>
        <v>5.0877756750470002</v>
      </c>
      <c r="M10" s="79"/>
      <c r="N10" s="79">
        <f t="shared" si="2"/>
        <v>5.0877756750470002</v>
      </c>
      <c r="P10" s="78"/>
    </row>
    <row r="11" spans="1:16" x14ac:dyDescent="0.3">
      <c r="A11" s="51" t="s">
        <v>4</v>
      </c>
      <c r="B11" s="79">
        <f>SUMIFS(Data!$D$6:$D$105,Data!$B$6:$B$105,$A11,Data!$C$6:$C$105,B$6)</f>
        <v>0</v>
      </c>
      <c r="C11" s="79">
        <f>SUMIFS(Data!$D$6:$D$105,Data!$B$6:$B$105,$A11,Data!$C$6:$C$105,C$6)</f>
        <v>0</v>
      </c>
      <c r="D11" s="79">
        <f>SUMIFS(Data!$D$6:$D$105,Data!$B$6:$B$105,$A11,Data!$C$6:$C$105,D$6)</f>
        <v>0</v>
      </c>
      <c r="E11" s="79">
        <f>SUMIFS(Data!$D$6:$D$105,Data!$B$6:$B$105,$A11,Data!$C$6:$C$105,E$6)</f>
        <v>0</v>
      </c>
      <c r="F11" s="79">
        <f>SUMIFS(Data!$D$6:$D$105,Data!$B$6:$B$105,$A11,Data!$C$6:$C$105,F$6)</f>
        <v>0</v>
      </c>
      <c r="G11" s="80">
        <f t="shared" si="0"/>
        <v>0</v>
      </c>
      <c r="I11" s="53">
        <f>SUMIFS(Data!$E$6:$E$105,Data!$B$6:$B$105,$A11,Data!$C$6:$C$105,"&gt;=2021")</f>
        <v>1226.604</v>
      </c>
      <c r="J11" s="54">
        <f t="shared" si="1"/>
        <v>0</v>
      </c>
      <c r="K11" s="52" t="s">
        <v>24</v>
      </c>
      <c r="L11" s="79"/>
      <c r="M11" s="79"/>
      <c r="N11" s="79">
        <f t="shared" si="2"/>
        <v>0</v>
      </c>
      <c r="P11" s="78"/>
    </row>
    <row r="12" spans="1:16" x14ac:dyDescent="0.3">
      <c r="A12" s="51" t="s">
        <v>116</v>
      </c>
      <c r="B12" s="79">
        <f>SUMIFS(Data!$D$6:$D$105,Data!$B$6:$B$105,$A12,Data!$C$6:$C$105,B$6)</f>
        <v>2.7509999999999999</v>
      </c>
      <c r="C12" s="79">
        <f>SUMIFS(Data!$D$6:$D$105,Data!$B$6:$B$105,$A12,Data!$C$6:$C$105,C$6)</f>
        <v>1.0009999999999999</v>
      </c>
      <c r="D12" s="79">
        <f>SUMIFS(Data!$D$6:$D$105,Data!$B$6:$B$105,$A12,Data!$C$6:$C$105,D$6)</f>
        <v>1.8029999999999999</v>
      </c>
      <c r="E12" s="79">
        <f>SUMIFS(Data!$D$6:$D$105,Data!$B$6:$B$105,$A12,Data!$C$6:$C$105,E$6)</f>
        <v>1.8029999999999999</v>
      </c>
      <c r="F12" s="79">
        <f>SUMIFS(Data!$D$6:$D$105,Data!$B$6:$B$105,$A12,Data!$C$6:$C$105,F$6)</f>
        <v>1.4530000000000001</v>
      </c>
      <c r="G12" s="80">
        <f t="shared" si="0"/>
        <v>8.8109999999999999</v>
      </c>
      <c r="I12" s="53">
        <f>SUMIFS(Data!$E$6:$E$105,Data!$B$6:$B$105,$A12,Data!$C$6:$C$105,"&gt;=2021")</f>
        <v>3115.8041903943272</v>
      </c>
      <c r="J12" s="54">
        <f t="shared" si="1"/>
        <v>2.8278413730757918E-3</v>
      </c>
      <c r="K12" s="52" t="s">
        <v>24</v>
      </c>
      <c r="L12" s="79">
        <f>G12</f>
        <v>8.8109999999999999</v>
      </c>
      <c r="M12" s="79"/>
      <c r="N12" s="79">
        <f t="shared" si="2"/>
        <v>8.8109999999999999</v>
      </c>
      <c r="P12" s="78"/>
    </row>
    <row r="13" spans="1:16" x14ac:dyDescent="0.3">
      <c r="A13" s="51" t="s">
        <v>6</v>
      </c>
      <c r="B13" s="79">
        <f>SUMIFS(Data!$D$6:$D$105,Data!$B$6:$B$105,$A13,Data!$C$6:$C$105,B$6)</f>
        <v>0.2</v>
      </c>
      <c r="C13" s="79">
        <f>SUMIFS(Data!$D$6:$D$105,Data!$B$6:$B$105,$A13,Data!$C$6:$C$105,C$6)</f>
        <v>0.21</v>
      </c>
      <c r="D13" s="79">
        <f>SUMIFS(Data!$D$6:$D$105,Data!$B$6:$B$105,$A13,Data!$C$6:$C$105,D$6)</f>
        <v>0.2</v>
      </c>
      <c r="E13" s="79">
        <f>SUMIFS(Data!$D$6:$D$105,Data!$B$6:$B$105,$A13,Data!$C$6:$C$105,E$6)</f>
        <v>0.21</v>
      </c>
      <c r="F13" s="79">
        <f>SUMIFS(Data!$D$6:$D$105,Data!$B$6:$B$105,$A13,Data!$C$6:$C$105,F$6)</f>
        <v>9.1999999999999998E-2</v>
      </c>
      <c r="G13" s="80">
        <f t="shared" si="0"/>
        <v>0.91200000000000003</v>
      </c>
      <c r="I13" s="53">
        <f>SUMIFS(Data!$E$6:$E$105,Data!$B$6:$B$105,$A13,Data!$C$6:$C$105,"&gt;=2021")</f>
        <v>894.25199999999995</v>
      </c>
      <c r="J13" s="54">
        <f t="shared" si="1"/>
        <v>1.0198467546060842E-3</v>
      </c>
      <c r="K13" s="52" t="s">
        <v>24</v>
      </c>
      <c r="L13" s="79">
        <f>G13</f>
        <v>0.91200000000000003</v>
      </c>
      <c r="M13" s="79"/>
      <c r="N13" s="79">
        <f t="shared" si="2"/>
        <v>0.91200000000000003</v>
      </c>
      <c r="P13" s="78"/>
    </row>
    <row r="14" spans="1:16" x14ac:dyDescent="0.3">
      <c r="A14" s="51" t="s">
        <v>7</v>
      </c>
      <c r="B14" s="79">
        <f>SUMIFS(Data!$D$6:$D$105,Data!$B$6:$B$105,$A14,Data!$C$6:$C$105,B$6)</f>
        <v>0</v>
      </c>
      <c r="C14" s="79">
        <f>SUMIFS(Data!$D$6:$D$105,Data!$B$6:$B$105,$A14,Data!$C$6:$C$105,C$6)</f>
        <v>0</v>
      </c>
      <c r="D14" s="79">
        <f>SUMIFS(Data!$D$6:$D$105,Data!$B$6:$B$105,$A14,Data!$C$6:$C$105,D$6)</f>
        <v>0</v>
      </c>
      <c r="E14" s="79">
        <f>SUMIFS(Data!$D$6:$D$105,Data!$B$6:$B$105,$A14,Data!$C$6:$C$105,E$6)</f>
        <v>0</v>
      </c>
      <c r="F14" s="79">
        <f>SUMIFS(Data!$D$6:$D$105,Data!$B$6:$B$105,$A14,Data!$C$6:$C$105,F$6)</f>
        <v>0</v>
      </c>
      <c r="G14" s="80">
        <f t="shared" si="0"/>
        <v>0</v>
      </c>
      <c r="I14" s="53">
        <f>SUMIFS(Data!$E$6:$E$105,Data!$B$6:$B$105,$A14,Data!$C$6:$C$105,"&gt;=2021")</f>
        <v>5658.2039244564403</v>
      </c>
      <c r="J14" s="54">
        <f t="shared" si="1"/>
        <v>0</v>
      </c>
      <c r="K14" s="52" t="s">
        <v>24</v>
      </c>
      <c r="L14" s="79"/>
      <c r="M14" s="79"/>
      <c r="N14" s="79">
        <f t="shared" si="2"/>
        <v>0</v>
      </c>
      <c r="P14" s="78"/>
    </row>
    <row r="15" spans="1:16" x14ac:dyDescent="0.3">
      <c r="A15" s="51" t="s">
        <v>8</v>
      </c>
      <c r="B15" s="79">
        <f>SUMIFS(Data!$D$6:$D$105,Data!$B$6:$B$105,$A15,Data!$C$6:$C$105,B$6)</f>
        <v>6.8000000000000005E-2</v>
      </c>
      <c r="C15" s="79">
        <f>SUMIFS(Data!$D$6:$D$105,Data!$B$6:$B$105,$A15,Data!$C$6:$C$105,C$6)</f>
        <v>0</v>
      </c>
      <c r="D15" s="79">
        <f>SUMIFS(Data!$D$6:$D$105,Data!$B$6:$B$105,$A15,Data!$C$6:$C$105,D$6)</f>
        <v>0</v>
      </c>
      <c r="E15" s="79">
        <f>SUMIFS(Data!$D$6:$D$105,Data!$B$6:$B$105,$A15,Data!$C$6:$C$105,E$6)</f>
        <v>0</v>
      </c>
      <c r="F15" s="79">
        <f>SUMIFS(Data!$D$6:$D$105,Data!$B$6:$B$105,$A15,Data!$C$6:$C$105,F$6)</f>
        <v>0</v>
      </c>
      <c r="G15" s="80">
        <f t="shared" si="0"/>
        <v>6.8000000000000005E-2</v>
      </c>
      <c r="I15" s="53">
        <f>SUMIFS(Data!$E$6:$E$105,Data!$B$6:$B$105,$A15,Data!$C$6:$C$105,"&gt;=2021")</f>
        <v>1646.3919999999998</v>
      </c>
      <c r="J15" s="54">
        <f t="shared" si="1"/>
        <v>4.130243587189443E-5</v>
      </c>
      <c r="K15" s="52" t="s">
        <v>24</v>
      </c>
      <c r="L15" s="79">
        <f>G15</f>
        <v>6.8000000000000005E-2</v>
      </c>
      <c r="M15" s="79"/>
      <c r="N15" s="79">
        <f t="shared" si="2"/>
        <v>6.8000000000000005E-2</v>
      </c>
      <c r="P15" s="78"/>
    </row>
    <row r="16" spans="1:16" x14ac:dyDescent="0.3">
      <c r="A16" s="51" t="s">
        <v>9</v>
      </c>
      <c r="B16" s="79">
        <f>SUMIFS(Data!$D$6:$D$105,Data!$B$6:$B$105,$A16,Data!$C$6:$C$105,B$6)</f>
        <v>4.95789230769231</v>
      </c>
      <c r="C16" s="79">
        <f>SUMIFS(Data!$D$6:$D$105,Data!$B$6:$B$105,$A16,Data!$C$6:$C$105,C$6)</f>
        <v>0</v>
      </c>
      <c r="D16" s="79">
        <f>SUMIFS(Data!$D$6:$D$105,Data!$B$6:$B$105,$A16,Data!$C$6:$C$105,D$6)</f>
        <v>0</v>
      </c>
      <c r="E16" s="79">
        <f>SUMIFS(Data!$D$6:$D$105,Data!$B$6:$B$105,$A16,Data!$C$6:$C$105,E$6)</f>
        <v>0</v>
      </c>
      <c r="F16" s="79">
        <f>SUMIFS(Data!$D$6:$D$105,Data!$B$6:$B$105,$A16,Data!$C$6:$C$105,F$6)</f>
        <v>0</v>
      </c>
      <c r="G16" s="80">
        <f t="shared" si="0"/>
        <v>4.95789230769231</v>
      </c>
      <c r="I16" s="53">
        <f>SUMIFS(Data!$E$6:$E$105,Data!$B$6:$B$105,$A16,Data!$C$6:$C$105,"&gt;=2021")</f>
        <v>660.34856778321205</v>
      </c>
      <c r="J16" s="54">
        <f t="shared" si="1"/>
        <v>7.5079928231478387E-3</v>
      </c>
      <c r="K16" s="59" t="s">
        <v>166</v>
      </c>
      <c r="L16" s="79"/>
      <c r="M16" s="79">
        <f>'Deep dive_WSX'!B9</f>
        <v>3.9663138461538483</v>
      </c>
      <c r="N16" s="79">
        <f t="shared" si="2"/>
        <v>3.9663138461538483</v>
      </c>
      <c r="P16" s="78"/>
    </row>
    <row r="17" spans="1:16" x14ac:dyDescent="0.3">
      <c r="A17" s="51" t="s">
        <v>10</v>
      </c>
      <c r="B17" s="79">
        <f>SUMIFS(Data!$D$6:$D$105,Data!$B$6:$B$105,$A17,Data!$C$6:$C$105,B$6)</f>
        <v>0</v>
      </c>
      <c r="C17" s="79">
        <f>SUMIFS(Data!$D$6:$D$105,Data!$B$6:$B$105,$A17,Data!$C$6:$C$105,C$6)</f>
        <v>0</v>
      </c>
      <c r="D17" s="79">
        <f>SUMIFS(Data!$D$6:$D$105,Data!$B$6:$B$105,$A17,Data!$C$6:$C$105,D$6)</f>
        <v>0</v>
      </c>
      <c r="E17" s="79">
        <f>SUMIFS(Data!$D$6:$D$105,Data!$B$6:$B$105,$A17,Data!$C$6:$C$105,E$6)</f>
        <v>0</v>
      </c>
      <c r="F17" s="79">
        <f>SUMIFS(Data!$D$6:$D$105,Data!$B$6:$B$105,$A17,Data!$C$6:$C$105,F$6)</f>
        <v>0</v>
      </c>
      <c r="G17" s="80">
        <f t="shared" si="0"/>
        <v>0</v>
      </c>
      <c r="I17" s="53">
        <f>SUMIFS(Data!$E$6:$E$105,Data!$B$6:$B$105,$A17,Data!$C$6:$C$105,"&gt;=2021")</f>
        <v>2024.423</v>
      </c>
      <c r="J17" s="54">
        <f t="shared" si="1"/>
        <v>0</v>
      </c>
      <c r="K17" s="52" t="s">
        <v>24</v>
      </c>
      <c r="L17" s="79"/>
      <c r="M17" s="79"/>
      <c r="N17" s="79">
        <f t="shared" si="2"/>
        <v>0</v>
      </c>
      <c r="P17" s="78"/>
    </row>
    <row r="18" spans="1:16" x14ac:dyDescent="0.3">
      <c r="A18" s="51" t="s">
        <v>11</v>
      </c>
      <c r="B18" s="79">
        <f>SUMIFS(Data!$D$6:$D$105,Data!$B$6:$B$105,$A18,Data!$C$6:$C$105,B$6)</f>
        <v>0</v>
      </c>
      <c r="C18" s="79">
        <f>SUMIFS(Data!$D$6:$D$105,Data!$B$6:$B$105,$A18,Data!$C$6:$C$105,C$6)</f>
        <v>0</v>
      </c>
      <c r="D18" s="79">
        <f>SUMIFS(Data!$D$6:$D$105,Data!$B$6:$B$105,$A18,Data!$C$6:$C$105,D$6)</f>
        <v>0</v>
      </c>
      <c r="E18" s="79">
        <f>SUMIFS(Data!$D$6:$D$105,Data!$B$6:$B$105,$A18,Data!$C$6:$C$105,E$6)</f>
        <v>0</v>
      </c>
      <c r="F18" s="79">
        <f>SUMIFS(Data!$D$6:$D$105,Data!$B$6:$B$105,$A18,Data!$C$6:$C$105,F$6)</f>
        <v>0</v>
      </c>
      <c r="G18" s="80">
        <f t="shared" si="0"/>
        <v>0</v>
      </c>
      <c r="I18" s="53">
        <f>SUMIFS(Data!$E$6:$E$105,Data!$B$6:$B$105,$A18,Data!$C$6:$C$105,"&gt;=2021")</f>
        <v>1368.4611030444821</v>
      </c>
      <c r="J18" s="54">
        <f t="shared" si="1"/>
        <v>0</v>
      </c>
      <c r="K18" s="52" t="s">
        <v>24</v>
      </c>
      <c r="L18" s="79"/>
      <c r="M18" s="79"/>
      <c r="N18" s="79">
        <f t="shared" si="2"/>
        <v>0</v>
      </c>
      <c r="P18" s="78"/>
    </row>
    <row r="19" spans="1:16" x14ac:dyDescent="0.3">
      <c r="A19" s="51" t="s">
        <v>12</v>
      </c>
      <c r="B19" s="79">
        <f>SUMIFS(Data!$D$6:$D$105,Data!$B$6:$B$105,$A19,Data!$C$6:$C$105,B$6)</f>
        <v>8.3000000000000004E-2</v>
      </c>
      <c r="C19" s="79">
        <f>SUMIFS(Data!$D$6:$D$105,Data!$B$6:$B$105,$A19,Data!$C$6:$C$105,C$6)</f>
        <v>8.3000000000000004E-2</v>
      </c>
      <c r="D19" s="79">
        <f>SUMIFS(Data!$D$6:$D$105,Data!$B$6:$B$105,$A19,Data!$C$6:$C$105,D$6)</f>
        <v>8.3000000000000004E-2</v>
      </c>
      <c r="E19" s="79">
        <f>SUMIFS(Data!$D$6:$D$105,Data!$B$6:$B$105,$A19,Data!$C$6:$C$105,E$6)</f>
        <v>8.3000000000000004E-2</v>
      </c>
      <c r="F19" s="79">
        <f>SUMIFS(Data!$D$6:$D$105,Data!$B$6:$B$105,$A19,Data!$C$6:$C$105,F$6)</f>
        <v>8.3000000000000004E-2</v>
      </c>
      <c r="G19" s="80">
        <f t="shared" si="0"/>
        <v>0.41500000000000004</v>
      </c>
      <c r="I19" s="53">
        <f>SUMIFS(Data!$E$6:$E$105,Data!$B$6:$B$105,$A19,Data!$C$6:$C$105,"&gt;=2021")</f>
        <v>457.197</v>
      </c>
      <c r="J19" s="54">
        <f t="shared" si="1"/>
        <v>9.0770499368980997E-4</v>
      </c>
      <c r="K19" s="52" t="s">
        <v>24</v>
      </c>
      <c r="L19" s="79">
        <f>G19</f>
        <v>0.41500000000000004</v>
      </c>
      <c r="M19" s="79"/>
      <c r="N19" s="79">
        <f t="shared" si="2"/>
        <v>0.41500000000000004</v>
      </c>
      <c r="P19" s="78"/>
    </row>
    <row r="20" spans="1:16" x14ac:dyDescent="0.3">
      <c r="A20" s="51" t="s">
        <v>14</v>
      </c>
      <c r="B20" s="79">
        <f>SUMIFS(Data!$D$6:$D$105,Data!$B$6:$B$105,$A20,Data!$C$6:$C$105,B$6)</f>
        <v>2.2639999999999998</v>
      </c>
      <c r="C20" s="79">
        <f>SUMIFS(Data!$D$6:$D$105,Data!$B$6:$B$105,$A20,Data!$C$6:$C$105,C$6)</f>
        <v>0</v>
      </c>
      <c r="D20" s="79">
        <f>SUMIFS(Data!$D$6:$D$105,Data!$B$6:$B$105,$A20,Data!$C$6:$C$105,D$6)</f>
        <v>0</v>
      </c>
      <c r="E20" s="79">
        <f>SUMIFS(Data!$D$6:$D$105,Data!$B$6:$B$105,$A20,Data!$C$6:$C$105,E$6)</f>
        <v>0</v>
      </c>
      <c r="F20" s="79">
        <f>SUMIFS(Data!$D$6:$D$105,Data!$B$6:$B$105,$A20,Data!$C$6:$C$105,F$6)</f>
        <v>0</v>
      </c>
      <c r="G20" s="80">
        <f t="shared" si="0"/>
        <v>2.2639999999999998</v>
      </c>
      <c r="I20" s="53">
        <f>SUMIFS(Data!$E$6:$E$105,Data!$B$6:$B$105,$A20,Data!$C$6:$C$105,"&gt;=2021")</f>
        <v>223.94399999999999</v>
      </c>
      <c r="J20" s="54">
        <f t="shared" si="1"/>
        <v>1.0109670274711534E-2</v>
      </c>
      <c r="K20" s="59" t="s">
        <v>166</v>
      </c>
      <c r="L20" s="79"/>
      <c r="M20" s="79">
        <f>'Deep dive_PRT'!B9</f>
        <v>1.7339999999999998</v>
      </c>
      <c r="N20" s="79">
        <f t="shared" si="2"/>
        <v>1.7339999999999998</v>
      </c>
      <c r="P20" s="78"/>
    </row>
    <row r="21" spans="1:16" x14ac:dyDescent="0.3">
      <c r="A21" s="51" t="s">
        <v>15</v>
      </c>
      <c r="B21" s="79">
        <f>SUMIFS(Data!$D$6:$D$105,Data!$B$6:$B$105,$A21,Data!$C$6:$C$105,B$6)</f>
        <v>0</v>
      </c>
      <c r="C21" s="79">
        <f>SUMIFS(Data!$D$6:$D$105,Data!$B$6:$B$105,$A21,Data!$C$6:$C$105,C$6)</f>
        <v>0</v>
      </c>
      <c r="D21" s="79">
        <f>SUMIFS(Data!$D$6:$D$105,Data!$B$6:$B$105,$A21,Data!$C$6:$C$105,D$6)</f>
        <v>0</v>
      </c>
      <c r="E21" s="79">
        <f>SUMIFS(Data!$D$6:$D$105,Data!$B$6:$B$105,$A21,Data!$C$6:$C$105,E$6)</f>
        <v>0</v>
      </c>
      <c r="F21" s="79">
        <f>SUMIFS(Data!$D$6:$D$105,Data!$B$6:$B$105,$A21,Data!$C$6:$C$105,F$6)</f>
        <v>0</v>
      </c>
      <c r="G21" s="80">
        <f t="shared" si="0"/>
        <v>0</v>
      </c>
      <c r="I21" s="53">
        <f>SUMIFS(Data!$E$6:$E$105,Data!$B$6:$B$105,$A21,Data!$C$6:$C$105,"&gt;=2021")</f>
        <v>253.309</v>
      </c>
      <c r="J21" s="54">
        <f t="shared" si="1"/>
        <v>0</v>
      </c>
      <c r="K21" s="52" t="s">
        <v>24</v>
      </c>
      <c r="L21" s="79"/>
      <c r="M21" s="79"/>
      <c r="N21" s="79">
        <f t="shared" si="2"/>
        <v>0</v>
      </c>
      <c r="P21" s="78"/>
    </row>
    <row r="22" spans="1:16" x14ac:dyDescent="0.3">
      <c r="A22" s="51" t="s">
        <v>16</v>
      </c>
      <c r="B22" s="79">
        <f>SUMIFS(Data!$D$6:$D$105,Data!$B$6:$B$105,$A22,Data!$C$6:$C$105,B$6)</f>
        <v>0</v>
      </c>
      <c r="C22" s="79">
        <f>SUMIFS(Data!$D$6:$D$105,Data!$B$6:$B$105,$A22,Data!$C$6:$C$105,C$6)</f>
        <v>0</v>
      </c>
      <c r="D22" s="79">
        <f>SUMIFS(Data!$D$6:$D$105,Data!$B$6:$B$105,$A22,Data!$C$6:$C$105,D$6)</f>
        <v>0</v>
      </c>
      <c r="E22" s="79">
        <f>SUMIFS(Data!$D$6:$D$105,Data!$B$6:$B$105,$A22,Data!$C$6:$C$105,E$6)</f>
        <v>0</v>
      </c>
      <c r="F22" s="79">
        <f>SUMIFS(Data!$D$6:$D$105,Data!$B$6:$B$105,$A22,Data!$C$6:$C$105,F$6)</f>
        <v>0</v>
      </c>
      <c r="G22" s="80">
        <f t="shared" si="0"/>
        <v>0</v>
      </c>
      <c r="I22" s="53">
        <f>SUMIFS(Data!$E$6:$E$105,Data!$B$6:$B$105,$A22,Data!$C$6:$C$105,"&gt;=2021")</f>
        <v>960.94699999999989</v>
      </c>
      <c r="J22" s="54">
        <f t="shared" si="1"/>
        <v>0</v>
      </c>
      <c r="K22" s="52" t="s">
        <v>24</v>
      </c>
      <c r="L22" s="79"/>
      <c r="M22" s="79"/>
      <c r="N22" s="79">
        <f t="shared" si="2"/>
        <v>0</v>
      </c>
      <c r="P22" s="78"/>
    </row>
    <row r="23" spans="1:16" x14ac:dyDescent="0.3">
      <c r="A23" s="51" t="s">
        <v>17</v>
      </c>
      <c r="B23" s="79">
        <f>SUMIFS(Data!$D$6:$D$105,Data!$B$6:$B$105,$A23,Data!$C$6:$C$105,B$6)</f>
        <v>2.9146386892577199</v>
      </c>
      <c r="C23" s="79">
        <f>SUMIFS(Data!$D$6:$D$105,Data!$B$6:$B$105,$A23,Data!$C$6:$C$105,C$6)</f>
        <v>0</v>
      </c>
      <c r="D23" s="79">
        <f>SUMIFS(Data!$D$6:$D$105,Data!$B$6:$B$105,$A23,Data!$C$6:$C$105,D$6)</f>
        <v>0</v>
      </c>
      <c r="E23" s="79">
        <f>SUMIFS(Data!$D$6:$D$105,Data!$B$6:$B$105,$A23,Data!$C$6:$C$105,E$6)</f>
        <v>0</v>
      </c>
      <c r="F23" s="79">
        <f>SUMIFS(Data!$D$6:$D$105,Data!$B$6:$B$105,$A23,Data!$C$6:$C$105,F$6)</f>
        <v>0</v>
      </c>
      <c r="G23" s="80">
        <f t="shared" si="0"/>
        <v>2.9146386892577199</v>
      </c>
      <c r="I23" s="53">
        <f>SUMIFS(Data!$E$6:$E$105,Data!$B$6:$B$105,$A23,Data!$C$6:$C$105,"&gt;=2021")</f>
        <v>538.02900167239989</v>
      </c>
      <c r="J23" s="54">
        <f t="shared" si="1"/>
        <v>5.4172520072299233E-3</v>
      </c>
      <c r="K23" s="62" t="s">
        <v>166</v>
      </c>
      <c r="L23" s="79"/>
      <c r="M23" s="82">
        <f>'Deep dive_SSC'!B9</f>
        <v>2.3317109514061758</v>
      </c>
      <c r="N23" s="82">
        <f t="shared" si="2"/>
        <v>2.3317109514061758</v>
      </c>
      <c r="P23" s="78"/>
    </row>
    <row r="24" spans="1:16" x14ac:dyDescent="0.3">
      <c r="A24" s="58" t="s">
        <v>130</v>
      </c>
      <c r="B24" s="81">
        <f>SUM(B7:B23)</f>
        <v>15.260224074999172</v>
      </c>
      <c r="C24" s="81">
        <f t="shared" ref="C24:I24" si="3">SUM(C7:C23)</f>
        <v>4.0219464813799632</v>
      </c>
      <c r="D24" s="81">
        <f t="shared" si="3"/>
        <v>3.5746041250618834</v>
      </c>
      <c r="E24" s="81">
        <f t="shared" si="3"/>
        <v>10.023600174431781</v>
      </c>
      <c r="F24" s="81">
        <f t="shared" si="3"/>
        <v>5.4650092909500003</v>
      </c>
      <c r="G24" s="81">
        <f t="shared" si="3"/>
        <v>38.345384146822802</v>
      </c>
      <c r="I24" s="60">
        <f t="shared" si="3"/>
        <v>26180.610460802778</v>
      </c>
      <c r="J24" s="54">
        <f t="shared" si="1"/>
        <v>1.4646482061307525E-3</v>
      </c>
      <c r="K24" s="63"/>
      <c r="L24" s="83"/>
      <c r="M24" s="83"/>
      <c r="N24" s="81">
        <f t="shared" ref="N24" si="4">SUM(N7:N23)</f>
        <v>34.721908378678634</v>
      </c>
      <c r="P24" s="78"/>
    </row>
  </sheetData>
  <conditionalFormatting sqref="A7:A8">
    <cfRule type="cellIs" dxfId="2" priority="3" operator="equal">
      <formula>0</formula>
    </cfRule>
  </conditionalFormatting>
  <conditionalFormatting sqref="A9:A17">
    <cfRule type="cellIs" dxfId="1" priority="2" operator="equal">
      <formula>0</formula>
    </cfRule>
  </conditionalFormatting>
  <conditionalFormatting sqref="A18:A23">
    <cfRule type="cellIs" dxfId="0" priority="1"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sheetPr>
  <dimension ref="A1:M46"/>
  <sheetViews>
    <sheetView showGridLines="0" zoomScale="98" zoomScaleNormal="98" workbookViewId="0">
      <pane ySplit="1" topLeftCell="A2" activePane="bottomLeft" state="frozen"/>
      <selection pane="bottomLeft"/>
    </sheetView>
  </sheetViews>
  <sheetFormatPr defaultColWidth="9" defaultRowHeight="16" x14ac:dyDescent="0.5"/>
  <cols>
    <col min="1" max="1" width="38" style="2" customWidth="1"/>
    <col min="2" max="2" width="16.54296875" style="2" customWidth="1"/>
    <col min="3" max="3" width="85.36328125" style="2" customWidth="1"/>
    <col min="4" max="4" width="4.54296875" style="2" customWidth="1"/>
    <col min="5" max="5" width="29.36328125" style="2" customWidth="1"/>
    <col min="6" max="13" width="8.54296875" style="2" customWidth="1"/>
    <col min="14" max="16384" width="9" style="2"/>
  </cols>
  <sheetData>
    <row r="1" spans="1:9" s="3" customFormat="1" ht="21" x14ac:dyDescent="0.5">
      <c r="A1" s="5" t="s">
        <v>177</v>
      </c>
      <c r="B1" s="1"/>
      <c r="C1" s="1"/>
      <c r="D1" s="1"/>
      <c r="E1" s="1"/>
      <c r="F1" s="2"/>
      <c r="G1" s="8"/>
      <c r="H1" s="9"/>
    </row>
    <row r="2" spans="1:9" s="3" customFormat="1" ht="21" x14ac:dyDescent="0.5">
      <c r="A2" s="4"/>
      <c r="B2" s="7"/>
      <c r="C2" s="7"/>
      <c r="D2" s="2"/>
      <c r="E2" s="2"/>
      <c r="F2" s="2"/>
      <c r="G2" s="8"/>
      <c r="H2" s="9"/>
    </row>
    <row r="3" spans="1:9" s="3" customFormat="1" ht="18.5" x14ac:dyDescent="0.5">
      <c r="A3" s="16" t="s">
        <v>179</v>
      </c>
      <c r="B3" s="67"/>
      <c r="C3" s="67"/>
      <c r="D3" s="6"/>
      <c r="E3" s="6"/>
      <c r="F3" s="6"/>
      <c r="G3" s="68"/>
      <c r="H3" s="69"/>
      <c r="I3" s="70"/>
    </row>
    <row r="4" spans="1:9" ht="18.5" x14ac:dyDescent="0.5">
      <c r="A4" s="21" t="s">
        <v>19</v>
      </c>
      <c r="B4" s="22" t="s">
        <v>199</v>
      </c>
      <c r="C4" s="67"/>
      <c r="D4" s="6"/>
      <c r="E4" s="6"/>
      <c r="F4" s="6"/>
      <c r="G4" s="6"/>
      <c r="H4" s="6"/>
      <c r="I4" s="6"/>
    </row>
    <row r="5" spans="1:9" ht="18.5" x14ac:dyDescent="0.5">
      <c r="A5" s="21" t="s">
        <v>20</v>
      </c>
      <c r="B5" s="22" t="s">
        <v>200</v>
      </c>
      <c r="C5" s="67"/>
      <c r="D5" s="6"/>
      <c r="E5" s="6"/>
      <c r="F5" s="6"/>
      <c r="G5" s="6"/>
      <c r="H5" s="6"/>
      <c r="I5" s="6"/>
    </row>
    <row r="6" spans="1:9" ht="18.5" x14ac:dyDescent="0.5">
      <c r="A6" s="71" t="s">
        <v>18</v>
      </c>
      <c r="B6" s="72" t="s">
        <v>117</v>
      </c>
      <c r="C6" s="67"/>
      <c r="D6" s="6"/>
      <c r="E6" s="6"/>
      <c r="F6" s="6"/>
      <c r="G6" s="6"/>
      <c r="H6" s="6"/>
      <c r="I6" s="6"/>
    </row>
    <row r="7" spans="1:9" x14ac:dyDescent="0.5">
      <c r="A7" s="71" t="s">
        <v>21</v>
      </c>
      <c r="B7" s="72" t="s">
        <v>23</v>
      </c>
      <c r="C7" s="73"/>
      <c r="D7" s="6"/>
      <c r="E7" s="6"/>
      <c r="F7" s="6"/>
      <c r="G7" s="6"/>
      <c r="H7" s="6"/>
      <c r="I7" s="6"/>
    </row>
    <row r="8" spans="1:9" x14ac:dyDescent="0.5">
      <c r="A8" s="71" t="s">
        <v>135</v>
      </c>
      <c r="B8" s="79">
        <f>Analysis!G8</f>
        <v>1.3841589506058081</v>
      </c>
      <c r="C8" s="6"/>
      <c r="D8" s="6"/>
      <c r="E8" s="6"/>
      <c r="F8" s="6"/>
      <c r="G8" s="6"/>
      <c r="H8" s="6"/>
      <c r="I8" s="6"/>
    </row>
    <row r="9" spans="1:9" ht="41" x14ac:dyDescent="0.5">
      <c r="A9" s="63" t="s">
        <v>148</v>
      </c>
      <c r="B9" s="79">
        <f>B8*0.8</f>
        <v>1.1073271604846464</v>
      </c>
      <c r="C9" s="66" t="s">
        <v>206</v>
      </c>
      <c r="D9" s="6"/>
      <c r="E9" s="6"/>
      <c r="F9" s="6"/>
      <c r="G9" s="6"/>
      <c r="H9" s="6"/>
      <c r="I9" s="6"/>
    </row>
    <row r="10" spans="1:9" x14ac:dyDescent="0.5">
      <c r="A10" s="16"/>
      <c r="B10" s="6"/>
      <c r="C10" s="6"/>
      <c r="D10" s="6"/>
      <c r="E10" s="6"/>
      <c r="F10" s="6"/>
      <c r="G10" s="6"/>
      <c r="H10" s="6"/>
      <c r="I10" s="6"/>
    </row>
    <row r="11" spans="1:9" x14ac:dyDescent="0.5">
      <c r="A11" s="16" t="s">
        <v>136</v>
      </c>
      <c r="B11" s="6"/>
      <c r="C11" s="6"/>
      <c r="D11" s="6"/>
      <c r="E11" s="16" t="s">
        <v>137</v>
      </c>
      <c r="F11" s="6"/>
      <c r="G11" s="6"/>
      <c r="H11" s="6"/>
      <c r="I11" s="6"/>
    </row>
    <row r="12" spans="1:9" ht="126" customHeight="1" x14ac:dyDescent="0.5">
      <c r="A12" s="71" t="s">
        <v>138</v>
      </c>
      <c r="B12" s="71" t="s">
        <v>142</v>
      </c>
      <c r="C12" s="74" t="s">
        <v>195</v>
      </c>
      <c r="D12" s="6"/>
      <c r="E12" s="75" t="s">
        <v>158</v>
      </c>
      <c r="F12" s="6"/>
      <c r="G12" s="6"/>
      <c r="H12" s="6"/>
      <c r="I12" s="6"/>
    </row>
    <row r="13" spans="1:9" x14ac:dyDescent="0.5">
      <c r="A13" s="71" t="s">
        <v>139</v>
      </c>
      <c r="B13" s="71" t="s">
        <v>142</v>
      </c>
      <c r="C13" s="75" t="s">
        <v>154</v>
      </c>
      <c r="D13" s="6"/>
      <c r="E13" s="75"/>
      <c r="F13" s="6"/>
      <c r="G13" s="6"/>
      <c r="H13" s="6"/>
      <c r="I13" s="6"/>
    </row>
    <row r="14" spans="1:9" x14ac:dyDescent="0.5">
      <c r="A14" s="71" t="s">
        <v>140</v>
      </c>
      <c r="B14" s="71" t="s">
        <v>178</v>
      </c>
      <c r="C14" s="75"/>
      <c r="D14" s="6"/>
      <c r="E14" s="75"/>
      <c r="F14" s="6"/>
      <c r="G14" s="6"/>
      <c r="H14" s="6"/>
      <c r="I14" s="6"/>
    </row>
    <row r="15" spans="1:9" ht="39" x14ac:dyDescent="0.5">
      <c r="A15" s="71" t="s">
        <v>141</v>
      </c>
      <c r="B15" s="71" t="s">
        <v>144</v>
      </c>
      <c r="C15" s="75" t="s">
        <v>174</v>
      </c>
      <c r="D15" s="6"/>
      <c r="E15" s="75" t="s">
        <v>156</v>
      </c>
      <c r="F15" s="6"/>
      <c r="G15" s="6"/>
      <c r="H15" s="6"/>
      <c r="I15" s="6"/>
    </row>
    <row r="16" spans="1:9" ht="65" x14ac:dyDescent="0.5">
      <c r="A16" s="71" t="s">
        <v>143</v>
      </c>
      <c r="B16" s="71" t="s">
        <v>153</v>
      </c>
      <c r="C16" s="75" t="s">
        <v>167</v>
      </c>
      <c r="D16" s="6"/>
      <c r="E16" s="75" t="s">
        <v>155</v>
      </c>
      <c r="F16" s="6"/>
      <c r="G16" s="6"/>
      <c r="H16" s="6"/>
      <c r="I16" s="6"/>
    </row>
    <row r="17" spans="1:9" x14ac:dyDescent="0.5">
      <c r="A17" s="71" t="s">
        <v>145</v>
      </c>
      <c r="B17" s="71" t="s">
        <v>178</v>
      </c>
      <c r="C17" s="75"/>
      <c r="D17" s="6"/>
      <c r="E17" s="75"/>
      <c r="F17" s="6"/>
      <c r="G17" s="6"/>
      <c r="H17" s="6"/>
      <c r="I17" s="6"/>
    </row>
    <row r="18" spans="1:9" x14ac:dyDescent="0.5">
      <c r="A18" s="71" t="s">
        <v>146</v>
      </c>
      <c r="B18" s="71" t="s">
        <v>178</v>
      </c>
      <c r="C18" s="75"/>
      <c r="D18" s="6"/>
      <c r="E18" s="75"/>
      <c r="F18" s="6"/>
      <c r="G18" s="6"/>
      <c r="H18" s="6"/>
      <c r="I18" s="6"/>
    </row>
    <row r="19" spans="1:9" x14ac:dyDescent="0.5">
      <c r="A19" s="71" t="s">
        <v>147</v>
      </c>
      <c r="B19" s="71" t="s">
        <v>178</v>
      </c>
      <c r="C19" s="75"/>
      <c r="D19" s="6"/>
      <c r="E19" s="75"/>
      <c r="F19" s="6"/>
      <c r="G19" s="6"/>
      <c r="H19" s="6"/>
      <c r="I19" s="6"/>
    </row>
    <row r="20" spans="1:9" x14ac:dyDescent="0.5">
      <c r="A20" s="76"/>
      <c r="B20" s="76"/>
      <c r="C20" s="76"/>
      <c r="D20" s="6"/>
      <c r="E20" s="76"/>
      <c r="F20" s="6"/>
      <c r="G20" s="6"/>
      <c r="H20" s="6"/>
      <c r="I20" s="6"/>
    </row>
    <row r="21" spans="1:9" x14ac:dyDescent="0.5">
      <c r="A21" s="77"/>
      <c r="B21" s="76"/>
      <c r="C21" s="76"/>
      <c r="D21" s="6"/>
      <c r="E21" s="76"/>
      <c r="F21" s="6"/>
      <c r="G21" s="6"/>
      <c r="H21" s="6"/>
      <c r="I21" s="6"/>
    </row>
    <row r="22" spans="1:9" x14ac:dyDescent="0.5">
      <c r="A22" s="76"/>
      <c r="B22" s="76"/>
      <c r="C22" s="76"/>
      <c r="D22" s="6"/>
      <c r="E22" s="76"/>
      <c r="F22" s="6"/>
      <c r="G22" s="6"/>
      <c r="H22" s="6"/>
      <c r="I22" s="6"/>
    </row>
    <row r="23" spans="1:9" x14ac:dyDescent="0.5">
      <c r="A23" s="76"/>
      <c r="B23" s="76"/>
      <c r="C23" s="76"/>
      <c r="D23" s="6"/>
      <c r="E23" s="76"/>
      <c r="F23" s="6"/>
      <c r="G23" s="6"/>
      <c r="H23" s="6"/>
      <c r="I23" s="6"/>
    </row>
    <row r="24" spans="1:9" x14ac:dyDescent="0.5">
      <c r="A24" s="76"/>
      <c r="B24" s="76"/>
      <c r="C24" s="76"/>
      <c r="D24" s="64"/>
      <c r="E24" s="76"/>
      <c r="F24" s="6"/>
      <c r="G24" s="6"/>
      <c r="H24" s="6"/>
      <c r="I24" s="6"/>
    </row>
    <row r="25" spans="1:9" x14ac:dyDescent="0.5">
      <c r="A25" s="76"/>
      <c r="B25" s="76"/>
      <c r="C25" s="76"/>
      <c r="D25" s="6"/>
      <c r="E25" s="76"/>
      <c r="F25" s="6"/>
      <c r="G25" s="6"/>
      <c r="H25" s="6"/>
      <c r="I25" s="6"/>
    </row>
    <row r="26" spans="1:9" x14ac:dyDescent="0.5">
      <c r="A26" s="76"/>
      <c r="B26" s="76"/>
      <c r="C26" s="76"/>
      <c r="D26" s="6"/>
      <c r="E26" s="76"/>
      <c r="F26" s="6"/>
      <c r="G26" s="6"/>
      <c r="H26" s="6"/>
      <c r="I26" s="6"/>
    </row>
    <row r="27" spans="1:9" x14ac:dyDescent="0.5">
      <c r="A27" s="76"/>
      <c r="B27" s="76"/>
      <c r="C27" s="76"/>
      <c r="D27" s="6"/>
      <c r="E27" s="76"/>
      <c r="F27" s="6"/>
      <c r="G27" s="6"/>
      <c r="H27" s="6"/>
      <c r="I27" s="6"/>
    </row>
    <row r="28" spans="1:9" x14ac:dyDescent="0.5">
      <c r="A28" s="6"/>
      <c r="B28" s="6"/>
      <c r="C28" s="6"/>
      <c r="D28" s="6"/>
      <c r="E28" s="6"/>
      <c r="F28" s="6"/>
      <c r="G28" s="6"/>
      <c r="H28" s="6"/>
      <c r="I28" s="6"/>
    </row>
    <row r="29" spans="1:9" x14ac:dyDescent="0.5">
      <c r="A29" s="6"/>
      <c r="B29" s="6"/>
      <c r="C29" s="6"/>
      <c r="D29" s="6"/>
      <c r="E29" s="6"/>
      <c r="F29" s="6"/>
      <c r="G29" s="6"/>
      <c r="H29" s="6"/>
      <c r="I29" s="6"/>
    </row>
    <row r="30" spans="1:9" x14ac:dyDescent="0.5">
      <c r="A30" s="6"/>
      <c r="B30" s="6"/>
      <c r="C30" s="6"/>
      <c r="D30" s="6"/>
      <c r="E30" s="6"/>
      <c r="F30" s="6"/>
      <c r="G30" s="6"/>
      <c r="H30" s="6"/>
      <c r="I30" s="6"/>
    </row>
    <row r="31" spans="1:9" x14ac:dyDescent="0.5">
      <c r="A31" s="6"/>
      <c r="B31" s="6"/>
      <c r="C31" s="6"/>
      <c r="D31" s="6"/>
      <c r="E31" s="6"/>
      <c r="F31" s="6"/>
      <c r="G31" s="6"/>
      <c r="H31" s="6"/>
      <c r="I31" s="6"/>
    </row>
    <row r="32" spans="1:9" x14ac:dyDescent="0.5">
      <c r="A32" s="6"/>
      <c r="B32" s="6"/>
      <c r="C32" s="6"/>
      <c r="D32" s="6"/>
      <c r="E32" s="6"/>
      <c r="F32" s="6"/>
      <c r="G32" s="6"/>
      <c r="H32" s="6"/>
      <c r="I32" s="6"/>
    </row>
    <row r="33" spans="1:13" x14ac:dyDescent="0.5">
      <c r="A33" s="6"/>
      <c r="B33" s="6"/>
      <c r="C33" s="6"/>
      <c r="D33" s="6"/>
      <c r="E33" s="6"/>
      <c r="F33" s="6"/>
      <c r="G33" s="6"/>
      <c r="H33" s="6"/>
      <c r="I33" s="6"/>
    </row>
    <row r="34" spans="1:13" x14ac:dyDescent="0.5">
      <c r="A34" s="6"/>
      <c r="B34" s="6"/>
      <c r="C34" s="6"/>
      <c r="D34" s="6"/>
      <c r="E34" s="6"/>
      <c r="F34" s="6"/>
      <c r="G34" s="6"/>
      <c r="H34" s="6"/>
      <c r="I34" s="6"/>
    </row>
    <row r="35" spans="1:13" x14ac:dyDescent="0.5">
      <c r="A35" s="6"/>
      <c r="B35" s="6"/>
      <c r="C35" s="6"/>
      <c r="D35" s="6"/>
      <c r="E35" s="6"/>
      <c r="F35" s="6"/>
      <c r="G35" s="6"/>
      <c r="H35" s="6"/>
      <c r="I35" s="6"/>
    </row>
    <row r="36" spans="1:13" x14ac:dyDescent="0.5">
      <c r="A36" s="6"/>
      <c r="B36" s="6"/>
      <c r="C36" s="6"/>
      <c r="D36" s="6"/>
      <c r="E36" s="6"/>
      <c r="F36" s="6"/>
      <c r="G36" s="6"/>
      <c r="H36" s="6"/>
      <c r="I36" s="6"/>
    </row>
    <row r="38" spans="1:13" x14ac:dyDescent="0.5">
      <c r="A38" s="4"/>
    </row>
    <row r="41" spans="1:13" x14ac:dyDescent="0.5">
      <c r="A41" s="4"/>
    </row>
    <row r="46" spans="1:13" x14ac:dyDescent="0.5">
      <c r="M46" s="8"/>
    </row>
  </sheetData>
  <dataValidations count="4">
    <dataValidation type="list" allowBlank="1" showInputMessage="1" showErrorMessage="1" sqref="B12:B19">
      <formula1>"Pass, Partial pass, Fail, ,Not assessed, N/A"</formula1>
    </dataValidation>
    <dataValidation type="list" allowBlank="1" showInputMessage="1" showErrorMessage="1" sqref="B7">
      <formula1>"Wholesale water, Wholesale wastewater"</formula1>
    </dataValidation>
    <dataValidation type="list" allowBlank="1" showInputMessage="1" showErrorMessage="1" sqref="B20:B27">
      <formula1>"Pass,Marginal pass, Partial pass, Fail, ,Not assessed, N/A"</formula1>
    </dataValidation>
    <dataValidation type="list" allowBlank="1" showInputMessage="1" showErrorMessage="1" sqref="B6">
      <formula1>"ANH,NES,NWT,SRN,SVE,SWB,TMS,WSH,WSX,YKY,AFW,BRL,HDD,PRT,SES,SEW,SSC"</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sheetPr>
  <dimension ref="A1:M46"/>
  <sheetViews>
    <sheetView showGridLines="0" zoomScale="95" zoomScaleNormal="95" workbookViewId="0">
      <pane ySplit="1" topLeftCell="A8" activePane="bottomLeft" state="frozen"/>
      <selection pane="bottomLeft"/>
    </sheetView>
  </sheetViews>
  <sheetFormatPr defaultColWidth="9" defaultRowHeight="13" x14ac:dyDescent="0.3"/>
  <cols>
    <col min="1" max="1" width="38" style="6" customWidth="1"/>
    <col min="2" max="2" width="16.54296875" style="6" customWidth="1"/>
    <col min="3" max="3" width="87.1796875" style="6" customWidth="1"/>
    <col min="4" max="4" width="6" style="6" customWidth="1"/>
    <col min="5" max="5" width="26.54296875" style="6" customWidth="1"/>
    <col min="6" max="13" width="8.54296875" style="6" customWidth="1"/>
    <col min="14" max="16384" width="9" style="6"/>
  </cols>
  <sheetData>
    <row r="1" spans="1:8" s="70" customFormat="1" ht="18.5" x14ac:dyDescent="0.3">
      <c r="A1" s="5" t="s">
        <v>181</v>
      </c>
      <c r="B1" s="5"/>
      <c r="C1" s="5"/>
      <c r="D1" s="5"/>
      <c r="E1" s="5"/>
      <c r="F1" s="6"/>
      <c r="G1" s="68"/>
      <c r="H1" s="69"/>
    </row>
    <row r="2" spans="1:8" s="70" customFormat="1" ht="18.5" x14ac:dyDescent="0.3">
      <c r="A2" s="16"/>
      <c r="B2" s="67"/>
      <c r="C2" s="67"/>
      <c r="D2" s="6"/>
      <c r="E2" s="6"/>
      <c r="F2" s="6"/>
      <c r="G2" s="68"/>
      <c r="H2" s="69"/>
    </row>
    <row r="3" spans="1:8" s="70" customFormat="1" ht="18.5" x14ac:dyDescent="0.3">
      <c r="A3" s="16" t="s">
        <v>179</v>
      </c>
      <c r="B3" s="67"/>
      <c r="C3" s="67"/>
      <c r="D3" s="67"/>
      <c r="E3" s="67"/>
      <c r="F3" s="6"/>
      <c r="G3" s="68"/>
      <c r="H3" s="69"/>
    </row>
    <row r="4" spans="1:8" ht="18.5" x14ac:dyDescent="0.3">
      <c r="A4" s="21" t="s">
        <v>19</v>
      </c>
      <c r="B4" s="22" t="s">
        <v>199</v>
      </c>
      <c r="C4" s="67"/>
      <c r="D4" s="67"/>
      <c r="E4" s="67"/>
    </row>
    <row r="5" spans="1:8" ht="18.5" x14ac:dyDescent="0.3">
      <c r="A5" s="21" t="s">
        <v>20</v>
      </c>
      <c r="B5" s="22" t="s">
        <v>200</v>
      </c>
      <c r="C5" s="67"/>
      <c r="D5" s="67"/>
      <c r="E5" s="67"/>
    </row>
    <row r="6" spans="1:8" ht="18.5" x14ac:dyDescent="0.3">
      <c r="A6" s="71" t="s">
        <v>18</v>
      </c>
      <c r="B6" s="72" t="s">
        <v>14</v>
      </c>
      <c r="C6" s="67"/>
      <c r="D6" s="67"/>
      <c r="E6" s="67"/>
    </row>
    <row r="7" spans="1:8" x14ac:dyDescent="0.3">
      <c r="A7" s="71" t="s">
        <v>21</v>
      </c>
      <c r="B7" s="72" t="s">
        <v>23</v>
      </c>
      <c r="C7" s="73"/>
    </row>
    <row r="8" spans="1:8" x14ac:dyDescent="0.3">
      <c r="A8" s="71" t="s">
        <v>135</v>
      </c>
      <c r="B8" s="79">
        <f>Analysis!G20</f>
        <v>2.2639999999999998</v>
      </c>
    </row>
    <row r="9" spans="1:8" x14ac:dyDescent="0.3">
      <c r="A9" s="63" t="s">
        <v>148</v>
      </c>
      <c r="B9" s="79">
        <f>B8-0.53</f>
        <v>1.7339999999999998</v>
      </c>
      <c r="C9" s="63" t="s">
        <v>193</v>
      </c>
    </row>
    <row r="10" spans="1:8" x14ac:dyDescent="0.3">
      <c r="A10" s="16"/>
    </row>
    <row r="11" spans="1:8" x14ac:dyDescent="0.3">
      <c r="A11" s="16" t="s">
        <v>136</v>
      </c>
      <c r="E11" s="16" t="s">
        <v>137</v>
      </c>
    </row>
    <row r="12" spans="1:8" ht="130" x14ac:dyDescent="0.3">
      <c r="A12" s="71" t="s">
        <v>138</v>
      </c>
      <c r="B12" s="71" t="s">
        <v>142</v>
      </c>
      <c r="C12" s="66" t="s">
        <v>201</v>
      </c>
      <c r="E12" s="75" t="s">
        <v>157</v>
      </c>
    </row>
    <row r="13" spans="1:8" x14ac:dyDescent="0.3">
      <c r="A13" s="71" t="s">
        <v>139</v>
      </c>
      <c r="B13" s="71" t="s">
        <v>142</v>
      </c>
      <c r="C13" s="75" t="s">
        <v>154</v>
      </c>
      <c r="E13" s="63" t="s">
        <v>152</v>
      </c>
    </row>
    <row r="14" spans="1:8" x14ac:dyDescent="0.3">
      <c r="A14" s="71" t="s">
        <v>140</v>
      </c>
      <c r="B14" s="71" t="s">
        <v>178</v>
      </c>
      <c r="C14" s="75"/>
      <c r="E14" s="63"/>
    </row>
    <row r="15" spans="1:8" ht="26" x14ac:dyDescent="0.3">
      <c r="A15" s="71" t="s">
        <v>141</v>
      </c>
      <c r="B15" s="71" t="s">
        <v>142</v>
      </c>
      <c r="C15" s="75" t="s">
        <v>168</v>
      </c>
      <c r="E15" s="71" t="s">
        <v>152</v>
      </c>
    </row>
    <row r="16" spans="1:8" ht="65" x14ac:dyDescent="0.3">
      <c r="A16" s="71" t="s">
        <v>143</v>
      </c>
      <c r="B16" s="71" t="s">
        <v>153</v>
      </c>
      <c r="C16" s="75" t="s">
        <v>202</v>
      </c>
      <c r="E16" s="66" t="s">
        <v>173</v>
      </c>
    </row>
    <row r="17" spans="1:5" ht="26" x14ac:dyDescent="0.3">
      <c r="A17" s="71" t="s">
        <v>145</v>
      </c>
      <c r="B17" s="71" t="s">
        <v>153</v>
      </c>
      <c r="C17" s="75" t="s">
        <v>203</v>
      </c>
      <c r="E17" s="63" t="s">
        <v>152</v>
      </c>
    </row>
    <row r="18" spans="1:5" x14ac:dyDescent="0.3">
      <c r="A18" s="71" t="s">
        <v>146</v>
      </c>
      <c r="B18" s="71" t="s">
        <v>178</v>
      </c>
      <c r="C18" s="75"/>
      <c r="E18" s="63"/>
    </row>
    <row r="19" spans="1:5" x14ac:dyDescent="0.3">
      <c r="A19" s="71" t="s">
        <v>147</v>
      </c>
      <c r="B19" s="71" t="s">
        <v>178</v>
      </c>
      <c r="C19" s="75"/>
      <c r="E19" s="63"/>
    </row>
    <row r="20" spans="1:5" x14ac:dyDescent="0.3">
      <c r="A20" s="76"/>
      <c r="B20" s="76"/>
      <c r="C20" s="76"/>
      <c r="E20" s="76"/>
    </row>
    <row r="21" spans="1:5" x14ac:dyDescent="0.3">
      <c r="A21" s="77"/>
      <c r="B21" s="76"/>
      <c r="C21" s="76"/>
      <c r="E21" s="76"/>
    </row>
    <row r="22" spans="1:5" x14ac:dyDescent="0.3">
      <c r="A22" s="76"/>
      <c r="B22" s="76"/>
      <c r="C22" s="76"/>
      <c r="E22" s="76"/>
    </row>
    <row r="23" spans="1:5" x14ac:dyDescent="0.3">
      <c r="A23" s="76"/>
      <c r="B23" s="76"/>
      <c r="C23" s="76"/>
      <c r="E23" s="76"/>
    </row>
    <row r="24" spans="1:5" ht="14.5" x14ac:dyDescent="0.35">
      <c r="A24" s="76"/>
      <c r="B24" s="76"/>
      <c r="C24" s="76"/>
      <c r="D24" s="64"/>
      <c r="E24" s="76"/>
    </row>
    <row r="25" spans="1:5" x14ac:dyDescent="0.3">
      <c r="A25" s="76"/>
      <c r="B25" s="76"/>
      <c r="C25" s="76"/>
      <c r="E25" s="76"/>
    </row>
    <row r="26" spans="1:5" x14ac:dyDescent="0.3">
      <c r="A26" s="76"/>
      <c r="B26" s="76"/>
      <c r="C26" s="76"/>
      <c r="E26" s="76"/>
    </row>
    <row r="27" spans="1:5" x14ac:dyDescent="0.3">
      <c r="A27" s="76"/>
      <c r="B27" s="76"/>
      <c r="C27" s="76"/>
      <c r="E27" s="76"/>
    </row>
    <row r="38" spans="1:13" x14ac:dyDescent="0.3">
      <c r="A38" s="16"/>
    </row>
    <row r="41" spans="1:13" x14ac:dyDescent="0.3">
      <c r="A41" s="16"/>
    </row>
    <row r="46" spans="1:13" x14ac:dyDescent="0.3">
      <c r="M46" s="68"/>
    </row>
  </sheetData>
  <dataValidations count="4">
    <dataValidation type="list" allowBlank="1" showInputMessage="1" showErrorMessage="1" sqref="B6">
      <formula1>"ANH,NES,NWT,SRN,SVE,SWB,TMS,WSH,WSX,YKY,AFW,BRL,HDD,PRT,SES,SEW,SSC"</formula1>
    </dataValidation>
    <dataValidation type="list" allowBlank="1" showInputMessage="1" showErrorMessage="1" sqref="B20:B27">
      <formula1>"Pass,Marginal pass, Partial pass, Fail, ,Not assessed, N/A"</formula1>
    </dataValidation>
    <dataValidation type="list" allowBlank="1" showInputMessage="1" showErrorMessage="1" sqref="B7">
      <formula1>"Wholesale water, Wholesale wastewater"</formula1>
    </dataValidation>
    <dataValidation type="list" allowBlank="1" showInputMessage="1" showErrorMessage="1" sqref="B12:B19">
      <formula1>"Pass, Partial pass, Fail, ,Not assessed, N/A"</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sheetPr>
  <dimension ref="A1:M46"/>
  <sheetViews>
    <sheetView showGridLines="0" topLeftCell="A13" zoomScale="98" zoomScaleNormal="98" workbookViewId="0"/>
  </sheetViews>
  <sheetFormatPr defaultColWidth="9" defaultRowHeight="13" x14ac:dyDescent="0.3"/>
  <cols>
    <col min="1" max="1" width="38" style="6" customWidth="1"/>
    <col min="2" max="2" width="16.54296875" style="6" customWidth="1"/>
    <col min="3" max="3" width="92" style="6" customWidth="1"/>
    <col min="4" max="4" width="4" style="6" customWidth="1"/>
    <col min="5" max="5" width="31.7265625" style="6" customWidth="1"/>
    <col min="6" max="13" width="8.54296875" style="6" customWidth="1"/>
    <col min="14" max="16384" width="9" style="6"/>
  </cols>
  <sheetData>
    <row r="1" spans="1:9" s="70" customFormat="1" ht="18.5" x14ac:dyDescent="0.3">
      <c r="A1" s="5" t="s">
        <v>180</v>
      </c>
      <c r="B1" s="5"/>
      <c r="C1" s="5"/>
      <c r="D1" s="5"/>
      <c r="E1" s="5"/>
      <c r="F1" s="6"/>
      <c r="G1" s="68"/>
      <c r="H1" s="69"/>
    </row>
    <row r="2" spans="1:9" s="70" customFormat="1" ht="18.5" x14ac:dyDescent="0.3">
      <c r="A2" s="16"/>
      <c r="B2" s="67"/>
      <c r="C2" s="67"/>
      <c r="D2" s="6"/>
      <c r="E2" s="6"/>
      <c r="F2" s="6"/>
      <c r="G2" s="68"/>
      <c r="H2" s="69"/>
    </row>
    <row r="3" spans="1:9" s="70" customFormat="1" ht="18.5" x14ac:dyDescent="0.3">
      <c r="A3" s="16" t="s">
        <v>179</v>
      </c>
      <c r="B3" s="67"/>
      <c r="C3" s="67"/>
      <c r="D3" s="67"/>
      <c r="E3" s="67"/>
      <c r="F3" s="6"/>
      <c r="G3" s="68"/>
      <c r="H3" s="69"/>
    </row>
    <row r="4" spans="1:9" ht="18.5" x14ac:dyDescent="0.3">
      <c r="A4" s="21" t="s">
        <v>19</v>
      </c>
      <c r="B4" s="22" t="s">
        <v>199</v>
      </c>
      <c r="C4" s="67"/>
      <c r="D4" s="67"/>
      <c r="E4" s="67"/>
    </row>
    <row r="5" spans="1:9" ht="18.5" x14ac:dyDescent="0.3">
      <c r="A5" s="21" t="s">
        <v>20</v>
      </c>
      <c r="B5" s="22" t="s">
        <v>200</v>
      </c>
      <c r="C5" s="67"/>
      <c r="D5" s="67"/>
      <c r="E5" s="67"/>
    </row>
    <row r="6" spans="1:9" ht="18.5" x14ac:dyDescent="0.3">
      <c r="A6" s="71" t="s">
        <v>18</v>
      </c>
      <c r="B6" s="72" t="s">
        <v>17</v>
      </c>
      <c r="C6" s="67"/>
      <c r="D6" s="67"/>
      <c r="E6" s="67"/>
    </row>
    <row r="7" spans="1:9" x14ac:dyDescent="0.3">
      <c r="A7" s="71" t="s">
        <v>21</v>
      </c>
      <c r="B7" s="72" t="s">
        <v>23</v>
      </c>
      <c r="C7" s="73"/>
    </row>
    <row r="8" spans="1:9" x14ac:dyDescent="0.3">
      <c r="A8" s="71" t="s">
        <v>135</v>
      </c>
      <c r="B8" s="79">
        <f>Analysis!G23</f>
        <v>2.9146386892577199</v>
      </c>
    </row>
    <row r="9" spans="1:9" ht="39" x14ac:dyDescent="0.3">
      <c r="A9" s="63" t="s">
        <v>148</v>
      </c>
      <c r="B9" s="79">
        <f>B8*0.8</f>
        <v>2.3317109514061758</v>
      </c>
      <c r="C9" s="66" t="s">
        <v>172</v>
      </c>
    </row>
    <row r="10" spans="1:9" x14ac:dyDescent="0.3">
      <c r="A10" s="16"/>
    </row>
    <row r="11" spans="1:9" x14ac:dyDescent="0.3">
      <c r="A11" s="16" t="s">
        <v>136</v>
      </c>
      <c r="E11" s="16" t="s">
        <v>137</v>
      </c>
    </row>
    <row r="12" spans="1:9" ht="202.5" customHeight="1" x14ac:dyDescent="0.3">
      <c r="A12" s="71" t="s">
        <v>138</v>
      </c>
      <c r="B12" s="71" t="s">
        <v>142</v>
      </c>
      <c r="C12" s="75" t="s">
        <v>204</v>
      </c>
      <c r="E12" s="75" t="s">
        <v>198</v>
      </c>
      <c r="I12" s="65"/>
    </row>
    <row r="13" spans="1:9" ht="26" x14ac:dyDescent="0.3">
      <c r="A13" s="71" t="s">
        <v>139</v>
      </c>
      <c r="B13" s="71" t="s">
        <v>142</v>
      </c>
      <c r="C13" s="75" t="s">
        <v>194</v>
      </c>
      <c r="E13" s="75" t="s">
        <v>149</v>
      </c>
    </row>
    <row r="14" spans="1:9" x14ac:dyDescent="0.3">
      <c r="A14" s="71" t="s">
        <v>140</v>
      </c>
      <c r="B14" s="71" t="s">
        <v>178</v>
      </c>
      <c r="C14" s="75"/>
      <c r="E14" s="75"/>
    </row>
    <row r="15" spans="1:9" x14ac:dyDescent="0.3">
      <c r="A15" s="71" t="s">
        <v>141</v>
      </c>
      <c r="B15" s="71" t="s">
        <v>144</v>
      </c>
      <c r="C15" s="75" t="s">
        <v>169</v>
      </c>
      <c r="E15" s="75"/>
    </row>
    <row r="16" spans="1:9" ht="26" x14ac:dyDescent="0.3">
      <c r="A16" s="71" t="s">
        <v>143</v>
      </c>
      <c r="B16" s="71" t="s">
        <v>144</v>
      </c>
      <c r="C16" s="75" t="s">
        <v>170</v>
      </c>
      <c r="E16" s="75" t="s">
        <v>151</v>
      </c>
    </row>
    <row r="17" spans="1:5" x14ac:dyDescent="0.3">
      <c r="A17" s="71" t="s">
        <v>145</v>
      </c>
      <c r="B17" s="71" t="s">
        <v>178</v>
      </c>
      <c r="C17" s="75"/>
      <c r="E17" s="75"/>
    </row>
    <row r="18" spans="1:5" x14ac:dyDescent="0.3">
      <c r="A18" s="71" t="s">
        <v>146</v>
      </c>
      <c r="B18" s="71" t="s">
        <v>178</v>
      </c>
      <c r="C18" s="75"/>
      <c r="E18" s="75"/>
    </row>
    <row r="19" spans="1:5" x14ac:dyDescent="0.3">
      <c r="A19" s="71" t="s">
        <v>147</v>
      </c>
      <c r="B19" s="71" t="s">
        <v>178</v>
      </c>
      <c r="C19" s="75"/>
      <c r="E19" s="75"/>
    </row>
    <row r="20" spans="1:5" x14ac:dyDescent="0.3">
      <c r="A20" s="76"/>
      <c r="B20" s="76"/>
      <c r="C20" s="76"/>
      <c r="E20" s="76"/>
    </row>
    <row r="21" spans="1:5" x14ac:dyDescent="0.3">
      <c r="A21" s="77"/>
      <c r="B21" s="76"/>
      <c r="C21" s="76"/>
      <c r="E21" s="76"/>
    </row>
    <row r="22" spans="1:5" x14ac:dyDescent="0.3">
      <c r="A22" s="76"/>
      <c r="B22" s="76"/>
      <c r="C22" s="76"/>
      <c r="E22" s="76"/>
    </row>
    <row r="23" spans="1:5" x14ac:dyDescent="0.3">
      <c r="A23" s="76"/>
      <c r="B23" s="76"/>
      <c r="C23" s="76"/>
      <c r="E23" s="76"/>
    </row>
    <row r="24" spans="1:5" ht="14.5" x14ac:dyDescent="0.35">
      <c r="A24" s="76"/>
      <c r="B24" s="76"/>
      <c r="C24" s="76"/>
      <c r="D24" s="64"/>
      <c r="E24" s="76"/>
    </row>
    <row r="25" spans="1:5" x14ac:dyDescent="0.3">
      <c r="A25" s="76"/>
      <c r="B25" s="76"/>
      <c r="C25" s="76"/>
      <c r="E25" s="76"/>
    </row>
    <row r="26" spans="1:5" x14ac:dyDescent="0.3">
      <c r="A26" s="76"/>
      <c r="B26" s="76"/>
      <c r="C26" s="76"/>
      <c r="E26" s="76"/>
    </row>
    <row r="27" spans="1:5" x14ac:dyDescent="0.3">
      <c r="A27" s="76"/>
      <c r="B27" s="76"/>
      <c r="C27" s="76"/>
      <c r="E27" s="76"/>
    </row>
    <row r="38" spans="1:13" x14ac:dyDescent="0.3">
      <c r="A38" s="16"/>
    </row>
    <row r="41" spans="1:13" x14ac:dyDescent="0.3">
      <c r="A41" s="16"/>
    </row>
    <row r="46" spans="1:13" x14ac:dyDescent="0.3">
      <c r="M46" s="68"/>
    </row>
  </sheetData>
  <dataValidations count="4">
    <dataValidation type="list" allowBlank="1" showInputMessage="1" showErrorMessage="1" sqref="B6">
      <formula1>"ANH,NES,NWT,SRN,SVE,SWB,TMS,WSH,WSX,YKY,AFW,BRL,HDD,PRT,SES,SEW,SSC"</formula1>
    </dataValidation>
    <dataValidation type="list" allowBlank="1" showInputMessage="1" showErrorMessage="1" sqref="B20:B27">
      <formula1>"Pass,Marginal pass, Partial pass, Fail, ,Not assessed, N/A"</formula1>
    </dataValidation>
    <dataValidation type="list" allowBlank="1" showInputMessage="1" showErrorMessage="1" sqref="B7">
      <formula1>"Wholesale water, Wholesale wastewater"</formula1>
    </dataValidation>
    <dataValidation type="list" allowBlank="1" showInputMessage="1" showErrorMessage="1" sqref="B12:B19">
      <formula1>"Pass, Partial pass, Fail, ,Not assessed, N/A"</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sheetPr>
  <dimension ref="A1:M46"/>
  <sheetViews>
    <sheetView showGridLines="0" topLeftCell="A13" zoomScale="96" zoomScaleNormal="96" workbookViewId="0"/>
  </sheetViews>
  <sheetFormatPr defaultColWidth="9" defaultRowHeight="13" x14ac:dyDescent="0.3"/>
  <cols>
    <col min="1" max="1" width="38" style="6" customWidth="1"/>
    <col min="2" max="2" width="16.54296875" style="6" customWidth="1"/>
    <col min="3" max="3" width="84.7265625" style="6" customWidth="1"/>
    <col min="4" max="4" width="4" style="6" customWidth="1"/>
    <col min="5" max="5" width="26.54296875" style="6" customWidth="1"/>
    <col min="6" max="13" width="8.54296875" style="6" customWidth="1"/>
    <col min="14" max="16384" width="9" style="6"/>
  </cols>
  <sheetData>
    <row r="1" spans="1:8" s="70" customFormat="1" ht="18.5" x14ac:dyDescent="0.3">
      <c r="A1" s="5" t="s">
        <v>182</v>
      </c>
      <c r="B1" s="5"/>
      <c r="C1" s="5"/>
      <c r="D1" s="5"/>
      <c r="E1" s="5"/>
      <c r="F1" s="6"/>
      <c r="G1" s="68"/>
      <c r="H1" s="69"/>
    </row>
    <row r="2" spans="1:8" s="70" customFormat="1" ht="18.5" x14ac:dyDescent="0.3">
      <c r="A2" s="16"/>
      <c r="B2" s="67"/>
      <c r="C2" s="67"/>
      <c r="D2" s="6"/>
      <c r="E2" s="6"/>
      <c r="F2" s="6"/>
      <c r="G2" s="68"/>
      <c r="H2" s="69"/>
    </row>
    <row r="3" spans="1:8" s="70" customFormat="1" ht="18.5" x14ac:dyDescent="0.3">
      <c r="A3" s="16" t="s">
        <v>179</v>
      </c>
      <c r="B3" s="67"/>
      <c r="C3" s="67"/>
      <c r="D3" s="67"/>
      <c r="E3" s="67"/>
      <c r="F3" s="67"/>
      <c r="G3" s="68"/>
      <c r="H3" s="69"/>
    </row>
    <row r="4" spans="1:8" ht="16.5" customHeight="1" x14ac:dyDescent="0.3">
      <c r="A4" s="21" t="s">
        <v>19</v>
      </c>
      <c r="B4" s="22" t="s">
        <v>199</v>
      </c>
      <c r="C4" s="67"/>
      <c r="D4" s="67"/>
      <c r="E4" s="67"/>
      <c r="F4" s="67"/>
    </row>
    <row r="5" spans="1:8" ht="14.25" customHeight="1" x14ac:dyDescent="0.3">
      <c r="A5" s="21" t="s">
        <v>20</v>
      </c>
      <c r="B5" s="22" t="s">
        <v>200</v>
      </c>
      <c r="C5" s="67"/>
      <c r="D5" s="67"/>
      <c r="E5" s="67"/>
      <c r="F5" s="67"/>
    </row>
    <row r="6" spans="1:8" ht="14.25" customHeight="1" x14ac:dyDescent="0.3">
      <c r="A6" s="71" t="s">
        <v>18</v>
      </c>
      <c r="B6" s="72" t="s">
        <v>9</v>
      </c>
      <c r="C6" s="67"/>
      <c r="D6" s="67"/>
      <c r="E6" s="67"/>
      <c r="F6" s="67"/>
    </row>
    <row r="7" spans="1:8" x14ac:dyDescent="0.3">
      <c r="A7" s="71" t="s">
        <v>21</v>
      </c>
      <c r="B7" s="72" t="s">
        <v>23</v>
      </c>
      <c r="C7" s="73"/>
    </row>
    <row r="8" spans="1:8" x14ac:dyDescent="0.3">
      <c r="A8" s="71" t="s">
        <v>135</v>
      </c>
      <c r="B8" s="79">
        <f>Analysis!G16</f>
        <v>4.95789230769231</v>
      </c>
    </row>
    <row r="9" spans="1:8" ht="39" x14ac:dyDescent="0.3">
      <c r="A9" s="63" t="s">
        <v>148</v>
      </c>
      <c r="B9" s="79">
        <f>B8*0.8</f>
        <v>3.9663138461538483</v>
      </c>
      <c r="C9" s="66" t="s">
        <v>172</v>
      </c>
    </row>
    <row r="10" spans="1:8" x14ac:dyDescent="0.3">
      <c r="A10" s="16"/>
    </row>
    <row r="11" spans="1:8" x14ac:dyDescent="0.3">
      <c r="A11" s="16" t="s">
        <v>136</v>
      </c>
      <c r="E11" s="16" t="s">
        <v>137</v>
      </c>
    </row>
    <row r="12" spans="1:8" ht="65" x14ac:dyDescent="0.3">
      <c r="A12" s="71" t="s">
        <v>138</v>
      </c>
      <c r="B12" s="71" t="s">
        <v>142</v>
      </c>
      <c r="C12" s="75" t="s">
        <v>192</v>
      </c>
      <c r="E12" s="75" t="s">
        <v>159</v>
      </c>
    </row>
    <row r="13" spans="1:8" x14ac:dyDescent="0.3">
      <c r="A13" s="71" t="s">
        <v>139</v>
      </c>
      <c r="B13" s="71" t="s">
        <v>142</v>
      </c>
      <c r="C13" s="75" t="s">
        <v>150</v>
      </c>
      <c r="E13" s="75"/>
    </row>
    <row r="14" spans="1:8" x14ac:dyDescent="0.3">
      <c r="A14" s="71" t="s">
        <v>140</v>
      </c>
      <c r="B14" s="71" t="s">
        <v>178</v>
      </c>
      <c r="C14" s="75"/>
      <c r="E14" s="75"/>
    </row>
    <row r="15" spans="1:8" ht="26" x14ac:dyDescent="0.3">
      <c r="A15" s="71" t="s">
        <v>141</v>
      </c>
      <c r="B15" s="71" t="s">
        <v>142</v>
      </c>
      <c r="C15" s="75" t="s">
        <v>171</v>
      </c>
      <c r="E15" s="75" t="s">
        <v>160</v>
      </c>
    </row>
    <row r="16" spans="1:8" ht="91" x14ac:dyDescent="0.3">
      <c r="A16" s="71" t="s">
        <v>143</v>
      </c>
      <c r="B16" s="71" t="s">
        <v>153</v>
      </c>
      <c r="C16" s="75" t="s">
        <v>205</v>
      </c>
      <c r="E16" s="75" t="s">
        <v>175</v>
      </c>
    </row>
    <row r="17" spans="1:5" ht="26" x14ac:dyDescent="0.3">
      <c r="A17" s="71" t="s">
        <v>145</v>
      </c>
      <c r="B17" s="71" t="s">
        <v>142</v>
      </c>
      <c r="C17" s="75" t="s">
        <v>162</v>
      </c>
      <c r="E17" s="75" t="s">
        <v>161</v>
      </c>
    </row>
    <row r="18" spans="1:5" x14ac:dyDescent="0.3">
      <c r="A18" s="71" t="s">
        <v>146</v>
      </c>
      <c r="B18" s="71" t="s">
        <v>178</v>
      </c>
      <c r="C18" s="75"/>
      <c r="E18" s="71"/>
    </row>
    <row r="19" spans="1:5" x14ac:dyDescent="0.3">
      <c r="A19" s="71" t="s">
        <v>147</v>
      </c>
      <c r="B19" s="71" t="s">
        <v>178</v>
      </c>
      <c r="C19" s="75"/>
      <c r="E19" s="71"/>
    </row>
    <row r="20" spans="1:5" x14ac:dyDescent="0.3">
      <c r="A20" s="76"/>
      <c r="B20" s="76"/>
      <c r="C20" s="76"/>
      <c r="E20" s="76"/>
    </row>
    <row r="21" spans="1:5" x14ac:dyDescent="0.3">
      <c r="A21" s="77"/>
      <c r="B21" s="76"/>
      <c r="C21" s="76"/>
      <c r="E21" s="76"/>
    </row>
    <row r="22" spans="1:5" x14ac:dyDescent="0.3">
      <c r="A22" s="76"/>
      <c r="B22" s="76"/>
      <c r="C22" s="76"/>
      <c r="E22" s="76"/>
    </row>
    <row r="23" spans="1:5" x14ac:dyDescent="0.3">
      <c r="A23" s="76"/>
      <c r="B23" s="76"/>
      <c r="C23" s="76"/>
      <c r="E23" s="76"/>
    </row>
    <row r="24" spans="1:5" ht="14.5" x14ac:dyDescent="0.35">
      <c r="A24" s="76"/>
      <c r="B24" s="76"/>
      <c r="C24" s="76"/>
      <c r="D24" s="64"/>
      <c r="E24" s="76"/>
    </row>
    <row r="25" spans="1:5" x14ac:dyDescent="0.3">
      <c r="A25" s="76"/>
      <c r="B25" s="76"/>
      <c r="C25" s="76"/>
      <c r="E25" s="76"/>
    </row>
    <row r="26" spans="1:5" x14ac:dyDescent="0.3">
      <c r="A26" s="76"/>
      <c r="B26" s="76"/>
      <c r="C26" s="76"/>
      <c r="E26" s="76"/>
    </row>
    <row r="27" spans="1:5" x14ac:dyDescent="0.3">
      <c r="A27" s="76"/>
      <c r="B27" s="76"/>
      <c r="C27" s="76"/>
      <c r="E27" s="76"/>
    </row>
    <row r="38" spans="1:13" x14ac:dyDescent="0.3">
      <c r="A38" s="16"/>
    </row>
    <row r="41" spans="1:13" x14ac:dyDescent="0.3">
      <c r="A41" s="16"/>
    </row>
    <row r="46" spans="1:13" x14ac:dyDescent="0.3">
      <c r="M46" s="68"/>
    </row>
  </sheetData>
  <dataValidations count="4">
    <dataValidation type="list" allowBlank="1" showInputMessage="1" showErrorMessage="1" sqref="B6">
      <formula1>"ANH,NES,NWT,SRN,SVE,SWB,TMS,WSH,WSX,YKY,AFW,BRL,HDD,PRT,SES,SEW,SSC"</formula1>
    </dataValidation>
    <dataValidation type="list" allowBlank="1" showInputMessage="1" showErrorMessage="1" sqref="B20:B27">
      <formula1>"Pass,Marginal pass, Partial pass, Fail, ,Not assessed, N/A"</formula1>
    </dataValidation>
    <dataValidation type="list" allowBlank="1" showInputMessage="1" showErrorMessage="1" sqref="B7">
      <formula1>"Wholesale water, Wholesale wastewater"</formula1>
    </dataValidation>
    <dataValidation type="list" allowBlank="1" showInputMessage="1" showErrorMessage="1" sqref="B12:B19">
      <formula1>"Pass, Partial pass, Fail, ,Not assessed, N/A"</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30"/>
  <sheetViews>
    <sheetView showGridLines="0" topLeftCell="D10" zoomScale="90" zoomScaleNormal="90" workbookViewId="0">
      <selection activeCell="B5" sqref="B5"/>
    </sheetView>
  </sheetViews>
  <sheetFormatPr defaultColWidth="9" defaultRowHeight="13" x14ac:dyDescent="0.3"/>
  <cols>
    <col min="1" max="1" width="3" style="6" customWidth="1"/>
    <col min="2" max="2" width="14.1796875" style="6" customWidth="1"/>
    <col min="3" max="3" width="19" style="6" customWidth="1"/>
    <col min="4" max="5" width="14.54296875" style="6" customWidth="1"/>
    <col min="6" max="7" width="13" style="6" customWidth="1"/>
    <col min="8" max="8" width="14" style="6" customWidth="1"/>
    <col min="9" max="9" width="11.54296875" style="6" bestFit="1" customWidth="1"/>
    <col min="10" max="10" width="11.54296875" style="6" customWidth="1"/>
    <col min="11" max="11" width="14" style="6" customWidth="1"/>
    <col min="12" max="12" width="13" style="6" customWidth="1"/>
    <col min="13" max="13" width="31.1796875" style="6" bestFit="1" customWidth="1"/>
    <col min="14" max="16384" width="9" style="6"/>
  </cols>
  <sheetData>
    <row r="1" spans="1:12" ht="18.5" x14ac:dyDescent="0.45">
      <c r="A1" s="15" t="s">
        <v>124</v>
      </c>
      <c r="B1" s="20"/>
      <c r="C1" s="20"/>
      <c r="D1" s="20"/>
      <c r="E1" s="20"/>
      <c r="F1" s="20"/>
      <c r="G1" s="20"/>
      <c r="H1" s="20"/>
      <c r="I1" s="20"/>
      <c r="J1" s="20"/>
      <c r="K1" s="20"/>
    </row>
    <row r="3" spans="1:12" x14ac:dyDescent="0.3">
      <c r="B3" s="21" t="s">
        <v>19</v>
      </c>
      <c r="C3" s="22" t="s">
        <v>199</v>
      </c>
      <c r="D3" s="23"/>
      <c r="E3" s="23"/>
      <c r="F3" s="23"/>
      <c r="G3" s="23"/>
      <c r="H3" s="23"/>
    </row>
    <row r="4" spans="1:12" x14ac:dyDescent="0.3">
      <c r="B4" s="21" t="s">
        <v>125</v>
      </c>
      <c r="C4" s="22" t="s">
        <v>200</v>
      </c>
      <c r="D4" s="23"/>
      <c r="E4" s="23"/>
      <c r="F4" s="23"/>
      <c r="G4" s="23"/>
      <c r="H4" s="23"/>
    </row>
    <row r="5" spans="1:12" x14ac:dyDescent="0.3">
      <c r="B5" s="21" t="s">
        <v>126</v>
      </c>
      <c r="C5" s="24" t="s">
        <v>22</v>
      </c>
      <c r="D5" s="25"/>
      <c r="E5" s="25"/>
      <c r="F5" s="25"/>
      <c r="G5" s="25"/>
      <c r="H5" s="26"/>
      <c r="I5" s="27"/>
      <c r="J5" s="27"/>
    </row>
    <row r="6" spans="1:12" x14ac:dyDescent="0.3">
      <c r="B6" s="21" t="s">
        <v>127</v>
      </c>
      <c r="C6" s="24" t="s">
        <v>176</v>
      </c>
      <c r="D6" s="25"/>
      <c r="E6" s="25"/>
      <c r="F6" s="25"/>
      <c r="G6" s="25"/>
      <c r="H6" s="28"/>
    </row>
    <row r="7" spans="1:12" x14ac:dyDescent="0.3">
      <c r="B7" s="29" t="s">
        <v>21</v>
      </c>
      <c r="C7" s="30" t="s">
        <v>23</v>
      </c>
      <c r="D7" s="23"/>
      <c r="E7" s="23"/>
      <c r="F7" s="23"/>
      <c r="G7" s="23"/>
      <c r="H7" s="23"/>
    </row>
    <row r="10" spans="1:12" ht="12.75" customHeight="1" x14ac:dyDescent="0.3">
      <c r="A10" s="16" t="s">
        <v>128</v>
      </c>
    </row>
    <row r="11" spans="1:12" ht="12.75" customHeight="1" x14ac:dyDescent="0.3">
      <c r="A11" s="27"/>
      <c r="B11" s="27"/>
      <c r="C11" s="27"/>
      <c r="D11" s="27"/>
      <c r="E11" s="27"/>
      <c r="F11" s="27"/>
      <c r="G11" s="27"/>
      <c r="H11" s="27"/>
      <c r="I11" s="31"/>
      <c r="J11" s="27"/>
    </row>
    <row r="12" spans="1:12" ht="52" x14ac:dyDescent="0.3">
      <c r="B12" s="17" t="s">
        <v>18</v>
      </c>
      <c r="C12" s="17" t="s">
        <v>131</v>
      </c>
      <c r="D12" s="17" t="s">
        <v>163</v>
      </c>
      <c r="E12" s="17" t="s">
        <v>164</v>
      </c>
      <c r="F12" s="17" t="s">
        <v>165</v>
      </c>
      <c r="G12" s="17" t="s">
        <v>196</v>
      </c>
      <c r="H12" s="18" t="s">
        <v>197</v>
      </c>
      <c r="I12" s="19" t="s">
        <v>132</v>
      </c>
      <c r="J12" s="17" t="s">
        <v>133</v>
      </c>
      <c r="K12" s="17" t="s">
        <v>134</v>
      </c>
      <c r="L12" s="17" t="s">
        <v>129</v>
      </c>
    </row>
    <row r="13" spans="1:12" x14ac:dyDescent="0.3">
      <c r="A13" s="32">
        <v>1</v>
      </c>
      <c r="B13" s="33" t="s">
        <v>1</v>
      </c>
      <c r="C13" s="55">
        <f>Analysis!G7</f>
        <v>8.2809185242199632</v>
      </c>
      <c r="D13" s="34"/>
      <c r="E13" s="34">
        <f>SUM(D13,F13)</f>
        <v>0</v>
      </c>
      <c r="F13" s="34">
        <v>0</v>
      </c>
      <c r="G13" s="34">
        <f>C13+F13</f>
        <v>8.2809185242199632</v>
      </c>
      <c r="H13" s="34">
        <f>Analysis!N7</f>
        <v>7.0387807455869682</v>
      </c>
      <c r="I13" s="35">
        <f>MIN(G13,H13)</f>
        <v>7.0387807455869682</v>
      </c>
      <c r="J13" s="34">
        <v>1</v>
      </c>
      <c r="K13" s="34">
        <f>$I13*$J13</f>
        <v>7.0387807455869682</v>
      </c>
      <c r="L13" s="34">
        <f>$I13*(1-$J13)</f>
        <v>0</v>
      </c>
    </row>
    <row r="14" spans="1:12" x14ac:dyDescent="0.3">
      <c r="A14" s="32">
        <v>2</v>
      </c>
      <c r="B14" s="33" t="s">
        <v>117</v>
      </c>
      <c r="C14" s="55">
        <f>Analysis!G8</f>
        <v>1.3841589506058081</v>
      </c>
      <c r="D14" s="34"/>
      <c r="E14" s="34">
        <f t="shared" ref="E14" si="0">SUM(D14,F14)</f>
        <v>0</v>
      </c>
      <c r="F14" s="34">
        <v>0</v>
      </c>
      <c r="G14" s="34">
        <f t="shared" ref="G14" si="1">C14+F14</f>
        <v>1.3841589506058081</v>
      </c>
      <c r="H14" s="34">
        <f>Analysis!N8</f>
        <v>1.1073271604846464</v>
      </c>
      <c r="I14" s="35">
        <f t="shared" ref="I14" si="2">MIN(G14,H14)</f>
        <v>1.1073271604846464</v>
      </c>
      <c r="J14" s="34">
        <v>1</v>
      </c>
      <c r="K14" s="34">
        <f t="shared" ref="K14:K29" si="3">$I14*$J14</f>
        <v>1.1073271604846464</v>
      </c>
      <c r="L14" s="34">
        <f t="shared" ref="L14:L29" si="4">$I14*(1-$J14)</f>
        <v>0</v>
      </c>
    </row>
    <row r="15" spans="1:12" x14ac:dyDescent="0.3">
      <c r="A15" s="32">
        <v>3</v>
      </c>
      <c r="B15" s="33" t="s">
        <v>2</v>
      </c>
      <c r="C15" s="55">
        <f>Analysis!G9</f>
        <v>3.25</v>
      </c>
      <c r="D15" s="34"/>
      <c r="E15" s="34">
        <f t="shared" ref="E15:E29" si="5">SUM(D15,F15)</f>
        <v>0</v>
      </c>
      <c r="F15" s="34">
        <v>0</v>
      </c>
      <c r="G15" s="34">
        <f t="shared" ref="G15:G29" si="6">C15+F15</f>
        <v>3.25</v>
      </c>
      <c r="H15" s="34">
        <f>Analysis!N9</f>
        <v>3.25</v>
      </c>
      <c r="I15" s="35">
        <f t="shared" ref="I15:I29" si="7">MIN(G15,H15)</f>
        <v>3.25</v>
      </c>
      <c r="J15" s="34">
        <v>1</v>
      </c>
      <c r="K15" s="34">
        <f t="shared" si="3"/>
        <v>3.25</v>
      </c>
      <c r="L15" s="34">
        <f t="shared" si="4"/>
        <v>0</v>
      </c>
    </row>
    <row r="16" spans="1:12" x14ac:dyDescent="0.3">
      <c r="A16" s="32">
        <v>4</v>
      </c>
      <c r="B16" s="33" t="s">
        <v>3</v>
      </c>
      <c r="C16" s="55">
        <f>Analysis!G10</f>
        <v>5.0877756750470002</v>
      </c>
      <c r="D16" s="34"/>
      <c r="E16" s="34">
        <f t="shared" si="5"/>
        <v>0</v>
      </c>
      <c r="F16" s="34">
        <v>0</v>
      </c>
      <c r="G16" s="34">
        <f t="shared" si="6"/>
        <v>5.0877756750470002</v>
      </c>
      <c r="H16" s="34">
        <f>Analysis!N10</f>
        <v>5.0877756750470002</v>
      </c>
      <c r="I16" s="35">
        <f t="shared" si="7"/>
        <v>5.0877756750470002</v>
      </c>
      <c r="J16" s="34">
        <v>1</v>
      </c>
      <c r="K16" s="34">
        <f t="shared" si="3"/>
        <v>5.0877756750470002</v>
      </c>
      <c r="L16" s="34">
        <f t="shared" si="4"/>
        <v>0</v>
      </c>
    </row>
    <row r="17" spans="1:12" x14ac:dyDescent="0.3">
      <c r="A17" s="32">
        <v>5</v>
      </c>
      <c r="B17" s="33" t="s">
        <v>4</v>
      </c>
      <c r="C17" s="55">
        <f>Analysis!G11</f>
        <v>0</v>
      </c>
      <c r="D17" s="34"/>
      <c r="E17" s="34">
        <f t="shared" si="5"/>
        <v>0</v>
      </c>
      <c r="F17" s="34">
        <v>0</v>
      </c>
      <c r="G17" s="34">
        <f t="shared" si="6"/>
        <v>0</v>
      </c>
      <c r="H17" s="34">
        <f>Analysis!N11</f>
        <v>0</v>
      </c>
      <c r="I17" s="35">
        <f t="shared" si="7"/>
        <v>0</v>
      </c>
      <c r="J17" s="34">
        <v>0</v>
      </c>
      <c r="K17" s="34">
        <f t="shared" si="3"/>
        <v>0</v>
      </c>
      <c r="L17" s="34">
        <f t="shared" si="4"/>
        <v>0</v>
      </c>
    </row>
    <row r="18" spans="1:12" x14ac:dyDescent="0.3">
      <c r="A18" s="32">
        <v>6</v>
      </c>
      <c r="B18" s="33" t="s">
        <v>116</v>
      </c>
      <c r="C18" s="55">
        <f>Analysis!G12</f>
        <v>8.8109999999999999</v>
      </c>
      <c r="D18" s="34"/>
      <c r="E18" s="34">
        <f t="shared" ref="E18" si="8">SUM(D18,F18)</f>
        <v>0</v>
      </c>
      <c r="F18" s="34">
        <v>0</v>
      </c>
      <c r="G18" s="34">
        <f t="shared" ref="G18" si="9">C18+F18</f>
        <v>8.8109999999999999</v>
      </c>
      <c r="H18" s="34">
        <f>Analysis!N12</f>
        <v>8.8109999999999999</v>
      </c>
      <c r="I18" s="35">
        <f t="shared" ref="I18" si="10">MIN(G18,H18)</f>
        <v>8.8109999999999999</v>
      </c>
      <c r="J18" s="34">
        <v>1</v>
      </c>
      <c r="K18" s="34">
        <f t="shared" si="3"/>
        <v>8.8109999999999999</v>
      </c>
      <c r="L18" s="34">
        <f t="shared" si="4"/>
        <v>0</v>
      </c>
    </row>
    <row r="19" spans="1:12" x14ac:dyDescent="0.3">
      <c r="A19" s="32">
        <v>7</v>
      </c>
      <c r="B19" s="33" t="s">
        <v>6</v>
      </c>
      <c r="C19" s="55">
        <f>Analysis!G13</f>
        <v>0.91200000000000003</v>
      </c>
      <c r="D19" s="34"/>
      <c r="E19" s="34">
        <f t="shared" si="5"/>
        <v>0</v>
      </c>
      <c r="F19" s="34">
        <v>0</v>
      </c>
      <c r="G19" s="34">
        <f t="shared" si="6"/>
        <v>0.91200000000000003</v>
      </c>
      <c r="H19" s="34">
        <f>Analysis!N13</f>
        <v>0.91200000000000003</v>
      </c>
      <c r="I19" s="35">
        <f t="shared" si="7"/>
        <v>0.91200000000000003</v>
      </c>
      <c r="J19" s="34">
        <v>1</v>
      </c>
      <c r="K19" s="34">
        <f t="shared" si="3"/>
        <v>0.91200000000000003</v>
      </c>
      <c r="L19" s="34">
        <f t="shared" si="4"/>
        <v>0</v>
      </c>
    </row>
    <row r="20" spans="1:12" x14ac:dyDescent="0.3">
      <c r="A20" s="32">
        <v>8</v>
      </c>
      <c r="B20" s="33" t="s">
        <v>7</v>
      </c>
      <c r="C20" s="55">
        <f>Analysis!G14</f>
        <v>0</v>
      </c>
      <c r="D20" s="34"/>
      <c r="E20" s="34">
        <f t="shared" si="5"/>
        <v>0</v>
      </c>
      <c r="F20" s="34">
        <v>0</v>
      </c>
      <c r="G20" s="34">
        <f t="shared" si="6"/>
        <v>0</v>
      </c>
      <c r="H20" s="34">
        <f>Analysis!N14</f>
        <v>0</v>
      </c>
      <c r="I20" s="35">
        <f t="shared" si="7"/>
        <v>0</v>
      </c>
      <c r="J20" s="34">
        <v>0</v>
      </c>
      <c r="K20" s="34">
        <f t="shared" si="3"/>
        <v>0</v>
      </c>
      <c r="L20" s="34">
        <f t="shared" si="4"/>
        <v>0</v>
      </c>
    </row>
    <row r="21" spans="1:12" x14ac:dyDescent="0.3">
      <c r="A21" s="32">
        <v>9</v>
      </c>
      <c r="B21" s="33" t="s">
        <v>8</v>
      </c>
      <c r="C21" s="55">
        <f>Analysis!G15</f>
        <v>6.8000000000000005E-2</v>
      </c>
      <c r="D21" s="34"/>
      <c r="E21" s="34">
        <f t="shared" si="5"/>
        <v>0</v>
      </c>
      <c r="F21" s="34">
        <v>0</v>
      </c>
      <c r="G21" s="34">
        <f t="shared" si="6"/>
        <v>6.8000000000000005E-2</v>
      </c>
      <c r="H21" s="34">
        <f>Analysis!N15</f>
        <v>6.8000000000000005E-2</v>
      </c>
      <c r="I21" s="35">
        <f t="shared" si="7"/>
        <v>6.8000000000000005E-2</v>
      </c>
      <c r="J21" s="34">
        <v>1</v>
      </c>
      <c r="K21" s="34">
        <f t="shared" si="3"/>
        <v>6.8000000000000005E-2</v>
      </c>
      <c r="L21" s="34">
        <f t="shared" si="4"/>
        <v>0</v>
      </c>
    </row>
    <row r="22" spans="1:12" x14ac:dyDescent="0.3">
      <c r="A22" s="32">
        <v>10</v>
      </c>
      <c r="B22" s="33" t="s">
        <v>9</v>
      </c>
      <c r="C22" s="55">
        <f>Analysis!G16</f>
        <v>4.95789230769231</v>
      </c>
      <c r="D22" s="34"/>
      <c r="E22" s="34">
        <f t="shared" si="5"/>
        <v>0</v>
      </c>
      <c r="F22" s="34">
        <v>0</v>
      </c>
      <c r="G22" s="34">
        <f t="shared" si="6"/>
        <v>4.95789230769231</v>
      </c>
      <c r="H22" s="34">
        <f>Analysis!N16</f>
        <v>3.9663138461538483</v>
      </c>
      <c r="I22" s="35">
        <f t="shared" si="7"/>
        <v>3.9663138461538483</v>
      </c>
      <c r="J22" s="34">
        <v>1</v>
      </c>
      <c r="K22" s="34">
        <f t="shared" si="3"/>
        <v>3.9663138461538483</v>
      </c>
      <c r="L22" s="34">
        <f t="shared" si="4"/>
        <v>0</v>
      </c>
    </row>
    <row r="23" spans="1:12" x14ac:dyDescent="0.3">
      <c r="A23" s="32">
        <v>11</v>
      </c>
      <c r="B23" s="33" t="s">
        <v>10</v>
      </c>
      <c r="C23" s="55">
        <f>Analysis!G17</f>
        <v>0</v>
      </c>
      <c r="D23" s="34"/>
      <c r="E23" s="34">
        <f t="shared" si="5"/>
        <v>0</v>
      </c>
      <c r="F23" s="34">
        <v>0</v>
      </c>
      <c r="G23" s="34">
        <f t="shared" si="6"/>
        <v>0</v>
      </c>
      <c r="H23" s="34">
        <f>Analysis!N17</f>
        <v>0</v>
      </c>
      <c r="I23" s="35">
        <f t="shared" si="7"/>
        <v>0</v>
      </c>
      <c r="J23" s="34">
        <v>0</v>
      </c>
      <c r="K23" s="34">
        <f t="shared" si="3"/>
        <v>0</v>
      </c>
      <c r="L23" s="34">
        <f t="shared" si="4"/>
        <v>0</v>
      </c>
    </row>
    <row r="24" spans="1:12" x14ac:dyDescent="0.3">
      <c r="A24" s="32">
        <v>12</v>
      </c>
      <c r="B24" s="33" t="s">
        <v>11</v>
      </c>
      <c r="C24" s="55">
        <f>Analysis!G18</f>
        <v>0</v>
      </c>
      <c r="D24" s="34"/>
      <c r="E24" s="34">
        <f t="shared" si="5"/>
        <v>0</v>
      </c>
      <c r="F24" s="34">
        <v>0</v>
      </c>
      <c r="G24" s="34">
        <f t="shared" si="6"/>
        <v>0</v>
      </c>
      <c r="H24" s="34">
        <f>Analysis!N18</f>
        <v>0</v>
      </c>
      <c r="I24" s="35">
        <f t="shared" si="7"/>
        <v>0</v>
      </c>
      <c r="J24" s="34">
        <v>0</v>
      </c>
      <c r="K24" s="34">
        <f t="shared" si="3"/>
        <v>0</v>
      </c>
      <c r="L24" s="34">
        <f t="shared" si="4"/>
        <v>0</v>
      </c>
    </row>
    <row r="25" spans="1:12" x14ac:dyDescent="0.3">
      <c r="A25" s="32">
        <v>13</v>
      </c>
      <c r="B25" s="33" t="s">
        <v>12</v>
      </c>
      <c r="C25" s="55">
        <f>Analysis!G19</f>
        <v>0.41500000000000004</v>
      </c>
      <c r="D25" s="34"/>
      <c r="E25" s="34">
        <f t="shared" si="5"/>
        <v>0</v>
      </c>
      <c r="F25" s="34">
        <v>0</v>
      </c>
      <c r="G25" s="34">
        <f t="shared" si="6"/>
        <v>0.41500000000000004</v>
      </c>
      <c r="H25" s="34">
        <f>Analysis!N19</f>
        <v>0.41500000000000004</v>
      </c>
      <c r="I25" s="35">
        <f t="shared" si="7"/>
        <v>0.41500000000000004</v>
      </c>
      <c r="J25" s="34">
        <v>1</v>
      </c>
      <c r="K25" s="34">
        <f t="shared" si="3"/>
        <v>0.41500000000000004</v>
      </c>
      <c r="L25" s="34">
        <f t="shared" si="4"/>
        <v>0</v>
      </c>
    </row>
    <row r="26" spans="1:12" x14ac:dyDescent="0.3">
      <c r="A26" s="32">
        <v>14</v>
      </c>
      <c r="B26" s="33" t="s">
        <v>14</v>
      </c>
      <c r="C26" s="55">
        <f>Analysis!G20</f>
        <v>2.2639999999999998</v>
      </c>
      <c r="D26" s="34"/>
      <c r="E26" s="34">
        <f t="shared" si="5"/>
        <v>0</v>
      </c>
      <c r="F26" s="34">
        <v>0</v>
      </c>
      <c r="G26" s="34">
        <f t="shared" si="6"/>
        <v>2.2639999999999998</v>
      </c>
      <c r="H26" s="34">
        <f>Analysis!N20</f>
        <v>1.7339999999999998</v>
      </c>
      <c r="I26" s="35">
        <f t="shared" si="7"/>
        <v>1.7339999999999998</v>
      </c>
      <c r="J26" s="34">
        <v>1</v>
      </c>
      <c r="K26" s="34">
        <f>$I26*$J26</f>
        <v>1.7339999999999998</v>
      </c>
      <c r="L26" s="34">
        <f>$I26*(1-$J26)</f>
        <v>0</v>
      </c>
    </row>
    <row r="27" spans="1:12" x14ac:dyDescent="0.3">
      <c r="A27" s="32">
        <v>15</v>
      </c>
      <c r="B27" s="33" t="s">
        <v>15</v>
      </c>
      <c r="C27" s="55">
        <f>Analysis!G21</f>
        <v>0</v>
      </c>
      <c r="D27" s="34"/>
      <c r="E27" s="34">
        <f t="shared" si="5"/>
        <v>0</v>
      </c>
      <c r="F27" s="34">
        <v>0</v>
      </c>
      <c r="G27" s="34">
        <f t="shared" si="6"/>
        <v>0</v>
      </c>
      <c r="H27" s="34">
        <f>Analysis!N21</f>
        <v>0</v>
      </c>
      <c r="I27" s="35">
        <f t="shared" si="7"/>
        <v>0</v>
      </c>
      <c r="J27" s="34">
        <v>0</v>
      </c>
      <c r="K27" s="34">
        <f t="shared" si="3"/>
        <v>0</v>
      </c>
      <c r="L27" s="34">
        <f t="shared" si="4"/>
        <v>0</v>
      </c>
    </row>
    <row r="28" spans="1:12" x14ac:dyDescent="0.3">
      <c r="A28" s="32">
        <v>16</v>
      </c>
      <c r="B28" s="33" t="s">
        <v>16</v>
      </c>
      <c r="C28" s="55">
        <f>Analysis!G22</f>
        <v>0</v>
      </c>
      <c r="D28" s="34"/>
      <c r="E28" s="34">
        <f t="shared" si="5"/>
        <v>0</v>
      </c>
      <c r="F28" s="34">
        <v>0</v>
      </c>
      <c r="G28" s="34">
        <f t="shared" si="6"/>
        <v>0</v>
      </c>
      <c r="H28" s="34">
        <f>Analysis!N22</f>
        <v>0</v>
      </c>
      <c r="I28" s="35">
        <f t="shared" si="7"/>
        <v>0</v>
      </c>
      <c r="J28" s="34">
        <v>0</v>
      </c>
      <c r="K28" s="34">
        <f t="shared" si="3"/>
        <v>0</v>
      </c>
      <c r="L28" s="34">
        <f t="shared" si="4"/>
        <v>0</v>
      </c>
    </row>
    <row r="29" spans="1:12" x14ac:dyDescent="0.3">
      <c r="A29" s="32">
        <v>17</v>
      </c>
      <c r="B29" s="33" t="s">
        <v>17</v>
      </c>
      <c r="C29" s="55">
        <f>Analysis!G23</f>
        <v>2.9146386892577199</v>
      </c>
      <c r="D29" s="34"/>
      <c r="E29" s="34">
        <f t="shared" si="5"/>
        <v>0</v>
      </c>
      <c r="F29" s="34">
        <v>0</v>
      </c>
      <c r="G29" s="34">
        <f t="shared" si="6"/>
        <v>2.9146386892577199</v>
      </c>
      <c r="H29" s="34">
        <f>Analysis!N23</f>
        <v>2.3317109514061758</v>
      </c>
      <c r="I29" s="35">
        <f t="shared" si="7"/>
        <v>2.3317109514061758</v>
      </c>
      <c r="J29" s="34">
        <v>1</v>
      </c>
      <c r="K29" s="34">
        <f t="shared" si="3"/>
        <v>2.3317109514061758</v>
      </c>
      <c r="L29" s="34">
        <f t="shared" si="4"/>
        <v>0</v>
      </c>
    </row>
    <row r="30" spans="1:12" x14ac:dyDescent="0.3">
      <c r="B30" s="36" t="s">
        <v>130</v>
      </c>
      <c r="C30" s="37">
        <f t="shared" ref="C30:L30" si="11">SUM(C13:C29)</f>
        <v>38.345384146822802</v>
      </c>
      <c r="D30" s="37">
        <f t="shared" si="11"/>
        <v>0</v>
      </c>
      <c r="E30" s="37">
        <f t="shared" si="11"/>
        <v>0</v>
      </c>
      <c r="F30" s="37">
        <f t="shared" si="11"/>
        <v>0</v>
      </c>
      <c r="G30" s="37">
        <f t="shared" si="11"/>
        <v>38.345384146822802</v>
      </c>
      <c r="H30" s="37">
        <f t="shared" si="11"/>
        <v>34.721908378678634</v>
      </c>
      <c r="I30" s="37">
        <f t="shared" si="11"/>
        <v>34.721908378678634</v>
      </c>
      <c r="J30" s="37"/>
      <c r="K30" s="37">
        <f t="shared" si="11"/>
        <v>34.721908378678634</v>
      </c>
      <c r="L30" s="37">
        <f t="shared" si="11"/>
        <v>0</v>
      </c>
    </row>
  </sheetData>
  <dataValidations count="1">
    <dataValidation type="list" allowBlank="1" showInputMessage="1" showErrorMessage="1" sqref="C7">
      <formula1>"Wholesale water, Wholesale wastewater"</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8</vt:i4>
      </vt:variant>
    </vt:vector>
  </HeadingPairs>
  <TitlesOfParts>
    <vt:vector size="8" baseType="lpstr">
      <vt:lpstr>Cover</vt:lpstr>
      <vt:lpstr>Data</vt:lpstr>
      <vt:lpstr>Analysis</vt:lpstr>
      <vt:lpstr>Deep dive_HDD</vt:lpstr>
      <vt:lpstr>Deep dive_PRT</vt:lpstr>
      <vt:lpstr>Deep dive_SSC</vt:lpstr>
      <vt:lpstr>Deep dive_WSX</vt:lpstr>
      <vt:lpstr>Allowance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2019-01-24T09:29:58Z</dcterms:created>
  <dcterms:modified xsi:type="dcterms:W3CDTF">2019-01-25T15:24:35Z</dcterms:modified>
  <cp:category/>
  <cp:contentStatus/>
</cp:coreProperties>
</file>