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filterPrivacy="1" codeName="ThisWorkbook" defaultThemeVersion="153222"/>
  <bookViews>
    <workbookView xWindow="0" yWindow="0" windowWidth="13680" windowHeight="9600"/>
  </bookViews>
  <sheets>
    <sheet name="Cover" sheetId="8" r:id="rId1"/>
    <sheet name="Controls" sheetId="4" r:id="rId2"/>
    <sheet name="Data" sheetId="1" r:id="rId3"/>
    <sheet name="Coeffs" sheetId="2" r:id="rId4"/>
    <sheet name="Forecast drivers" sheetId="13" r:id="rId5"/>
    <sheet name="Selected forecast drivers" sheetId="9" r:id="rId6"/>
    <sheet name="Modelled costs" sheetId="3" r:id="rId7"/>
    <sheet name="Modelled unit costs" sheetId="10" r:id="rId8"/>
    <sheet name="Allowance" sheetId="1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net1" localSheetId="4"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localSheetId="4" hidden="1">[3]Aln!#REF!</definedName>
    <definedName name="__123Graph_X" hidden="1">[2]Dnurse!#REF!</definedName>
    <definedName name="__net1" localSheetId="4" hidden="1">{"NET",#N/A,FALSE,"401C11"}</definedName>
    <definedName name="__net1" hidden="1">{"NET",#N/A,FALSE,"401C11"}</definedName>
    <definedName name="_1_0__123Grap" hidden="1">'[4]#REF'!#REF!</definedName>
    <definedName name="_1_123Grap" hidden="1">'[5]#REF'!#REF!</definedName>
    <definedName name="_123Graph_F" hidden="1">'[6]Chelmsford '!$G$18:$G$28</definedName>
    <definedName name="_2_0__123Grap" hidden="1">'[5]#REF'!#REF!</definedName>
    <definedName name="_2_123Grap" hidden="1">'[2]#REF'!#REF!</definedName>
    <definedName name="_3_0_S" hidden="1">'[4]#REF'!#REF!</definedName>
    <definedName name="_3_123Grap" hidden="1">'[5]#REF'!#REF!</definedName>
    <definedName name="_34_123Grap" hidden="1">'[5]#REF'!#REF!</definedName>
    <definedName name="_42S" hidden="1">'[5]#REF'!#REF!</definedName>
    <definedName name="_4S" hidden="1">'[5]#REF'!#REF!</definedName>
    <definedName name="_5_0__123Grap" hidden="1">'[5]#REF'!#REF!</definedName>
    <definedName name="_6_0_S" hidden="1">'[5]#REF'!#REF!</definedName>
    <definedName name="_6_123Grap" hidden="1">'[2]#REF'!#REF!</definedName>
    <definedName name="_8_123Grap" hidden="1">'[5]#REF'!#REF!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4" hidden="1">#REF!</definedName>
    <definedName name="_Dist_Values" hidden="1">#REF!</definedName>
    <definedName name="_Fill" localSheetId="4" hidden="1">#REF!</definedName>
    <definedName name="_Fill" hidden="1">#REF!</definedName>
    <definedName name="_xlnm._FilterDatabase" localSheetId="2" hidden="1">Data!$A$7:$M$253</definedName>
    <definedName name="_Key1" localSheetId="4" hidden="1">#REF!</definedName>
    <definedName name="_Key1" hidden="1">'[2]#REF'!#REF!</definedName>
    <definedName name="_Key2" localSheetId="4" hidden="1">#REF!</definedName>
    <definedName name="_Key2" hidden="1">#REF!</definedName>
    <definedName name="_net1" localSheetId="4" hidden="1">{"NET",#N/A,FALSE,"401C11"}</definedName>
    <definedName name="_net1" hidden="1">{"NET",#N/A,FALSE,"401C11"}</definedName>
    <definedName name="_Order1" hidden="1">255</definedName>
    <definedName name="_Order2" hidden="1">255</definedName>
    <definedName name="_Sort" localSheetId="4" hidden="1">#REF!</definedName>
    <definedName name="_Sort" hidden="1">#REF!</definedName>
    <definedName name="a" localSheetId="4" hidden="1">{"CHARGE",#N/A,FALSE,"401C11"}</definedName>
    <definedName name="a" hidden="1">{"CHARGE",#N/A,FALSE,"401C11"}</definedName>
    <definedName name="aa" localSheetId="4" hidden="1">{"CHARGE",#N/A,FALSE,"401C11"}</definedName>
    <definedName name="aa" hidden="1">{"CHARGE",#N/A,FALSE,"401C11"}</definedName>
    <definedName name="aaa" localSheetId="4" hidden="1">{"CHARGE",#N/A,FALSE,"401C11"}</definedName>
    <definedName name="aaa" hidden="1">{"CHARGE",#N/A,FALSE,"401C11"}</definedName>
    <definedName name="aaaa" localSheetId="4" hidden="1">{"CHARGE",#N/A,FALSE,"401C11"}</definedName>
    <definedName name="aaaa" hidden="1">{"CHARGE",#N/A,FALSE,"401C11"}</definedName>
    <definedName name="abc" localSheetId="4" hidden="1">{"NET",#N/A,FALSE,"401C11"}</definedName>
    <definedName name="abc" hidden="1">{"NET",#N/A,FALSE,"401C11"}</definedName>
    <definedName name="adbr" localSheetId="4" hidden="1">{"CHARGE",#N/A,FALSE,"401C11"}</definedName>
    <definedName name="adbr" hidden="1">{"CHARGE",#N/A,FALSE,"401C11"}</definedName>
    <definedName name="amp.totex">'[7]Exp''ture &amp; materiality'!$AE$182:$AE$200</definedName>
    <definedName name="amp.totex.compnames">'[7]Exp''ture &amp; materiality'!$A$182:$A$200</definedName>
    <definedName name="AVON" localSheetId="4">#REF!</definedName>
    <definedName name="AVON">#REF!</definedName>
    <definedName name="b" localSheetId="4" hidden="1">{"CHARGE",#N/A,FALSE,"401C11"}</definedName>
    <definedName name="b" hidden="1">{"CHARGE",#N/A,FALSE,"401C11"}</definedName>
    <definedName name="BEDS" localSheetId="4">#REF!</definedName>
    <definedName name="BEDS">#REF!</definedName>
    <definedName name="BERKS" localSheetId="4">#REF!</definedName>
    <definedName name="BERKS">#REF!</definedName>
    <definedName name="BMGHIndex" hidden="1">"O"</definedName>
    <definedName name="BUCKS" localSheetId="4">#REF!</definedName>
    <definedName name="BUCKS">#REF!</definedName>
    <definedName name="CAMBS" localSheetId="4">#REF!</definedName>
    <definedName name="CAMBS">#REF!</definedName>
    <definedName name="change1" localSheetId="4" hidden="1">{"CHARGE",#N/A,FALSE,"401C11"}</definedName>
    <definedName name="change1" hidden="1">{"CHARGE",#N/A,FALSE,"401C11"}</definedName>
    <definedName name="charge" localSheetId="4" hidden="1">{"CHARGE",#N/A,FALSE,"401C11"}</definedName>
    <definedName name="charge" hidden="1">{"CHARGE",#N/A,FALSE,"401C11"}</definedName>
    <definedName name="CHESHIRE" localSheetId="4">#REF!</definedName>
    <definedName name="CHESHIRE">#REF!</definedName>
    <definedName name="CHK_TOL">[8]InpActive!$F$1891</definedName>
    <definedName name="CHK_TOL_TAX">[8]InpActive!$F$1893</definedName>
    <definedName name="CLEVELAND" localSheetId="4">#REF!</definedName>
    <definedName name="CLEVELAND">#REF!</definedName>
    <definedName name="CLWYD" localSheetId="4">#REF!</definedName>
    <definedName name="CLWYD">#REF!</definedName>
    <definedName name="Codes" localSheetId="4">#REF!</definedName>
    <definedName name="Codes">#REF!</definedName>
    <definedName name="CORNWALL" localSheetId="4">#REF!</definedName>
    <definedName name="CORNWALL">#REF!</definedName>
    <definedName name="CUMBRIA" localSheetId="4">#REF!</definedName>
    <definedName name="CUMBRIA">#REF!</definedName>
    <definedName name="da" localSheetId="4" hidden="1">#REF!</definedName>
    <definedName name="da" hidden="1">#REF!</definedName>
    <definedName name="_xlnm.Database" localSheetId="4">#REF!</definedName>
    <definedName name="_xlnm.Database">#REF!</definedName>
    <definedName name="DERBYSHIRE" localSheetId="4">#REF!</definedName>
    <definedName name="DERBYSHIRE">#REF!</definedName>
    <definedName name="DEVON" localSheetId="4">#REF!</definedName>
    <definedName name="DEVON">#REF!</definedName>
    <definedName name="dnonames" localSheetId="4">#REF!</definedName>
    <definedName name="dnonames">#REF!</definedName>
    <definedName name="dog" localSheetId="4" hidden="1">{"NET",#N/A,FALSE,"401C11"}</definedName>
    <definedName name="dog" hidden="1">{"NET",#N/A,FALSE,"401C11"}</definedName>
    <definedName name="DORSET" localSheetId="4">#REF!</definedName>
    <definedName name="DORSET">#REF!</definedName>
    <definedName name="DURHAM" localSheetId="4">#REF!</definedName>
    <definedName name="DURHAM">#REF!</definedName>
    <definedName name="DYFED" localSheetId="4">#REF!</definedName>
    <definedName name="DYFED">#REF!</definedName>
    <definedName name="E_SUSSEX" localSheetId="4">#REF!</definedName>
    <definedName name="E_SUSSEX">#REF!</definedName>
    <definedName name="eff_update" localSheetId="4">#REF!</definedName>
    <definedName name="eff_update">#REF!</definedName>
    <definedName name="el3.bp.capex">'[7]Exp''ture &amp; materiality'!$AG$66:$AG$84</definedName>
    <definedName name="el3.compnames">'[7]Exp''ture &amp; materiality'!$A$66:$A$84</definedName>
    <definedName name="ESSEX" localSheetId="4">#REF!</definedName>
    <definedName name="ESSEX">#REF!</definedName>
    <definedName name="EV__LASTREFTIME__" hidden="1">40339.4799074074</definedName>
    <definedName name="Expired" hidden="1">FALSE</definedName>
    <definedName name="F" localSheetId="4" hidden="1">{"bal",#N/A,FALSE,"working papers";"income",#N/A,FALSE,"working papers"}</definedName>
    <definedName name="F" hidden="1">{"bal",#N/A,FALSE,"working papers";"income",#N/A,FALSE,"working papers"}</definedName>
    <definedName name="fdraf" localSheetId="4" hidden="1">{"bal",#N/A,FALSE,"working papers";"income",#N/A,FALSE,"working papers"}</definedName>
    <definedName name="fdraf" hidden="1">{"bal",#N/A,FALSE,"working papers";"income",#N/A,FALSE,"working papers"}</definedName>
    <definedName name="Fdraft" localSheetId="4" hidden="1">{"bal",#N/A,FALSE,"working papers";"income",#N/A,FALSE,"working papers"}</definedName>
    <definedName name="Fdraft" hidden="1">{"bal",#N/A,FALSE,"working papers";"income",#N/A,FALSE,"working papers"}</definedName>
    <definedName name="fe" localSheetId="4">#REF!</definedName>
    <definedName name="fe">#REF!</definedName>
    <definedName name="Foutput" localSheetId="4" hidden="1">#REF!</definedName>
    <definedName name="Foutput" hidden="1">#REF!</definedName>
    <definedName name="fsdfffd" localSheetId="4" hidden="1">#REF!</definedName>
    <definedName name="fsdfffd" hidden="1">#REF!</definedName>
    <definedName name="fsdfsd" localSheetId="4" hidden="1">#REF!</definedName>
    <definedName name="fsdfsd" hidden="1">#REF!</definedName>
    <definedName name="fsfds" localSheetId="4" hidden="1">#REF!</definedName>
    <definedName name="fsfds" hidden="1">#REF!</definedName>
    <definedName name="fsfsd" localSheetId="4" hidden="1">#REF!</definedName>
    <definedName name="fsfsd" hidden="1">#REF!</definedName>
    <definedName name="General" localSheetId="4">#REF!</definedName>
    <definedName name="General">#REF!</definedName>
    <definedName name="General1" localSheetId="4">#REF!</definedName>
    <definedName name="General1">#REF!</definedName>
    <definedName name="General2" localSheetId="4">#REF!</definedName>
    <definedName name="General2">#REF!</definedName>
    <definedName name="GEOG9703" localSheetId="4">#REF!</definedName>
    <definedName name="GEOG9703">#REF!</definedName>
    <definedName name="gfff" localSheetId="4" hidden="1">{"CHARGE",#N/A,FALSE,"401C11"}</definedName>
    <definedName name="gfff" hidden="1">{"CHARGE",#N/A,FALSE,"401C11"}</definedName>
    <definedName name="GLOS" localSheetId="4">#REF!</definedName>
    <definedName name="GLOS">#REF!</definedName>
    <definedName name="gross" localSheetId="4" hidden="1">{"GROSS",#N/A,FALSE,"401C11"}</definedName>
    <definedName name="gross" hidden="1">{"GROSS",#N/A,FALSE,"401C11"}</definedName>
    <definedName name="gross1" localSheetId="4" hidden="1">{"GROSS",#N/A,FALSE,"401C11"}</definedName>
    <definedName name="gross1" hidden="1">{"GROSS",#N/A,FALSE,"401C11"}</definedName>
    <definedName name="GTR_MAN" localSheetId="4">#REF!</definedName>
    <definedName name="GTR_MAN">#REF!</definedName>
    <definedName name="GWENT" localSheetId="4">#REF!</definedName>
    <definedName name="GWENT">#REF!</definedName>
    <definedName name="GWYNEDD" localSheetId="4">#REF!</definedName>
    <definedName name="GWYNEDD">#REF!</definedName>
    <definedName name="HANTS" localSheetId="4">#REF!</definedName>
    <definedName name="HANTS">#REF!</definedName>
    <definedName name="hasdfjklhklj" localSheetId="4" hidden="1">{"NET",#N/A,FALSE,"401C11"}</definedName>
    <definedName name="hasdfjklhklj" hidden="1">{"NET",#N/A,FALSE,"401C11"}</definedName>
    <definedName name="help" localSheetId="4" hidden="1">{"CHARGE",#N/A,FALSE,"401C11"}</definedName>
    <definedName name="help" hidden="1">{"CHARGE",#N/A,FALSE,"401C11"}</definedName>
    <definedName name="HEREFORD_W" localSheetId="4">#REF!</definedName>
    <definedName name="HEREFORD_W">#REF!</definedName>
    <definedName name="HERTS" localSheetId="4">#REF!</definedName>
    <definedName name="HERTS">#REF!</definedName>
    <definedName name="hghghhj" localSheetId="4" hidden="1">{"CHARGE",#N/A,FALSE,"401C11"}</definedName>
    <definedName name="hghghhj" hidden="1">{"CHARGE",#N/A,FALSE,"401C11"}</definedName>
    <definedName name="HRG_Codes">#REF!</definedName>
    <definedName name="HTML_CodePage" hidden="1">1252</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 localSheetId="4">#REF!</definedName>
    <definedName name="HUMBERSIDE">#REF!</definedName>
    <definedName name="I_OF_WIGHT" localSheetId="4">#REF!</definedName>
    <definedName name="I_OF_WIGHT">#REF!</definedName>
    <definedName name="ICD_Codes" localSheetId="4">#REF!</definedName>
    <definedName name="ICD_Codes">#REF!</definedName>
    <definedName name="interpretation">'[9]Catch up efficiency'!$I$7:$I$13</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hidden="1">#REF!</definedName>
    <definedName name="KENT" localSheetId="4">#REF!</definedName>
    <definedName name="KENT">#REF!</definedName>
    <definedName name="LANCS" localSheetId="4">#REF!</definedName>
    <definedName name="LANCS">#REF!</definedName>
    <definedName name="LEICS" localSheetId="4">#REF!</definedName>
    <definedName name="LEICS">#REF!</definedName>
    <definedName name="LINCS" localSheetId="4">#REF!</definedName>
    <definedName name="LINCS">#REF!</definedName>
    <definedName name="LONDON" localSheetId="4">#REF!</definedName>
    <definedName name="LONDON">#REF!</definedName>
    <definedName name="lst_acronyms">[10]F_Inputs_Clean!$C$7:$C$348</definedName>
    <definedName name="lst_all_companies">[10]Other_Inputs!$D$21:$U$21</definedName>
    <definedName name="lst_menus">'[10]Menu design'!$D$10:$I$10</definedName>
    <definedName name="lst_reference">[10]F_Inputs_Clean!$D$7:$D$348</definedName>
    <definedName name="lst_scenarios">[10]Scenarios!$E$3:$J$3</definedName>
    <definedName name="M_GLAM" localSheetId="4">#REF!</definedName>
    <definedName name="M_GLAM">#REF!</definedName>
    <definedName name="MERSEYSIDE" localSheetId="4">#REF!</definedName>
    <definedName name="MERSEYSIDE">#REF!</definedName>
    <definedName name="MFF_2014_15" localSheetId="4">#REF!</definedName>
    <definedName name="MFF_2014_15">#REF!</definedName>
    <definedName name="N_YORKS" localSheetId="4">#REF!</definedName>
    <definedName name="N_YORKS">#REF!</definedName>
    <definedName name="New" localSheetId="4" hidden="1">#REF!</definedName>
    <definedName name="New" hidden="1">#REF!</definedName>
    <definedName name="NORFOLK" localSheetId="4">#REF!</definedName>
    <definedName name="NORFOLK">#REF!</definedName>
    <definedName name="NORTHANTS" localSheetId="4">#REF!</definedName>
    <definedName name="NORTHANTS">#REF!</definedName>
    <definedName name="NORTHUMBERLAND" localSheetId="4">#REF!</definedName>
    <definedName name="NORTHUMBERLAND">#REF!</definedName>
    <definedName name="NOTTS" localSheetId="4">#REF!</definedName>
    <definedName name="NOTTS">#REF!</definedName>
    <definedName name="ODS_Care_Trust_List" localSheetId="4">#REF!</definedName>
    <definedName name="ODS_Care_Trust_List">#REF!</definedName>
    <definedName name="ODS_List" localSheetId="4">#REF!</definedName>
    <definedName name="ODS_List">#REF!</definedName>
    <definedName name="OISIII" localSheetId="4" hidden="1">#REF!</definedName>
    <definedName name="OISIII" hidden="1">#REF!</definedName>
    <definedName name="OPCS_Codes" localSheetId="4">#REF!</definedName>
    <definedName name="OPCS_Codes">#REF!</definedName>
    <definedName name="opt_actuals">'[10]Control Panel'!$H$22</definedName>
    <definedName name="opt_actuals_percentage">'[10]Control Panel'!$H$26</definedName>
    <definedName name="opt_baseline_bid_threshold">'[10]Control Panel'!$H$18</definedName>
    <definedName name="opt_baseline_cap">'[10]Control Panel'!$H$20</definedName>
    <definedName name="opt_bids">'[10]Control Panel'!$H$13</definedName>
    <definedName name="opt_bids_percentage">'[10]Control Panel'!$H$16</definedName>
    <definedName name="opt_gearing">'[10]Control Panel'!$H$44</definedName>
    <definedName name="opt_tax">'[10]Control Panel'!$H$46</definedName>
    <definedName name="opt_wacc">'[10]Control Panel'!$H$42</definedName>
    <definedName name="OXON" localSheetId="4">#REF!</definedName>
    <definedName name="OXON">#REF!</definedName>
    <definedName name="POWYS" localSheetId="4">#REF!</definedName>
    <definedName name="POWYS">#REF!</definedName>
    <definedName name="qfx" localSheetId="4" hidden="1">{"NET",#N/A,FALSE,"401C11"}</definedName>
    <definedName name="qfx" hidden="1">{"NET",#N/A,FALSE,"401C11"}</definedName>
    <definedName name="qwefqefa" hidden="1">#REF!</definedName>
    <definedName name="real" localSheetId="4" hidden="1">#REF!</definedName>
    <definedName name="real" hidden="1">#REF!</definedName>
    <definedName name="rge" localSheetId="4">#REF!</definedName>
    <definedName name="rge">#REF!</definedName>
    <definedName name="rgwer" localSheetId="4">#REF!</definedName>
    <definedName name="rgw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4" hidden="1">7</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4">#REF!</definedName>
    <definedName name="round_dp">#REF!</definedName>
    <definedName name="rytry" localSheetId="4" hidden="1">{"NET",#N/A,FALSE,"401C11"}</definedName>
    <definedName name="rytry" hidden="1">{"NET",#N/A,FALSE,"401C11"}</definedName>
    <definedName name="S_GLAM" localSheetId="4">#REF!</definedName>
    <definedName name="S_GLAM">#REF!</definedName>
    <definedName name="S_YORKS" localSheetId="4">#REF!</definedName>
    <definedName name="S_YORKS">#REF!</definedName>
    <definedName name="SAPBEXrevision" hidden="1">1</definedName>
    <definedName name="SAPBEXsysID" hidden="1">"BWB"</definedName>
    <definedName name="SAPBEXwbID" hidden="1">"49ZLUKBQR0WG29D9LLI3IBIIT"</definedName>
    <definedName name="SHROPS" localSheetId="4">#REF!</definedName>
    <definedName name="SHROPS">#REF!</definedName>
    <definedName name="SOMERSET" localSheetId="4">#REF!</definedName>
    <definedName name="SOMERSET">#REF!</definedName>
    <definedName name="sort" localSheetId="4" hidden="1">#REF!</definedName>
    <definedName name="sort" hidden="1">#REF!</definedName>
    <definedName name="STAFFS" localSheetId="4">#REF!</definedName>
    <definedName name="STAFFS">#REF!</definedName>
    <definedName name="SUFFOLK" localSheetId="4">#REF!</definedName>
    <definedName name="SUFFOLK">#REF!</definedName>
    <definedName name="SURREY" localSheetId="4">#REF!</definedName>
    <definedName name="SURREY">#REF!</definedName>
    <definedName name="Table3.4" localSheetId="4" hidden="1">{"CHARGE",#N/A,FALSE,"401C11"}</definedName>
    <definedName name="Table3.4" hidden="1">{"CHARGE",#N/A,FALSE,"401C11"}</definedName>
    <definedName name="Test23" localSheetId="4" hidden="1">{"NET",#N/A,FALSE,"401C11"}</definedName>
    <definedName name="Test23" hidden="1">{"NET",#N/A,FALSE,"401C11"}</definedName>
    <definedName name="time">'[9]Catch up efficiency'!$C$6:$H$6</definedName>
    <definedName name="trdhtr" hidden="1">#REF!</definedName>
    <definedName name="TRK_TOL">[8]InpActive!$F$1895</definedName>
    <definedName name="TYNE_WEAR" localSheetId="4">#REF!</definedName>
    <definedName name="TYNE_WEAR">#REF!</definedName>
    <definedName name="W_GLAM" localSheetId="4">#REF!</definedName>
    <definedName name="W_GLAM">#REF!</definedName>
    <definedName name="W_MIDS" localSheetId="4">#REF!</definedName>
    <definedName name="W_MIDS">#REF!</definedName>
    <definedName name="W_SUSSEX" localSheetId="4">#REF!</definedName>
    <definedName name="W_SUSSEX">#REF!</definedName>
    <definedName name="W_YORKS" localSheetId="4">#REF!</definedName>
    <definedName name="W_YORKS">#REF!</definedName>
    <definedName name="WARWICKS" localSheetId="4">#REF!</definedName>
    <definedName name="WARWICKS">#REF!</definedName>
    <definedName name="wdfw" localSheetId="4">#REF!</definedName>
    <definedName name="wdfw">#REF!</definedName>
    <definedName name="wedfw" localSheetId="4">#REF!</definedName>
    <definedName name="wedfw">#REF!</definedName>
    <definedName name="wefw" localSheetId="4">#REF!</definedName>
    <definedName name="wefw">#REF!</definedName>
    <definedName name="wefwe" localSheetId="4">#REF!</definedName>
    <definedName name="wefwe">#REF!</definedName>
    <definedName name="wefwerf" localSheetId="4">#REF!</definedName>
    <definedName name="wefwerf">#REF!</definedName>
    <definedName name="wert" localSheetId="4" hidden="1">{"GROSS",#N/A,FALSE,"401C11"}</definedName>
    <definedName name="wert" hidden="1">{"GROSS",#N/A,FALSE,"401C11"}</definedName>
    <definedName name="WILTS" localSheetId="4">#REF!</definedName>
    <definedName name="WILTS">#REF!</definedName>
    <definedName name="wombat" localSheetId="4" hidden="1">#REF!</definedName>
    <definedName name="wombat" hidden="1">#REF!</definedName>
    <definedName name="wotsthis" localSheetId="4"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4" hidden="1">{"CHARGE",#N/A,FALSE,"401C11"}</definedName>
    <definedName name="wrn.CHARGE." hidden="1">{"CHARGE",#N/A,FALSE,"401C11"}</definedName>
    <definedName name="wrn.GROSS." localSheetId="4" hidden="1">{"GROSS",#N/A,FALSE,"401C11"}</definedName>
    <definedName name="wrn.GROSS." hidden="1">{"GROSS",#N/A,FALSE,"401C11"}</definedName>
    <definedName name="wrn.NET." localSheetId="4" hidden="1">{"NET",#N/A,FALSE,"401C11"}</definedName>
    <definedName name="wrn.NET." hidden="1">{"NET",#N/A,FALSE,"401C11"}</definedName>
    <definedName name="wrn.papersdraft" localSheetId="4" hidden="1">{"bal",#N/A,FALSE,"working papers";"income",#N/A,FALSE,"working papers"}</definedName>
    <definedName name="wrn.papersdraft" hidden="1">{"bal",#N/A,FALSE,"working papers";"income",#N/A,FALSE,"working papers"}</definedName>
    <definedName name="wrn.Print._.5._.and._.12." localSheetId="4"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4"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4" hidden="1">{"bal",#N/A,FALSE,"working papers";"income",#N/A,FALSE,"working papers"}</definedName>
    <definedName name="wrn.wpapers." hidden="1">{"bal",#N/A,FALSE,"working papers";"income",#N/A,FALSE,"working papers"}</definedName>
    <definedName name="xxx" localSheetId="4" hidden="1">{"CHARGE",#N/A,FALSE,"401C11"}</definedName>
    <definedName name="xxx" hidden="1">{"CHARGE",#N/A,FALSE,"401C11"}</definedName>
    <definedName name="yhnry" localSheetId="4">#REF!</definedName>
    <definedName name="yhnry">#REF!</definedName>
    <definedName name="yyy" localSheetId="4" hidden="1">{"GROSS",#N/A,FALSE,"401C11"}</definedName>
    <definedName name="yyy" hidden="1">{"GROSS",#N/A,FALSE,"401C11"}</definedName>
    <definedName name="zzz" localSheetId="4" hidden="1">{"NET",#N/A,FALSE,"401C11"}</definedName>
    <definedName name="zzz" hidden="1">{"NET",#N/A,FALSE,"401C11"}</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1" l="1"/>
  <c r="F15" i="11"/>
  <c r="F16" i="11"/>
  <c r="F17" i="11"/>
  <c r="F18" i="11"/>
  <c r="F19" i="11"/>
  <c r="F20" i="11"/>
  <c r="F21" i="11"/>
  <c r="F22" i="11"/>
  <c r="F23" i="11"/>
  <c r="F24" i="11"/>
  <c r="F25" i="11"/>
  <c r="F26" i="11"/>
  <c r="F27" i="11"/>
  <c r="F28" i="11"/>
  <c r="F29" i="11"/>
  <c r="G220" i="1" l="1"/>
  <c r="G221" i="1"/>
  <c r="G218" i="1"/>
  <c r="G222" i="1"/>
  <c r="G219" i="1"/>
  <c r="G152" i="1"/>
  <c r="G153" i="1"/>
  <c r="G154" i="1"/>
  <c r="G150" i="1"/>
  <c r="G151" i="1"/>
  <c r="G96" i="1"/>
  <c r="G97" i="1"/>
  <c r="G98" i="1"/>
  <c r="G95" i="1"/>
  <c r="G94" i="1"/>
  <c r="G48" i="1"/>
  <c r="G49" i="1"/>
  <c r="G45" i="1"/>
  <c r="G47" i="1"/>
  <c r="G46" i="1"/>
  <c r="G167" i="1"/>
  <c r="G168" i="1"/>
  <c r="G165" i="1"/>
  <c r="G164" i="1"/>
  <c r="G166" i="1"/>
  <c r="G63" i="1"/>
  <c r="G60" i="1"/>
  <c r="G59" i="1"/>
  <c r="G61" i="1"/>
  <c r="G62" i="1"/>
  <c r="G205" i="1"/>
  <c r="G204" i="1"/>
  <c r="G206" i="1"/>
  <c r="G207" i="1"/>
  <c r="G208" i="1"/>
  <c r="G137" i="1"/>
  <c r="G136" i="1"/>
  <c r="G138" i="1"/>
  <c r="G139" i="1"/>
  <c r="G140" i="1"/>
  <c r="G81" i="1"/>
  <c r="G80" i="1"/>
  <c r="G82" i="1"/>
  <c r="G83" i="1"/>
  <c r="G84" i="1"/>
  <c r="G32" i="1"/>
  <c r="G31" i="1"/>
  <c r="G35" i="1"/>
  <c r="G33" i="1"/>
  <c r="G34" i="1"/>
  <c r="G235" i="1"/>
  <c r="G234" i="1"/>
  <c r="G236" i="1"/>
  <c r="G233" i="1"/>
  <c r="G232" i="1"/>
  <c r="G111" i="1"/>
  <c r="G112" i="1"/>
  <c r="G109" i="1"/>
  <c r="G108" i="1"/>
  <c r="G110" i="1"/>
  <c r="G194" i="1"/>
  <c r="G191" i="1"/>
  <c r="G190" i="1"/>
  <c r="G192" i="1"/>
  <c r="G193" i="1"/>
  <c r="G126" i="1"/>
  <c r="G123" i="1"/>
  <c r="G122" i="1"/>
  <c r="G124" i="1"/>
  <c r="G125" i="1"/>
  <c r="G244" i="1"/>
  <c r="G241" i="1"/>
  <c r="G240" i="1"/>
  <c r="G243" i="1"/>
  <c r="G242" i="1"/>
  <c r="G249" i="1"/>
  <c r="G248" i="1"/>
  <c r="G250" i="1"/>
  <c r="G251" i="1"/>
  <c r="G252" i="1"/>
  <c r="F13" i="11"/>
  <c r="G21" i="1" l="1"/>
  <c r="G18" i="1"/>
  <c r="G19" i="1"/>
  <c r="G20" i="1"/>
  <c r="G17" i="1"/>
  <c r="A93" i="13"/>
  <c r="A92" i="13"/>
  <c r="A91" i="13"/>
  <c r="A90" i="13"/>
  <c r="A89" i="13"/>
  <c r="AG82" i="13"/>
  <c r="AG81" i="13"/>
  <c r="AC81" i="13"/>
  <c r="F16" i="9" s="1"/>
  <c r="H16" i="9" s="1"/>
  <c r="AB81" i="13"/>
  <c r="F15" i="9" s="1"/>
  <c r="H15" i="9" s="1"/>
  <c r="AA81" i="13"/>
  <c r="F14" i="9" s="1"/>
  <c r="H14" i="9" s="1"/>
  <c r="Z81" i="13"/>
  <c r="F13" i="9" s="1"/>
  <c r="H13" i="9" s="1"/>
  <c r="Y81" i="13"/>
  <c r="F12" i="9" s="1"/>
  <c r="H12" i="9" s="1"/>
  <c r="X81" i="13"/>
  <c r="W81" i="13"/>
  <c r="AG80" i="13"/>
  <c r="W80" i="13"/>
  <c r="AG79" i="13"/>
  <c r="AC79" i="13"/>
  <c r="F91" i="9" s="1"/>
  <c r="H91" i="9" s="1"/>
  <c r="AB79" i="13"/>
  <c r="F90" i="9" s="1"/>
  <c r="H90" i="9" s="1"/>
  <c r="AA79" i="13"/>
  <c r="F89" i="9" s="1"/>
  <c r="H89" i="9" s="1"/>
  <c r="Z79" i="13"/>
  <c r="F88" i="9" s="1"/>
  <c r="H88" i="9" s="1"/>
  <c r="Y79" i="13"/>
  <c r="F87" i="9" s="1"/>
  <c r="H87" i="9" s="1"/>
  <c r="X79" i="13"/>
  <c r="W79" i="13"/>
  <c r="AG78" i="13"/>
  <c r="AC78" i="13"/>
  <c r="F86" i="9" s="1"/>
  <c r="H86" i="9" s="1"/>
  <c r="AB78" i="13"/>
  <c r="F85" i="9" s="1"/>
  <c r="H85" i="9" s="1"/>
  <c r="AA78" i="13"/>
  <c r="F84" i="9" s="1"/>
  <c r="H84" i="9" s="1"/>
  <c r="Z78" i="13"/>
  <c r="F83" i="9" s="1"/>
  <c r="H83" i="9" s="1"/>
  <c r="Y78" i="13"/>
  <c r="F82" i="9" s="1"/>
  <c r="H82" i="9" s="1"/>
  <c r="X78" i="13"/>
  <c r="W78" i="13"/>
  <c r="AG77" i="13"/>
  <c r="AC77" i="13"/>
  <c r="F81" i="9" s="1"/>
  <c r="H81" i="9" s="1"/>
  <c r="AB77" i="13"/>
  <c r="F80" i="9" s="1"/>
  <c r="H80" i="9" s="1"/>
  <c r="AA77" i="13"/>
  <c r="F79" i="9" s="1"/>
  <c r="H79" i="9" s="1"/>
  <c r="Z77" i="13"/>
  <c r="F78" i="9" s="1"/>
  <c r="H78" i="9" s="1"/>
  <c r="Y77" i="13"/>
  <c r="F77" i="9" s="1"/>
  <c r="H77" i="9" s="1"/>
  <c r="X77" i="13"/>
  <c r="W77" i="13"/>
  <c r="AG76" i="13"/>
  <c r="AC76" i="13"/>
  <c r="F76" i="9" s="1"/>
  <c r="H76" i="9" s="1"/>
  <c r="AB76" i="13"/>
  <c r="F75" i="9" s="1"/>
  <c r="H75" i="9" s="1"/>
  <c r="AA76" i="13"/>
  <c r="F74" i="9" s="1"/>
  <c r="H74" i="9" s="1"/>
  <c r="Z76" i="13"/>
  <c r="F73" i="9" s="1"/>
  <c r="H73" i="9" s="1"/>
  <c r="Y76" i="13"/>
  <c r="F72" i="9" s="1"/>
  <c r="H72" i="9" s="1"/>
  <c r="X76" i="13"/>
  <c r="W76" i="13"/>
  <c r="AG75" i="13"/>
  <c r="AC75" i="13"/>
  <c r="AB75" i="13"/>
  <c r="AA75" i="13"/>
  <c r="Z75" i="13"/>
  <c r="Y75" i="13"/>
  <c r="X75" i="13"/>
  <c r="W75" i="13"/>
  <c r="AG74" i="13"/>
  <c r="AC74" i="13"/>
  <c r="F71" i="9" s="1"/>
  <c r="H71" i="9" s="1"/>
  <c r="AB74" i="13"/>
  <c r="F70" i="9" s="1"/>
  <c r="H70" i="9" s="1"/>
  <c r="AA74" i="13"/>
  <c r="F69" i="9" s="1"/>
  <c r="H69" i="9" s="1"/>
  <c r="Z74" i="13"/>
  <c r="F68" i="9" s="1"/>
  <c r="H68" i="9" s="1"/>
  <c r="Y74" i="13"/>
  <c r="F67" i="9" s="1"/>
  <c r="H67" i="9" s="1"/>
  <c r="X74" i="13"/>
  <c r="W74" i="13"/>
  <c r="AG73" i="13"/>
  <c r="AC73" i="13"/>
  <c r="F66" i="9" s="1"/>
  <c r="H66" i="9" s="1"/>
  <c r="AB73" i="13"/>
  <c r="F65" i="9" s="1"/>
  <c r="H65" i="9" s="1"/>
  <c r="AA73" i="13"/>
  <c r="F64" i="9" s="1"/>
  <c r="H64" i="9" s="1"/>
  <c r="Z73" i="13"/>
  <c r="F63" i="9" s="1"/>
  <c r="H63" i="9" s="1"/>
  <c r="Y73" i="13"/>
  <c r="F62" i="9" s="1"/>
  <c r="H62" i="9" s="1"/>
  <c r="X73" i="13"/>
  <c r="W73" i="13"/>
  <c r="AG72" i="13"/>
  <c r="AC72" i="13"/>
  <c r="F61" i="9" s="1"/>
  <c r="H61" i="9" s="1"/>
  <c r="AB72" i="13"/>
  <c r="F60" i="9" s="1"/>
  <c r="H60" i="9" s="1"/>
  <c r="AA72" i="13"/>
  <c r="F59" i="9" s="1"/>
  <c r="H59" i="9" s="1"/>
  <c r="Z72" i="13"/>
  <c r="F58" i="9" s="1"/>
  <c r="H58" i="9" s="1"/>
  <c r="Y72" i="13"/>
  <c r="F57" i="9" s="1"/>
  <c r="H57" i="9" s="1"/>
  <c r="X72" i="13"/>
  <c r="W72" i="13"/>
  <c r="AG71" i="13"/>
  <c r="AC71" i="13"/>
  <c r="F56" i="9" s="1"/>
  <c r="H56" i="9" s="1"/>
  <c r="AB71" i="13"/>
  <c r="F55" i="9" s="1"/>
  <c r="H55" i="9" s="1"/>
  <c r="AA71" i="13"/>
  <c r="F54" i="9" s="1"/>
  <c r="H54" i="9" s="1"/>
  <c r="Z71" i="13"/>
  <c r="F53" i="9" s="1"/>
  <c r="H53" i="9" s="1"/>
  <c r="Y71" i="13"/>
  <c r="F52" i="9" s="1"/>
  <c r="H52" i="9" s="1"/>
  <c r="X71" i="13"/>
  <c r="W71" i="13"/>
  <c r="AG70" i="13"/>
  <c r="AC70" i="13"/>
  <c r="F51" i="9" s="1"/>
  <c r="H51" i="9" s="1"/>
  <c r="AB70" i="13"/>
  <c r="F50" i="9" s="1"/>
  <c r="H50" i="9" s="1"/>
  <c r="AA70" i="13"/>
  <c r="F49" i="9" s="1"/>
  <c r="H49" i="9" s="1"/>
  <c r="Z70" i="13"/>
  <c r="F48" i="9" s="1"/>
  <c r="H48" i="9" s="1"/>
  <c r="Y70" i="13"/>
  <c r="F47" i="9" s="1"/>
  <c r="H47" i="9" s="1"/>
  <c r="X70" i="13"/>
  <c r="W70" i="13"/>
  <c r="AG69" i="13"/>
  <c r="AC69" i="13"/>
  <c r="F46" i="9" s="1"/>
  <c r="H46" i="9" s="1"/>
  <c r="AB69" i="13"/>
  <c r="F45" i="9" s="1"/>
  <c r="H45" i="9" s="1"/>
  <c r="AA69" i="13"/>
  <c r="F44" i="9" s="1"/>
  <c r="H44" i="9" s="1"/>
  <c r="Z69" i="13"/>
  <c r="F43" i="9" s="1"/>
  <c r="H43" i="9" s="1"/>
  <c r="Y69" i="13"/>
  <c r="F42" i="9" s="1"/>
  <c r="H42" i="9" s="1"/>
  <c r="X69" i="13"/>
  <c r="W69" i="13"/>
  <c r="AG68" i="13"/>
  <c r="AC68" i="13"/>
  <c r="F41" i="9" s="1"/>
  <c r="H41" i="9" s="1"/>
  <c r="AB68" i="13"/>
  <c r="F40" i="9" s="1"/>
  <c r="H40" i="9" s="1"/>
  <c r="AA68" i="13"/>
  <c r="F39" i="9" s="1"/>
  <c r="H39" i="9" s="1"/>
  <c r="Z68" i="13"/>
  <c r="F38" i="9" s="1"/>
  <c r="H38" i="9" s="1"/>
  <c r="Y68" i="13"/>
  <c r="F37" i="9" s="1"/>
  <c r="H37" i="9" s="1"/>
  <c r="X68" i="13"/>
  <c r="W68" i="13"/>
  <c r="AG67" i="13"/>
  <c r="AC67" i="13"/>
  <c r="AB67" i="13"/>
  <c r="AA67" i="13"/>
  <c r="Z67" i="13"/>
  <c r="Y67" i="13"/>
  <c r="X67" i="13"/>
  <c r="W67" i="13"/>
  <c r="H82" i="13"/>
  <c r="F82" i="13"/>
  <c r="E82" i="13"/>
  <c r="D82" i="13"/>
  <c r="B82" i="13"/>
  <c r="AG66" i="13"/>
  <c r="AC66" i="13"/>
  <c r="F31" i="9" s="1"/>
  <c r="H31" i="9" s="1"/>
  <c r="AB66" i="13"/>
  <c r="F30" i="9" s="1"/>
  <c r="H30" i="9" s="1"/>
  <c r="AA66" i="13"/>
  <c r="F29" i="9" s="1"/>
  <c r="H29" i="9" s="1"/>
  <c r="Z66" i="13"/>
  <c r="F28" i="9" s="1"/>
  <c r="H28" i="9" s="1"/>
  <c r="Y66" i="13"/>
  <c r="F27" i="9" s="1"/>
  <c r="H27" i="9" s="1"/>
  <c r="X66" i="13"/>
  <c r="W66" i="13"/>
  <c r="AG65" i="13"/>
  <c r="AC65" i="13"/>
  <c r="F26" i="9" s="1"/>
  <c r="H26" i="9" s="1"/>
  <c r="AB65" i="13"/>
  <c r="F25" i="9" s="1"/>
  <c r="H25" i="9" s="1"/>
  <c r="AA65" i="13"/>
  <c r="F24" i="9" s="1"/>
  <c r="H24" i="9" s="1"/>
  <c r="Z65" i="13"/>
  <c r="F23" i="9" s="1"/>
  <c r="H23" i="9" s="1"/>
  <c r="Y65" i="13"/>
  <c r="F22" i="9" s="1"/>
  <c r="H22" i="9" s="1"/>
  <c r="X65" i="13"/>
  <c r="W65" i="13"/>
  <c r="AG64" i="13"/>
  <c r="AC64" i="13"/>
  <c r="F21" i="9" s="1"/>
  <c r="H21" i="9" s="1"/>
  <c r="AB64" i="13"/>
  <c r="F20" i="9" s="1"/>
  <c r="H20" i="9" s="1"/>
  <c r="AA64" i="13"/>
  <c r="F19" i="9" s="1"/>
  <c r="H19" i="9" s="1"/>
  <c r="Z64" i="13"/>
  <c r="F18" i="9" s="1"/>
  <c r="H18" i="9" s="1"/>
  <c r="Y64" i="13"/>
  <c r="F17" i="9" s="1"/>
  <c r="H17" i="9" s="1"/>
  <c r="X64" i="13"/>
  <c r="W64" i="13"/>
  <c r="AG63" i="13"/>
  <c r="AC63" i="13"/>
  <c r="F11" i="9" s="1"/>
  <c r="H11" i="9" s="1"/>
  <c r="Z63" i="13"/>
  <c r="F8" i="9" s="1"/>
  <c r="H8" i="9" s="1"/>
  <c r="Y63" i="13"/>
  <c r="F7" i="9" s="1"/>
  <c r="H7" i="9" s="1"/>
  <c r="W63" i="13"/>
  <c r="T62" i="13"/>
  <c r="U62" i="13" s="1"/>
  <c r="V62" i="13" s="1"/>
  <c r="P62" i="13"/>
  <c r="Q62" i="13" s="1"/>
  <c r="R62" i="13" s="1"/>
  <c r="S62" i="13" s="1"/>
  <c r="AC56" i="13"/>
  <c r="AB56" i="13"/>
  <c r="AA56" i="13"/>
  <c r="Z56" i="13"/>
  <c r="Y56" i="13"/>
  <c r="X56" i="13"/>
  <c r="W56" i="13"/>
  <c r="AG55" i="13"/>
  <c r="AC55" i="13"/>
  <c r="AB55" i="13"/>
  <c r="AA55" i="13"/>
  <c r="Z55" i="13"/>
  <c r="Y55" i="13"/>
  <c r="X55" i="13"/>
  <c r="W55" i="13"/>
  <c r="AG54" i="13"/>
  <c r="AC54" i="13"/>
  <c r="AB54" i="13"/>
  <c r="AA54" i="13"/>
  <c r="Z54" i="13"/>
  <c r="Y54" i="13"/>
  <c r="X54" i="13"/>
  <c r="W54" i="13"/>
  <c r="AG53" i="13"/>
  <c r="AC53" i="13"/>
  <c r="AB53" i="13"/>
  <c r="AA53" i="13"/>
  <c r="Z53" i="13"/>
  <c r="Y53" i="13"/>
  <c r="X53" i="13"/>
  <c r="W53" i="13"/>
  <c r="AG52" i="13"/>
  <c r="AC52" i="13"/>
  <c r="AB52" i="13"/>
  <c r="AA52" i="13"/>
  <c r="Z52" i="13"/>
  <c r="Y52" i="13"/>
  <c r="X52" i="13"/>
  <c r="W52" i="13"/>
  <c r="AG51" i="13"/>
  <c r="AC51" i="13"/>
  <c r="AB51" i="13"/>
  <c r="AA51" i="13"/>
  <c r="Z51" i="13"/>
  <c r="Y51" i="13"/>
  <c r="X51" i="13"/>
  <c r="W51" i="13"/>
  <c r="AG50" i="13"/>
  <c r="AC50" i="13"/>
  <c r="AB50" i="13"/>
  <c r="AA50" i="13"/>
  <c r="Z50" i="13"/>
  <c r="Y50" i="13"/>
  <c r="X50" i="13"/>
  <c r="W50" i="13"/>
  <c r="AG49" i="13"/>
  <c r="AC49" i="13"/>
  <c r="AB49" i="13"/>
  <c r="AA49" i="13"/>
  <c r="Z49" i="13"/>
  <c r="Y49" i="13"/>
  <c r="X49" i="13"/>
  <c r="W49" i="13"/>
  <c r="AG48" i="13"/>
  <c r="AC48" i="13"/>
  <c r="AB48" i="13"/>
  <c r="AA48" i="13"/>
  <c r="Z48" i="13"/>
  <c r="Y48" i="13"/>
  <c r="X48" i="13"/>
  <c r="W48" i="13"/>
  <c r="AG47" i="13"/>
  <c r="AC47" i="13"/>
  <c r="AB47" i="13"/>
  <c r="AA47" i="13"/>
  <c r="Z47" i="13"/>
  <c r="Y47" i="13"/>
  <c r="X47" i="13"/>
  <c r="W47" i="13"/>
  <c r="AG46" i="13"/>
  <c r="AC46" i="13"/>
  <c r="AB46" i="13"/>
  <c r="AA46" i="13"/>
  <c r="Z46" i="13"/>
  <c r="Y46" i="13"/>
  <c r="X46" i="13"/>
  <c r="W46" i="13"/>
  <c r="AG45" i="13"/>
  <c r="AC45" i="13"/>
  <c r="AB45" i="13"/>
  <c r="AA45" i="13"/>
  <c r="Z45" i="13"/>
  <c r="Y45" i="13"/>
  <c r="X45" i="13"/>
  <c r="W45" i="13"/>
  <c r="AG44" i="13"/>
  <c r="AC44" i="13"/>
  <c r="AB44" i="13"/>
  <c r="AA44" i="13"/>
  <c r="Z44" i="13"/>
  <c r="Y44" i="13"/>
  <c r="X44" i="13"/>
  <c r="W44" i="13"/>
  <c r="AG43" i="13"/>
  <c r="AC43" i="13"/>
  <c r="AB43" i="13"/>
  <c r="AA43" i="13"/>
  <c r="Z43" i="13"/>
  <c r="Y43" i="13"/>
  <c r="X43" i="13"/>
  <c r="W43" i="13"/>
  <c r="AG42" i="13"/>
  <c r="AC42" i="13"/>
  <c r="AB42" i="13"/>
  <c r="AA42" i="13"/>
  <c r="Z42" i="13"/>
  <c r="Y42" i="13"/>
  <c r="X42" i="13"/>
  <c r="W42" i="13"/>
  <c r="AG41" i="13"/>
  <c r="AC41" i="13"/>
  <c r="AB41" i="13"/>
  <c r="AA41" i="13"/>
  <c r="Z41" i="13"/>
  <c r="Y41" i="13"/>
  <c r="X41" i="13"/>
  <c r="W41" i="13"/>
  <c r="AG40" i="13"/>
  <c r="AC40" i="13"/>
  <c r="AB40" i="13"/>
  <c r="AA40" i="13"/>
  <c r="Z40" i="13"/>
  <c r="Y40" i="13"/>
  <c r="X40" i="13"/>
  <c r="W40" i="13"/>
  <c r="G55" i="13"/>
  <c r="F55" i="13"/>
  <c r="D55" i="13"/>
  <c r="C55" i="13"/>
  <c r="B55" i="13"/>
  <c r="AG39" i="13"/>
  <c r="AC39" i="13"/>
  <c r="AB39" i="13"/>
  <c r="AA39" i="13"/>
  <c r="Z39" i="13"/>
  <c r="Y39" i="13"/>
  <c r="X39" i="13"/>
  <c r="W39" i="13"/>
  <c r="AG38" i="13"/>
  <c r="AC38" i="13"/>
  <c r="AB38" i="13"/>
  <c r="AA38" i="13"/>
  <c r="Z38" i="13"/>
  <c r="Y38" i="13"/>
  <c r="X38" i="13"/>
  <c r="W38" i="13"/>
  <c r="AG37" i="13"/>
  <c r="AC37" i="13"/>
  <c r="AB37" i="13"/>
  <c r="AA37" i="13"/>
  <c r="Z37" i="13"/>
  <c r="Y37" i="13"/>
  <c r="X37" i="13"/>
  <c r="W37" i="13"/>
  <c r="AG36" i="13"/>
  <c r="AC36" i="13"/>
  <c r="AB36" i="13"/>
  <c r="AA36" i="13"/>
  <c r="Z36" i="13"/>
  <c r="Y36" i="13"/>
  <c r="X36" i="13"/>
  <c r="W36" i="13"/>
  <c r="Q35" i="13"/>
  <c r="P35" i="13"/>
  <c r="AC29" i="13"/>
  <c r="AB29" i="13"/>
  <c r="AA29" i="13"/>
  <c r="Z29" i="13"/>
  <c r="Y29" i="13"/>
  <c r="X29" i="13"/>
  <c r="W29" i="13"/>
  <c r="AG28" i="13"/>
  <c r="AC28" i="13"/>
  <c r="AB28" i="13"/>
  <c r="AA28" i="13"/>
  <c r="Z28" i="13"/>
  <c r="Y28" i="13"/>
  <c r="X28" i="13"/>
  <c r="W28" i="13"/>
  <c r="AG27" i="13"/>
  <c r="AC27" i="13"/>
  <c r="AB27" i="13"/>
  <c r="AA27" i="13"/>
  <c r="Z27" i="13"/>
  <c r="Y27" i="13"/>
  <c r="X27" i="13"/>
  <c r="W27" i="13"/>
  <c r="AG26" i="13"/>
  <c r="AC26" i="13"/>
  <c r="AB26" i="13"/>
  <c r="AA26" i="13"/>
  <c r="Z26" i="13"/>
  <c r="Y26" i="13"/>
  <c r="X26" i="13"/>
  <c r="W26" i="13"/>
  <c r="N28" i="13"/>
  <c r="L28" i="13"/>
  <c r="J28" i="13"/>
  <c r="AG25" i="13"/>
  <c r="AC25" i="13"/>
  <c r="AB25" i="13"/>
  <c r="AA25" i="13"/>
  <c r="Z25" i="13"/>
  <c r="Y25" i="13"/>
  <c r="X25" i="13"/>
  <c r="W25" i="13"/>
  <c r="AG24" i="13"/>
  <c r="AC24" i="13"/>
  <c r="AB24" i="13"/>
  <c r="AA24" i="13"/>
  <c r="Z24" i="13"/>
  <c r="Y24" i="13"/>
  <c r="X24" i="13"/>
  <c r="W24" i="13"/>
  <c r="AG23" i="13"/>
  <c r="AC23" i="13"/>
  <c r="AB23" i="13"/>
  <c r="AA23" i="13"/>
  <c r="Z23" i="13"/>
  <c r="Y23" i="13"/>
  <c r="X23" i="13"/>
  <c r="W23" i="13"/>
  <c r="AG22" i="13"/>
  <c r="AC22" i="13"/>
  <c r="AB22" i="13"/>
  <c r="AA22" i="13"/>
  <c r="Z22" i="13"/>
  <c r="Y22" i="13"/>
  <c r="X22" i="13"/>
  <c r="W22" i="13"/>
  <c r="AG21" i="13"/>
  <c r="AG20" i="13"/>
  <c r="AC20" i="13"/>
  <c r="AB20" i="13"/>
  <c r="AA20" i="13"/>
  <c r="Z20" i="13"/>
  <c r="Y20" i="13"/>
  <c r="X20" i="13"/>
  <c r="W20" i="13"/>
  <c r="AG19" i="13"/>
  <c r="AC19" i="13"/>
  <c r="AB19" i="13"/>
  <c r="AA19" i="13"/>
  <c r="Z19" i="13"/>
  <c r="Y19" i="13"/>
  <c r="X19" i="13"/>
  <c r="W19" i="13"/>
  <c r="AG18" i="13"/>
  <c r="AC18" i="13"/>
  <c r="AB18" i="13"/>
  <c r="AA18" i="13"/>
  <c r="Z18" i="13"/>
  <c r="Y18" i="13"/>
  <c r="X18" i="13"/>
  <c r="W18" i="13"/>
  <c r="AG17" i="13"/>
  <c r="AC17" i="13"/>
  <c r="AB17" i="13"/>
  <c r="AA17" i="13"/>
  <c r="Z17" i="13"/>
  <c r="Y17" i="13"/>
  <c r="X17" i="13"/>
  <c r="W17" i="13"/>
  <c r="AG16" i="13"/>
  <c r="AC16" i="13"/>
  <c r="AB16" i="13"/>
  <c r="AA16" i="13"/>
  <c r="Z16" i="13"/>
  <c r="Y16" i="13"/>
  <c r="X16" i="13"/>
  <c r="W16" i="13"/>
  <c r="AG15" i="13"/>
  <c r="AC15" i="13"/>
  <c r="AB15" i="13"/>
  <c r="AA15" i="13"/>
  <c r="Z15" i="13"/>
  <c r="Y15" i="13"/>
  <c r="X15" i="13"/>
  <c r="W15" i="13"/>
  <c r="AG14" i="13"/>
  <c r="AC14" i="13"/>
  <c r="AB14" i="13"/>
  <c r="AA14" i="13"/>
  <c r="Z14" i="13"/>
  <c r="Y14" i="13"/>
  <c r="X14" i="13"/>
  <c r="W14" i="13"/>
  <c r="AG13" i="13"/>
  <c r="H28" i="13"/>
  <c r="F28" i="13"/>
  <c r="E28" i="13"/>
  <c r="D28" i="13"/>
  <c r="B28" i="13"/>
  <c r="AG12" i="13"/>
  <c r="AC12" i="13"/>
  <c r="AB12" i="13"/>
  <c r="AA12" i="13"/>
  <c r="Z12" i="13"/>
  <c r="Y12" i="13"/>
  <c r="X12" i="13"/>
  <c r="W12" i="13"/>
  <c r="AG11" i="13"/>
  <c r="AC11" i="13"/>
  <c r="AB11" i="13"/>
  <c r="AA11" i="13"/>
  <c r="Z11" i="13"/>
  <c r="Y11" i="13"/>
  <c r="X11" i="13"/>
  <c r="W11" i="13"/>
  <c r="AG10" i="13"/>
  <c r="AC10" i="13"/>
  <c r="AB10" i="13"/>
  <c r="AA10" i="13"/>
  <c r="Z10" i="13"/>
  <c r="Y10" i="13"/>
  <c r="X10" i="13"/>
  <c r="W10" i="13"/>
  <c r="AG9" i="13"/>
  <c r="AC9" i="13"/>
  <c r="AB9" i="13"/>
  <c r="AA9" i="13"/>
  <c r="Z9" i="13"/>
  <c r="Y9" i="13"/>
  <c r="X9" i="13"/>
  <c r="W9" i="13"/>
  <c r="L29" i="13"/>
  <c r="H29" i="13"/>
  <c r="D29" i="13"/>
  <c r="P8" i="13"/>
  <c r="E26" i="3" l="1"/>
  <c r="D26" i="3"/>
  <c r="E42" i="3"/>
  <c r="D42" i="3"/>
  <c r="E54" i="3"/>
  <c r="D54" i="3"/>
  <c r="E68" i="3"/>
  <c r="D68" i="3"/>
  <c r="E83" i="3"/>
  <c r="D83" i="3"/>
  <c r="E12" i="3"/>
  <c r="D12" i="3"/>
  <c r="E17" i="3"/>
  <c r="D17" i="3"/>
  <c r="E21" i="3"/>
  <c r="D21" i="3"/>
  <c r="E23" i="3"/>
  <c r="D23" i="3"/>
  <c r="E29" i="3"/>
  <c r="D29" i="3"/>
  <c r="E37" i="3"/>
  <c r="D37" i="3"/>
  <c r="E41" i="3"/>
  <c r="D41" i="3"/>
  <c r="E43" i="3"/>
  <c r="D43" i="3"/>
  <c r="E49" i="3"/>
  <c r="D49" i="3"/>
  <c r="E55" i="3"/>
  <c r="D55" i="3"/>
  <c r="E57" i="3"/>
  <c r="D57" i="3"/>
  <c r="E61" i="3"/>
  <c r="D61" i="3"/>
  <c r="E63" i="3"/>
  <c r="D63" i="3"/>
  <c r="E69" i="3"/>
  <c r="D69" i="3"/>
  <c r="E72" i="3"/>
  <c r="D72" i="3"/>
  <c r="E76" i="3"/>
  <c r="D76" i="3"/>
  <c r="E78" i="3"/>
  <c r="D78" i="3"/>
  <c r="E84" i="3"/>
  <c r="D84" i="3"/>
  <c r="E90" i="3"/>
  <c r="D90" i="3"/>
  <c r="K82" i="13"/>
  <c r="Y82" i="13" s="1"/>
  <c r="O82" i="13"/>
  <c r="AC82" i="13" s="1"/>
  <c r="E13" i="3"/>
  <c r="D13" i="3"/>
  <c r="E48" i="3"/>
  <c r="D48" i="3"/>
  <c r="E60" i="3"/>
  <c r="D60" i="3"/>
  <c r="E62" i="3"/>
  <c r="D62" i="3"/>
  <c r="E75" i="3"/>
  <c r="D75" i="3"/>
  <c r="E77" i="3"/>
  <c r="D77" i="3"/>
  <c r="E16" i="3"/>
  <c r="D16" i="3"/>
  <c r="P22" i="13"/>
  <c r="E7" i="3"/>
  <c r="D7" i="3"/>
  <c r="E11" i="3"/>
  <c r="D11" i="3"/>
  <c r="E18" i="3"/>
  <c r="D18" i="3"/>
  <c r="E24" i="3"/>
  <c r="D24" i="3"/>
  <c r="E30" i="3"/>
  <c r="D30" i="3"/>
  <c r="E38" i="3"/>
  <c r="D38" i="3"/>
  <c r="E44" i="3"/>
  <c r="D44" i="3"/>
  <c r="E50" i="3"/>
  <c r="D50" i="3"/>
  <c r="E52" i="3"/>
  <c r="D52" i="3"/>
  <c r="E56" i="3"/>
  <c r="D56" i="3"/>
  <c r="E58" i="3"/>
  <c r="D58" i="3"/>
  <c r="E64" i="3"/>
  <c r="D64" i="3"/>
  <c r="E70" i="3"/>
  <c r="D70" i="3"/>
  <c r="E73" i="3"/>
  <c r="D73" i="3"/>
  <c r="E79" i="3"/>
  <c r="D79" i="3"/>
  <c r="E85" i="3"/>
  <c r="D85" i="3"/>
  <c r="E87" i="3"/>
  <c r="D87" i="3"/>
  <c r="E91" i="3"/>
  <c r="D91" i="3"/>
  <c r="E14" i="3"/>
  <c r="D14" i="3"/>
  <c r="E20" i="3"/>
  <c r="D20" i="3"/>
  <c r="E22" i="3"/>
  <c r="D22" i="3"/>
  <c r="E28" i="3"/>
  <c r="D28" i="3"/>
  <c r="E40" i="3"/>
  <c r="D40" i="3"/>
  <c r="E46" i="3"/>
  <c r="D46" i="3"/>
  <c r="E66" i="3"/>
  <c r="D66" i="3"/>
  <c r="E81" i="3"/>
  <c r="D81" i="3"/>
  <c r="E89" i="3"/>
  <c r="D89" i="3"/>
  <c r="E8" i="3"/>
  <c r="D8" i="3"/>
  <c r="E19" i="3"/>
  <c r="D19" i="3"/>
  <c r="E25" i="3"/>
  <c r="D25" i="3"/>
  <c r="E27" i="3"/>
  <c r="D27" i="3"/>
  <c r="E31" i="3"/>
  <c r="D31" i="3"/>
  <c r="E39" i="3"/>
  <c r="D39" i="3"/>
  <c r="E45" i="3"/>
  <c r="D45" i="3"/>
  <c r="E47" i="3"/>
  <c r="D47" i="3"/>
  <c r="E51" i="3"/>
  <c r="D51" i="3"/>
  <c r="E53" i="3"/>
  <c r="D53" i="3"/>
  <c r="E59" i="3"/>
  <c r="D59" i="3"/>
  <c r="E65" i="3"/>
  <c r="D65" i="3"/>
  <c r="E67" i="3"/>
  <c r="D67" i="3"/>
  <c r="E71" i="3"/>
  <c r="D71" i="3"/>
  <c r="E74" i="3"/>
  <c r="D74" i="3"/>
  <c r="E80" i="3"/>
  <c r="D80" i="3"/>
  <c r="E82" i="3"/>
  <c r="D82" i="3"/>
  <c r="E86" i="3"/>
  <c r="D86" i="3"/>
  <c r="E88" i="3"/>
  <c r="D88" i="3"/>
  <c r="E15" i="3"/>
  <c r="D15" i="3"/>
  <c r="S77" i="13"/>
  <c r="R78" i="13"/>
  <c r="P37" i="13"/>
  <c r="Q47" i="13"/>
  <c r="C83" i="13"/>
  <c r="I55" i="13"/>
  <c r="M55" i="13"/>
  <c r="T69" i="13"/>
  <c r="R71" i="13"/>
  <c r="V70" i="13"/>
  <c r="Q79" i="13"/>
  <c r="J82" i="13"/>
  <c r="X82" i="13" s="1"/>
  <c r="N82" i="13"/>
  <c r="AB82" i="13" s="1"/>
  <c r="I28" i="13"/>
  <c r="M28" i="13"/>
  <c r="Q50" i="13"/>
  <c r="J55" i="13"/>
  <c r="N55" i="13"/>
  <c r="W83" i="13"/>
  <c r="R64" i="13"/>
  <c r="Q68" i="13"/>
  <c r="B83" i="13"/>
  <c r="F83" i="13"/>
  <c r="J83" i="13"/>
  <c r="N83" i="13"/>
  <c r="S74" i="13"/>
  <c r="Q8" i="13"/>
  <c r="Q12" i="13" s="1"/>
  <c r="P23" i="13"/>
  <c r="P50" i="13"/>
  <c r="Q43" i="13"/>
  <c r="G83" i="13"/>
  <c r="P66" i="13"/>
  <c r="C82" i="13"/>
  <c r="G82" i="13"/>
  <c r="Q49" i="13"/>
  <c r="P44" i="13"/>
  <c r="K55" i="13"/>
  <c r="O55" i="13"/>
  <c r="S70" i="13"/>
  <c r="T65" i="13"/>
  <c r="T72" i="13"/>
  <c r="P76" i="13"/>
  <c r="N56" i="13"/>
  <c r="P16" i="13"/>
  <c r="P20" i="13"/>
  <c r="R35" i="13"/>
  <c r="R49" i="13" s="1"/>
  <c r="I56" i="13"/>
  <c r="M56" i="13"/>
  <c r="E55" i="13"/>
  <c r="P51" i="13"/>
  <c r="V78" i="13"/>
  <c r="E83" i="13"/>
  <c r="I83" i="13"/>
  <c r="M83" i="13"/>
  <c r="AA63" i="13"/>
  <c r="F9" i="9" s="1"/>
  <c r="H9" i="9" s="1"/>
  <c r="I82" i="13"/>
  <c r="W82" i="13" s="1"/>
  <c r="M82" i="13"/>
  <c r="AA82" i="13" s="1"/>
  <c r="AA80" i="13"/>
  <c r="F34" i="9" s="1"/>
  <c r="H34" i="9" s="1"/>
  <c r="P46" i="13"/>
  <c r="R46" i="13"/>
  <c r="E56" i="13"/>
  <c r="Q36" i="13"/>
  <c r="P14" i="13"/>
  <c r="P25" i="13"/>
  <c r="P39" i="13"/>
  <c r="C29" i="13"/>
  <c r="G29" i="13"/>
  <c r="K29" i="13"/>
  <c r="O29" i="13"/>
  <c r="Q25" i="13"/>
  <c r="Q18" i="13"/>
  <c r="Q14" i="13"/>
  <c r="Q11" i="13"/>
  <c r="Q23" i="13"/>
  <c r="Q20" i="13"/>
  <c r="Q16" i="13"/>
  <c r="Q9" i="13"/>
  <c r="R8" i="13"/>
  <c r="R23" i="13" s="1"/>
  <c r="P9" i="13"/>
  <c r="Q19" i="13"/>
  <c r="K28" i="13"/>
  <c r="O28" i="13"/>
  <c r="P36" i="13"/>
  <c r="F56" i="13"/>
  <c r="J56" i="13"/>
  <c r="P42" i="13"/>
  <c r="AA83" i="13"/>
  <c r="Z80" i="13"/>
  <c r="F33" i="9" s="1"/>
  <c r="H33" i="9" s="1"/>
  <c r="L82" i="13"/>
  <c r="Z82" i="13" s="1"/>
  <c r="E29" i="13"/>
  <c r="I29" i="13"/>
  <c r="M29" i="13"/>
  <c r="P11" i="13"/>
  <c r="Q15" i="13"/>
  <c r="R39" i="13"/>
  <c r="P49" i="13"/>
  <c r="B29" i="13"/>
  <c r="F29" i="13"/>
  <c r="J29" i="13"/>
  <c r="N29" i="13"/>
  <c r="C28" i="13"/>
  <c r="G28" i="13"/>
  <c r="P18" i="13"/>
  <c r="Q22" i="13"/>
  <c r="R52" i="13"/>
  <c r="R45" i="13"/>
  <c r="R41" i="13"/>
  <c r="R38" i="13"/>
  <c r="R50" i="13"/>
  <c r="R47" i="13"/>
  <c r="R43" i="13"/>
  <c r="R36" i="13"/>
  <c r="S35" i="13"/>
  <c r="S47" i="13" s="1"/>
  <c r="R42" i="13"/>
  <c r="P10" i="13"/>
  <c r="P17" i="13"/>
  <c r="P24" i="13"/>
  <c r="Q37" i="13"/>
  <c r="P38" i="13"/>
  <c r="P41" i="13"/>
  <c r="Q44" i="13"/>
  <c r="P45" i="13"/>
  <c r="Q51" i="13"/>
  <c r="P52" i="13"/>
  <c r="B56" i="13"/>
  <c r="V64" i="13"/>
  <c r="U68" i="13"/>
  <c r="S69" i="13"/>
  <c r="V71" i="13"/>
  <c r="P73" i="13"/>
  <c r="T76" i="13"/>
  <c r="U79" i="13"/>
  <c r="R9" i="13"/>
  <c r="Q10" i="13"/>
  <c r="Q17" i="13"/>
  <c r="R20" i="13"/>
  <c r="Q24" i="13"/>
  <c r="C56" i="13"/>
  <c r="G56" i="13"/>
  <c r="K56" i="13"/>
  <c r="O56" i="13"/>
  <c r="R37" i="13"/>
  <c r="Q38" i="13"/>
  <c r="Q41" i="13"/>
  <c r="R44" i="13"/>
  <c r="Q45" i="13"/>
  <c r="R51" i="13"/>
  <c r="Q52" i="13"/>
  <c r="L55" i="13"/>
  <c r="D83" i="13"/>
  <c r="H83" i="13"/>
  <c r="Z83" i="13"/>
  <c r="S63" i="13"/>
  <c r="U64" i="13"/>
  <c r="Q64" i="13"/>
  <c r="T64" i="13"/>
  <c r="P64" i="13"/>
  <c r="S64" i="13"/>
  <c r="Q65" i="13"/>
  <c r="T66" i="13"/>
  <c r="V82" i="13"/>
  <c r="T68" i="13"/>
  <c r="U71" i="13"/>
  <c r="Q71" i="13"/>
  <c r="T71" i="13"/>
  <c r="P71" i="13"/>
  <c r="S71" i="13"/>
  <c r="Q72" i="13"/>
  <c r="T73" i="13"/>
  <c r="V74" i="13"/>
  <c r="S76" i="13"/>
  <c r="V77" i="13"/>
  <c r="U78" i="13"/>
  <c r="Q78" i="13"/>
  <c r="T78" i="13"/>
  <c r="P78" i="13"/>
  <c r="S78" i="13"/>
  <c r="T79" i="13"/>
  <c r="K83" i="13"/>
  <c r="P12" i="13"/>
  <c r="P15" i="13"/>
  <c r="P19" i="13"/>
  <c r="D56" i="13"/>
  <c r="H56" i="13"/>
  <c r="L56" i="13"/>
  <c r="Q39" i="13"/>
  <c r="H55" i="13"/>
  <c r="Q42" i="13"/>
  <c r="P43" i="13"/>
  <c r="Q46" i="13"/>
  <c r="P47" i="13"/>
  <c r="U65" i="13"/>
  <c r="S66" i="13"/>
  <c r="P69" i="13"/>
  <c r="U72" i="13"/>
  <c r="S73" i="13"/>
  <c r="O83" i="13"/>
  <c r="P63" i="13"/>
  <c r="T63" i="13"/>
  <c r="X63" i="13"/>
  <c r="AB63" i="13"/>
  <c r="F10" i="9" s="1"/>
  <c r="H10" i="9" s="1"/>
  <c r="R65" i="13"/>
  <c r="V65" i="13"/>
  <c r="Q66" i="13"/>
  <c r="U66" i="13"/>
  <c r="R68" i="13"/>
  <c r="V68" i="13"/>
  <c r="Q69" i="13"/>
  <c r="U69" i="13"/>
  <c r="P70" i="13"/>
  <c r="T70" i="13"/>
  <c r="R72" i="13"/>
  <c r="V72" i="13"/>
  <c r="Q73" i="13"/>
  <c r="U73" i="13"/>
  <c r="P74" i="13"/>
  <c r="T74" i="13"/>
  <c r="Q76" i="13"/>
  <c r="U76" i="13"/>
  <c r="P77" i="13"/>
  <c r="T77" i="13"/>
  <c r="R79" i="13"/>
  <c r="V79" i="13"/>
  <c r="X80" i="13"/>
  <c r="AB80" i="13"/>
  <c r="F35" i="9" s="1"/>
  <c r="H35" i="9" s="1"/>
  <c r="L83" i="13"/>
  <c r="Q63" i="13"/>
  <c r="U63" i="13"/>
  <c r="S65" i="13"/>
  <c r="R66" i="13"/>
  <c r="V66" i="13"/>
  <c r="S68" i="13"/>
  <c r="R69" i="13"/>
  <c r="V69" i="13"/>
  <c r="Q70" i="13"/>
  <c r="U70" i="13"/>
  <c r="S72" i="13"/>
  <c r="R73" i="13"/>
  <c r="V73" i="13"/>
  <c r="Q74" i="13"/>
  <c r="U74" i="13"/>
  <c r="R76" i="13"/>
  <c r="V76" i="13"/>
  <c r="Q77" i="13"/>
  <c r="U77" i="13"/>
  <c r="S79" i="13"/>
  <c r="Y80" i="13"/>
  <c r="AC80" i="13"/>
  <c r="R63" i="13"/>
  <c r="V63" i="13"/>
  <c r="P65" i="13"/>
  <c r="P68" i="13"/>
  <c r="R70" i="13"/>
  <c r="P72" i="13"/>
  <c r="R74" i="13"/>
  <c r="R77" i="13"/>
  <c r="P79" i="13"/>
  <c r="E33" i="3" l="1"/>
  <c r="D33" i="3"/>
  <c r="F15" i="3"/>
  <c r="G15" i="3" s="1"/>
  <c r="E35" i="3"/>
  <c r="D35" i="3"/>
  <c r="AC83" i="13"/>
  <c r="F36" i="9"/>
  <c r="H36" i="9" s="1"/>
  <c r="Y83" i="13"/>
  <c r="F32" i="9"/>
  <c r="H32" i="9" s="1"/>
  <c r="E9" i="3"/>
  <c r="D9" i="3"/>
  <c r="E10" i="3"/>
  <c r="D10" i="3"/>
  <c r="E34" i="3"/>
  <c r="D34" i="3"/>
  <c r="Q28" i="13"/>
  <c r="R82" i="13"/>
  <c r="P82" i="13"/>
  <c r="Q82" i="13"/>
  <c r="S82" i="13"/>
  <c r="S36" i="13"/>
  <c r="R28" i="13"/>
  <c r="T82" i="13"/>
  <c r="S50" i="13"/>
  <c r="U82" i="13"/>
  <c r="R16" i="13"/>
  <c r="R55" i="13"/>
  <c r="R83" i="13"/>
  <c r="AB83" i="13"/>
  <c r="R56" i="13"/>
  <c r="U83" i="13"/>
  <c r="X83" i="13"/>
  <c r="S83" i="13"/>
  <c r="Q55" i="13"/>
  <c r="P29" i="13"/>
  <c r="Q56" i="13"/>
  <c r="Q83" i="13"/>
  <c r="T83" i="13"/>
  <c r="P28" i="13"/>
  <c r="P56" i="13"/>
  <c r="R24" i="13"/>
  <c r="R17" i="13"/>
  <c r="R10" i="13"/>
  <c r="S8" i="13"/>
  <c r="R22" i="13"/>
  <c r="R19" i="13"/>
  <c r="R15" i="13"/>
  <c r="R12" i="13"/>
  <c r="R25" i="13"/>
  <c r="R14" i="13"/>
  <c r="R18" i="13"/>
  <c r="R11" i="13"/>
  <c r="V83" i="13"/>
  <c r="P83" i="13"/>
  <c r="S51" i="13"/>
  <c r="S44" i="13"/>
  <c r="S37" i="13"/>
  <c r="T35" i="13"/>
  <c r="S49" i="13"/>
  <c r="S46" i="13"/>
  <c r="S42" i="13"/>
  <c r="S39" i="13"/>
  <c r="S55" i="13"/>
  <c r="S45" i="13"/>
  <c r="S38" i="13"/>
  <c r="S52" i="13"/>
  <c r="S41" i="13"/>
  <c r="P55" i="13"/>
  <c r="S43" i="13"/>
  <c r="Q29" i="13"/>
  <c r="E36" i="3" l="1"/>
  <c r="D36" i="3"/>
  <c r="E32" i="3"/>
  <c r="D32" i="3"/>
  <c r="R29" i="13"/>
  <c r="S56" i="13"/>
  <c r="T50" i="13"/>
  <c r="T47" i="13"/>
  <c r="T43" i="13"/>
  <c r="T36" i="13"/>
  <c r="U35" i="13"/>
  <c r="T52" i="13"/>
  <c r="T45" i="13"/>
  <c r="T41" i="13"/>
  <c r="T38" i="13"/>
  <c r="T51" i="13"/>
  <c r="T37" i="13"/>
  <c r="T44" i="13"/>
  <c r="T49" i="13"/>
  <c r="T46" i="13"/>
  <c r="T39" i="13"/>
  <c r="T42" i="13"/>
  <c r="T55" i="13"/>
  <c r="S23" i="13"/>
  <c r="S20" i="13"/>
  <c r="S16" i="13"/>
  <c r="S9" i="13"/>
  <c r="T8" i="13"/>
  <c r="S25" i="13"/>
  <c r="S18" i="13"/>
  <c r="S14" i="13"/>
  <c r="S11" i="13"/>
  <c r="S24" i="13"/>
  <c r="S17" i="13"/>
  <c r="S10" i="13"/>
  <c r="S22" i="13"/>
  <c r="S19" i="13"/>
  <c r="S15" i="13"/>
  <c r="S28" i="13"/>
  <c r="S12" i="13"/>
  <c r="S29" i="13" l="1"/>
  <c r="U49" i="13"/>
  <c r="U46" i="13"/>
  <c r="U42" i="13"/>
  <c r="U39" i="13"/>
  <c r="U51" i="13"/>
  <c r="U44" i="13"/>
  <c r="U37" i="13"/>
  <c r="U47" i="13"/>
  <c r="U50" i="13"/>
  <c r="U43" i="13"/>
  <c r="V35" i="13"/>
  <c r="U36" i="13"/>
  <c r="U52" i="13"/>
  <c r="U38" i="13"/>
  <c r="U55" i="13"/>
  <c r="U45" i="13"/>
  <c r="U41" i="13"/>
  <c r="T56" i="13"/>
  <c r="T22" i="13"/>
  <c r="T19" i="13"/>
  <c r="T15" i="13"/>
  <c r="T12" i="13"/>
  <c r="T24" i="13"/>
  <c r="T17" i="13"/>
  <c r="T10" i="13"/>
  <c r="T16" i="13"/>
  <c r="T20" i="13"/>
  <c r="T9" i="13"/>
  <c r="U8" i="13"/>
  <c r="T23" i="13"/>
  <c r="T14" i="13"/>
  <c r="T28" i="13"/>
  <c r="T11" i="13"/>
  <c r="T18" i="13"/>
  <c r="T25" i="13"/>
  <c r="E30" i="11"/>
  <c r="D30" i="11"/>
  <c r="K5" i="10"/>
  <c r="J5" i="10"/>
  <c r="G23" i="10"/>
  <c r="G24" i="10"/>
  <c r="E21" i="10"/>
  <c r="H21" i="10" s="1"/>
  <c r="E22" i="10"/>
  <c r="H22" i="10" s="1"/>
  <c r="E25" i="10"/>
  <c r="H25" i="10" s="1"/>
  <c r="E26" i="10"/>
  <c r="H26" i="10" s="1"/>
  <c r="T29" i="13" l="1"/>
  <c r="U56" i="13"/>
  <c r="V52" i="13"/>
  <c r="V45" i="13"/>
  <c r="V41" i="13"/>
  <c r="V38" i="13"/>
  <c r="V50" i="13"/>
  <c r="V47" i="13"/>
  <c r="V43" i="13"/>
  <c r="V36" i="13"/>
  <c r="V46" i="13"/>
  <c r="V39" i="13"/>
  <c r="V49" i="13"/>
  <c r="V42" i="13"/>
  <c r="V37" i="13"/>
  <c r="V44" i="13"/>
  <c r="V55" i="13"/>
  <c r="V51" i="13"/>
  <c r="U25" i="13"/>
  <c r="U18" i="13"/>
  <c r="U14" i="13"/>
  <c r="U11" i="13"/>
  <c r="U23" i="13"/>
  <c r="U20" i="13"/>
  <c r="U16" i="13"/>
  <c r="U9" i="13"/>
  <c r="V8" i="13"/>
  <c r="U15" i="13"/>
  <c r="U19" i="13"/>
  <c r="U12" i="13"/>
  <c r="U28" i="13"/>
  <c r="U22" i="13"/>
  <c r="U17" i="13"/>
  <c r="U24" i="13"/>
  <c r="U10" i="13"/>
  <c r="D5" i="3"/>
  <c r="E5" i="3"/>
  <c r="U29" i="13" l="1"/>
  <c r="V24" i="13"/>
  <c r="V17" i="13"/>
  <c r="V10" i="13"/>
  <c r="V22" i="13"/>
  <c r="V19" i="13"/>
  <c r="V15" i="13"/>
  <c r="V12" i="13"/>
  <c r="V25" i="13"/>
  <c r="V14" i="13"/>
  <c r="V18" i="13"/>
  <c r="V11" i="13"/>
  <c r="V23" i="13"/>
  <c r="V20" i="13"/>
  <c r="V16" i="13"/>
  <c r="V28" i="13"/>
  <c r="V9" i="13"/>
  <c r="V56" i="13"/>
  <c r="A8" i="3"/>
  <c r="B8" i="3"/>
  <c r="C8" i="3"/>
  <c r="A9" i="3"/>
  <c r="B9" i="3"/>
  <c r="C9" i="3"/>
  <c r="A10" i="3"/>
  <c r="B10" i="3"/>
  <c r="C10" i="3"/>
  <c r="A11" i="3"/>
  <c r="B11" i="3"/>
  <c r="C11" i="3"/>
  <c r="A12" i="3"/>
  <c r="B12" i="3"/>
  <c r="C12" i="3"/>
  <c r="A13" i="3"/>
  <c r="B13" i="3"/>
  <c r="C13" i="3"/>
  <c r="A14" i="3"/>
  <c r="B14" i="3"/>
  <c r="C14"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 r="A37" i="3"/>
  <c r="B37" i="3"/>
  <c r="C37" i="3"/>
  <c r="A38" i="3"/>
  <c r="B38" i="3"/>
  <c r="C38" i="3"/>
  <c r="A39" i="3"/>
  <c r="B39" i="3"/>
  <c r="C39" i="3"/>
  <c r="A40" i="3"/>
  <c r="B40" i="3"/>
  <c r="C40" i="3"/>
  <c r="A41" i="3"/>
  <c r="B41" i="3"/>
  <c r="C41" i="3"/>
  <c r="A42" i="3"/>
  <c r="B42" i="3"/>
  <c r="C42" i="3"/>
  <c r="A43" i="3"/>
  <c r="B43" i="3"/>
  <c r="C43" i="3"/>
  <c r="A44" i="3"/>
  <c r="B44" i="3"/>
  <c r="C44" i="3"/>
  <c r="A45" i="3"/>
  <c r="B45" i="3"/>
  <c r="C45" i="3"/>
  <c r="A46" i="3"/>
  <c r="B46" i="3"/>
  <c r="C46" i="3"/>
  <c r="A47" i="3"/>
  <c r="B47" i="3"/>
  <c r="C47" i="3"/>
  <c r="A48" i="3"/>
  <c r="B48" i="3"/>
  <c r="C48" i="3"/>
  <c r="A49" i="3"/>
  <c r="B49" i="3"/>
  <c r="C49" i="3"/>
  <c r="A50" i="3"/>
  <c r="B50" i="3"/>
  <c r="C50" i="3"/>
  <c r="A51" i="3"/>
  <c r="B51" i="3"/>
  <c r="C51" i="3"/>
  <c r="A52" i="3"/>
  <c r="B52" i="3"/>
  <c r="C52" i="3"/>
  <c r="A53" i="3"/>
  <c r="B53" i="3"/>
  <c r="C53" i="3"/>
  <c r="A54" i="3"/>
  <c r="B54" i="3"/>
  <c r="C54" i="3"/>
  <c r="A55" i="3"/>
  <c r="B55" i="3"/>
  <c r="C55" i="3"/>
  <c r="A56" i="3"/>
  <c r="B56" i="3"/>
  <c r="C56" i="3"/>
  <c r="A57" i="3"/>
  <c r="B57" i="3"/>
  <c r="C57" i="3"/>
  <c r="A58" i="3"/>
  <c r="B58" i="3"/>
  <c r="C58" i="3"/>
  <c r="A59" i="3"/>
  <c r="B59" i="3"/>
  <c r="C59" i="3"/>
  <c r="A60" i="3"/>
  <c r="B60" i="3"/>
  <c r="C60" i="3"/>
  <c r="A61" i="3"/>
  <c r="B61" i="3"/>
  <c r="C61" i="3"/>
  <c r="A62" i="3"/>
  <c r="B62" i="3"/>
  <c r="C62" i="3"/>
  <c r="A63" i="3"/>
  <c r="B63" i="3"/>
  <c r="C63" i="3"/>
  <c r="A64" i="3"/>
  <c r="B64" i="3"/>
  <c r="C64" i="3"/>
  <c r="A65" i="3"/>
  <c r="B65" i="3"/>
  <c r="C65" i="3"/>
  <c r="A66" i="3"/>
  <c r="B66" i="3"/>
  <c r="C66" i="3"/>
  <c r="A67" i="3"/>
  <c r="B67" i="3"/>
  <c r="C67" i="3"/>
  <c r="A68" i="3"/>
  <c r="B68" i="3"/>
  <c r="C68" i="3"/>
  <c r="A69" i="3"/>
  <c r="B69" i="3"/>
  <c r="C69" i="3"/>
  <c r="A70" i="3"/>
  <c r="B70" i="3"/>
  <c r="C70" i="3"/>
  <c r="A71" i="3"/>
  <c r="B71" i="3"/>
  <c r="C71" i="3"/>
  <c r="A72" i="3"/>
  <c r="B72" i="3"/>
  <c r="C72" i="3"/>
  <c r="A73" i="3"/>
  <c r="B73" i="3"/>
  <c r="C73" i="3"/>
  <c r="A74" i="3"/>
  <c r="B74" i="3"/>
  <c r="C74" i="3"/>
  <c r="A75" i="3"/>
  <c r="B75" i="3"/>
  <c r="C75" i="3"/>
  <c r="A76" i="3"/>
  <c r="B76" i="3"/>
  <c r="C76" i="3"/>
  <c r="A77" i="3"/>
  <c r="B77" i="3"/>
  <c r="C77" i="3"/>
  <c r="A78" i="3"/>
  <c r="B78" i="3"/>
  <c r="C78" i="3"/>
  <c r="A79" i="3"/>
  <c r="B79" i="3"/>
  <c r="C79" i="3"/>
  <c r="A80" i="3"/>
  <c r="B80" i="3"/>
  <c r="C80" i="3"/>
  <c r="A81" i="3"/>
  <c r="B81" i="3"/>
  <c r="C81" i="3"/>
  <c r="A82" i="3"/>
  <c r="B82" i="3"/>
  <c r="C82" i="3"/>
  <c r="A83" i="3"/>
  <c r="B83" i="3"/>
  <c r="C83" i="3"/>
  <c r="A84" i="3"/>
  <c r="B84" i="3"/>
  <c r="C84" i="3"/>
  <c r="A85" i="3"/>
  <c r="B85" i="3"/>
  <c r="C85" i="3"/>
  <c r="A86" i="3"/>
  <c r="B86" i="3"/>
  <c r="C86" i="3"/>
  <c r="A87" i="3"/>
  <c r="B87" i="3"/>
  <c r="C87" i="3"/>
  <c r="A88" i="3"/>
  <c r="B88" i="3"/>
  <c r="C88" i="3"/>
  <c r="A89" i="3"/>
  <c r="B89" i="3"/>
  <c r="C89" i="3"/>
  <c r="A90" i="3"/>
  <c r="B90" i="3"/>
  <c r="C90" i="3"/>
  <c r="A91" i="3"/>
  <c r="B91" i="3"/>
  <c r="C91" i="3"/>
  <c r="B7" i="3"/>
  <c r="C7" i="3"/>
  <c r="A7" i="3"/>
  <c r="V29" i="13" l="1"/>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7" i="9"/>
  <c r="A9" i="1" l="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8" i="1"/>
  <c r="L10" i="1" l="1"/>
  <c r="L11" i="1"/>
  <c r="L12" i="1"/>
  <c r="L13" i="1"/>
  <c r="L14" i="1"/>
  <c r="L15" i="1"/>
  <c r="L16" i="1"/>
  <c r="L17" i="1"/>
  <c r="L18" i="1"/>
  <c r="E8" i="9" s="1"/>
  <c r="G8" i="9" s="1"/>
  <c r="L19" i="1"/>
  <c r="E9" i="9" s="1"/>
  <c r="G9" i="9" s="1"/>
  <c r="L20" i="1"/>
  <c r="E10" i="9" s="1"/>
  <c r="G10" i="9" s="1"/>
  <c r="L21" i="1"/>
  <c r="E11" i="9" s="1"/>
  <c r="G11" i="9" s="1"/>
  <c r="L22" i="1"/>
  <c r="L23" i="1"/>
  <c r="L24" i="1"/>
  <c r="L25" i="1"/>
  <c r="L26" i="1"/>
  <c r="L27" i="1"/>
  <c r="L28" i="1"/>
  <c r="L29" i="1"/>
  <c r="L30" i="1"/>
  <c r="L31" i="1"/>
  <c r="L32" i="1"/>
  <c r="E18" i="9" s="1"/>
  <c r="G18" i="9" s="1"/>
  <c r="L33" i="1"/>
  <c r="E19" i="9" s="1"/>
  <c r="G19" i="9" s="1"/>
  <c r="L34" i="1"/>
  <c r="E20" i="9" s="1"/>
  <c r="G20" i="9" s="1"/>
  <c r="L35" i="1"/>
  <c r="E21" i="9" s="1"/>
  <c r="G21" i="9" s="1"/>
  <c r="L36" i="1"/>
  <c r="L37" i="1"/>
  <c r="L38" i="1"/>
  <c r="L39" i="1"/>
  <c r="L40" i="1"/>
  <c r="L41" i="1"/>
  <c r="L42" i="1"/>
  <c r="L43" i="1"/>
  <c r="L44" i="1"/>
  <c r="L45" i="1"/>
  <c r="L46" i="1"/>
  <c r="E23" i="9" s="1"/>
  <c r="G23" i="9" s="1"/>
  <c r="L47" i="1"/>
  <c r="E24" i="9" s="1"/>
  <c r="G24" i="9" s="1"/>
  <c r="L48" i="1"/>
  <c r="E25" i="9" s="1"/>
  <c r="G25" i="9" s="1"/>
  <c r="L49" i="1"/>
  <c r="E26" i="9" s="1"/>
  <c r="G26" i="9" s="1"/>
  <c r="L50" i="1"/>
  <c r="L51" i="1"/>
  <c r="L52" i="1"/>
  <c r="L53" i="1"/>
  <c r="L54" i="1"/>
  <c r="L55" i="1"/>
  <c r="L56" i="1"/>
  <c r="L57" i="1"/>
  <c r="L58" i="1"/>
  <c r="L59" i="1"/>
  <c r="L60" i="1"/>
  <c r="E28" i="9" s="1"/>
  <c r="G28" i="9" s="1"/>
  <c r="L61" i="1"/>
  <c r="E29" i="9" s="1"/>
  <c r="G29" i="9" s="1"/>
  <c r="L62" i="1"/>
  <c r="E30" i="9" s="1"/>
  <c r="G30" i="9" s="1"/>
  <c r="L63" i="1"/>
  <c r="E31" i="9" s="1"/>
  <c r="G31" i="9" s="1"/>
  <c r="L64" i="1"/>
  <c r="L65" i="1"/>
  <c r="L66" i="1"/>
  <c r="L67" i="1"/>
  <c r="L68" i="1"/>
  <c r="L69" i="1"/>
  <c r="L70" i="1"/>
  <c r="L71" i="1"/>
  <c r="L72" i="1"/>
  <c r="L73" i="1"/>
  <c r="L74" i="1"/>
  <c r="L75" i="1"/>
  <c r="L76" i="1"/>
  <c r="L77" i="1"/>
  <c r="L78" i="1"/>
  <c r="L79" i="1"/>
  <c r="L80" i="1"/>
  <c r="L81" i="1"/>
  <c r="E38" i="9" s="1"/>
  <c r="G38" i="9" s="1"/>
  <c r="L82" i="1"/>
  <c r="E39" i="9" s="1"/>
  <c r="G39" i="9" s="1"/>
  <c r="L83" i="1"/>
  <c r="E40" i="9" s="1"/>
  <c r="G40" i="9" s="1"/>
  <c r="L84" i="1"/>
  <c r="E41" i="9" s="1"/>
  <c r="G41" i="9" s="1"/>
  <c r="L85" i="1"/>
  <c r="L86" i="1"/>
  <c r="L87" i="1"/>
  <c r="L88" i="1"/>
  <c r="L89" i="1"/>
  <c r="L90" i="1"/>
  <c r="L91" i="1"/>
  <c r="L92" i="1"/>
  <c r="L93" i="1"/>
  <c r="L94" i="1"/>
  <c r="L95" i="1"/>
  <c r="E43" i="9" s="1"/>
  <c r="G43" i="9" s="1"/>
  <c r="L96" i="1"/>
  <c r="E44" i="9" s="1"/>
  <c r="G44" i="9" s="1"/>
  <c r="L97" i="1"/>
  <c r="E45" i="9" s="1"/>
  <c r="G45" i="9" s="1"/>
  <c r="L98" i="1"/>
  <c r="E46" i="9" s="1"/>
  <c r="G46" i="9" s="1"/>
  <c r="L99" i="1"/>
  <c r="L100" i="1"/>
  <c r="L101" i="1"/>
  <c r="L102" i="1"/>
  <c r="L103" i="1"/>
  <c r="L104" i="1"/>
  <c r="L105" i="1"/>
  <c r="L106" i="1"/>
  <c r="L107" i="1"/>
  <c r="L108" i="1"/>
  <c r="L109" i="1"/>
  <c r="E48" i="9" s="1"/>
  <c r="G48" i="9" s="1"/>
  <c r="L110" i="1"/>
  <c r="E49" i="9" s="1"/>
  <c r="G49" i="9" s="1"/>
  <c r="L111" i="1"/>
  <c r="E50" i="9" s="1"/>
  <c r="G50" i="9" s="1"/>
  <c r="L112" i="1"/>
  <c r="E51" i="9" s="1"/>
  <c r="G51" i="9" s="1"/>
  <c r="L113" i="1"/>
  <c r="L114" i="1"/>
  <c r="L115" i="1"/>
  <c r="L116" i="1"/>
  <c r="L117" i="1"/>
  <c r="L118" i="1"/>
  <c r="L119" i="1"/>
  <c r="L120" i="1"/>
  <c r="L121" i="1"/>
  <c r="L122" i="1"/>
  <c r="L123" i="1"/>
  <c r="E53" i="9" s="1"/>
  <c r="G53" i="9" s="1"/>
  <c r="L124" i="1"/>
  <c r="E54" i="9" s="1"/>
  <c r="G54" i="9" s="1"/>
  <c r="L125" i="1"/>
  <c r="E55" i="9" s="1"/>
  <c r="G55" i="9" s="1"/>
  <c r="L126" i="1"/>
  <c r="E56" i="9" s="1"/>
  <c r="G56" i="9" s="1"/>
  <c r="L127" i="1"/>
  <c r="L128" i="1"/>
  <c r="L129" i="1"/>
  <c r="L130" i="1"/>
  <c r="L131" i="1"/>
  <c r="L132" i="1"/>
  <c r="L133" i="1"/>
  <c r="L134" i="1"/>
  <c r="L135" i="1"/>
  <c r="L136" i="1"/>
  <c r="L137" i="1"/>
  <c r="E58" i="9" s="1"/>
  <c r="G58" i="9" s="1"/>
  <c r="L138" i="1"/>
  <c r="E59" i="9" s="1"/>
  <c r="G59" i="9" s="1"/>
  <c r="L139" i="1"/>
  <c r="E60" i="9" s="1"/>
  <c r="G60" i="9" s="1"/>
  <c r="L140" i="1"/>
  <c r="E61" i="9" s="1"/>
  <c r="G61" i="9" s="1"/>
  <c r="L141" i="1"/>
  <c r="L142" i="1"/>
  <c r="L143" i="1"/>
  <c r="L144" i="1"/>
  <c r="L145" i="1"/>
  <c r="L146" i="1"/>
  <c r="L147" i="1"/>
  <c r="L148" i="1"/>
  <c r="L149" i="1"/>
  <c r="L150" i="1"/>
  <c r="L151" i="1"/>
  <c r="E63" i="9" s="1"/>
  <c r="G63" i="9" s="1"/>
  <c r="L152" i="1"/>
  <c r="E64" i="9" s="1"/>
  <c r="G64" i="9" s="1"/>
  <c r="L153" i="1"/>
  <c r="E65" i="9" s="1"/>
  <c r="G65" i="9" s="1"/>
  <c r="L154" i="1"/>
  <c r="E66" i="9" s="1"/>
  <c r="G66" i="9" s="1"/>
  <c r="L155" i="1"/>
  <c r="L156" i="1"/>
  <c r="L157" i="1"/>
  <c r="L158" i="1"/>
  <c r="L159" i="1"/>
  <c r="L160" i="1"/>
  <c r="L161" i="1"/>
  <c r="L162" i="1"/>
  <c r="L163" i="1"/>
  <c r="L164" i="1"/>
  <c r="L165" i="1"/>
  <c r="E68" i="9" s="1"/>
  <c r="G68" i="9" s="1"/>
  <c r="L166" i="1"/>
  <c r="E69" i="9" s="1"/>
  <c r="G69" i="9" s="1"/>
  <c r="L167" i="1"/>
  <c r="E70" i="9" s="1"/>
  <c r="G70" i="9" s="1"/>
  <c r="L168" i="1"/>
  <c r="E71" i="9" s="1"/>
  <c r="G71" i="9" s="1"/>
  <c r="L169" i="1"/>
  <c r="L170" i="1"/>
  <c r="L171" i="1"/>
  <c r="L172" i="1"/>
  <c r="L173" i="1"/>
  <c r="L174" i="1"/>
  <c r="L175" i="1"/>
  <c r="L176" i="1"/>
  <c r="L177" i="1"/>
  <c r="L178" i="1"/>
  <c r="L179" i="1"/>
  <c r="L180" i="1"/>
  <c r="L181" i="1"/>
  <c r="L182" i="1"/>
  <c r="L183" i="1"/>
  <c r="L184" i="1"/>
  <c r="L185" i="1"/>
  <c r="L186" i="1"/>
  <c r="L187" i="1"/>
  <c r="L188" i="1"/>
  <c r="L189" i="1"/>
  <c r="L190" i="1"/>
  <c r="L191" i="1"/>
  <c r="E73" i="9" s="1"/>
  <c r="G73" i="9" s="1"/>
  <c r="L192" i="1"/>
  <c r="E74" i="9" s="1"/>
  <c r="G74" i="9" s="1"/>
  <c r="L193" i="1"/>
  <c r="E75" i="9" s="1"/>
  <c r="G75" i="9" s="1"/>
  <c r="L194" i="1"/>
  <c r="E76" i="9" s="1"/>
  <c r="G76" i="9" s="1"/>
  <c r="L195" i="1"/>
  <c r="L196" i="1"/>
  <c r="L197" i="1"/>
  <c r="L198" i="1"/>
  <c r="L199" i="1"/>
  <c r="L200" i="1"/>
  <c r="L201" i="1"/>
  <c r="L202" i="1"/>
  <c r="L203" i="1"/>
  <c r="L204" i="1"/>
  <c r="L205" i="1"/>
  <c r="E78" i="9" s="1"/>
  <c r="G78" i="9" s="1"/>
  <c r="L206" i="1"/>
  <c r="E79" i="9" s="1"/>
  <c r="G79" i="9" s="1"/>
  <c r="L207" i="1"/>
  <c r="E80" i="9" s="1"/>
  <c r="G80" i="9" s="1"/>
  <c r="L208" i="1"/>
  <c r="E81" i="9" s="1"/>
  <c r="G81" i="9" s="1"/>
  <c r="L209" i="1"/>
  <c r="L210" i="1"/>
  <c r="L211" i="1"/>
  <c r="L212" i="1"/>
  <c r="L213" i="1"/>
  <c r="L214" i="1"/>
  <c r="L215" i="1"/>
  <c r="L216" i="1"/>
  <c r="L217" i="1"/>
  <c r="L218" i="1"/>
  <c r="L219" i="1"/>
  <c r="E83" i="9" s="1"/>
  <c r="G83" i="9" s="1"/>
  <c r="L220" i="1"/>
  <c r="E84" i="9" s="1"/>
  <c r="G84" i="9" s="1"/>
  <c r="L221" i="1"/>
  <c r="E85" i="9" s="1"/>
  <c r="G85" i="9" s="1"/>
  <c r="L222" i="1"/>
  <c r="E86" i="9" s="1"/>
  <c r="G86" i="9" s="1"/>
  <c r="L223" i="1"/>
  <c r="L224" i="1"/>
  <c r="L225" i="1"/>
  <c r="L226" i="1"/>
  <c r="L227" i="1"/>
  <c r="L228" i="1"/>
  <c r="L229" i="1"/>
  <c r="L230" i="1"/>
  <c r="L231" i="1"/>
  <c r="L232" i="1"/>
  <c r="L233" i="1"/>
  <c r="E88" i="9" s="1"/>
  <c r="G88" i="9" s="1"/>
  <c r="L234" i="1"/>
  <c r="E89" i="9" s="1"/>
  <c r="G89" i="9" s="1"/>
  <c r="L235" i="1"/>
  <c r="E90" i="9" s="1"/>
  <c r="G90" i="9" s="1"/>
  <c r="L236" i="1"/>
  <c r="E91" i="9" s="1"/>
  <c r="G91" i="9" s="1"/>
  <c r="L237" i="1"/>
  <c r="L238" i="1"/>
  <c r="L239" i="1"/>
  <c r="L240" i="1"/>
  <c r="L241" i="1"/>
  <c r="E33" i="9" s="1"/>
  <c r="G33" i="9" s="1"/>
  <c r="L242" i="1"/>
  <c r="E34" i="9" s="1"/>
  <c r="G34" i="9" s="1"/>
  <c r="L243" i="1"/>
  <c r="E35" i="9" s="1"/>
  <c r="G35" i="9" s="1"/>
  <c r="L244" i="1"/>
  <c r="E36" i="9" s="1"/>
  <c r="G36" i="9" s="1"/>
  <c r="L245" i="1"/>
  <c r="L246" i="1"/>
  <c r="L247" i="1"/>
  <c r="L248" i="1"/>
  <c r="L249" i="1"/>
  <c r="E13" i="9" s="1"/>
  <c r="G13" i="9" s="1"/>
  <c r="L250" i="1"/>
  <c r="E14" i="9" s="1"/>
  <c r="G14" i="9" s="1"/>
  <c r="L251" i="1"/>
  <c r="E15" i="9" s="1"/>
  <c r="G15" i="9" s="1"/>
  <c r="L252" i="1"/>
  <c r="E16" i="9" s="1"/>
  <c r="G16" i="9" s="1"/>
  <c r="L8" i="1"/>
  <c r="L9" i="1"/>
  <c r="M11" i="1" s="1"/>
  <c r="E14" i="10" l="1"/>
  <c r="D14" i="10"/>
  <c r="D7" i="10"/>
  <c r="D27" i="10"/>
  <c r="E12" i="9"/>
  <c r="G12" i="9" s="1"/>
  <c r="E24" i="10"/>
  <c r="E32" i="9"/>
  <c r="G32" i="9" s="1"/>
  <c r="E23" i="10"/>
  <c r="E87" i="9"/>
  <c r="G87" i="9" s="1"/>
  <c r="E20" i="10"/>
  <c r="E77" i="9"/>
  <c r="G77" i="9" s="1"/>
  <c r="E18" i="10"/>
  <c r="E67" i="9"/>
  <c r="G67" i="9" s="1"/>
  <c r="E16" i="10"/>
  <c r="E57" i="9"/>
  <c r="G57" i="9" s="1"/>
  <c r="E47" i="9"/>
  <c r="G47" i="9" s="1"/>
  <c r="E12" i="10"/>
  <c r="E37" i="9"/>
  <c r="G37" i="9" s="1"/>
  <c r="E27" i="10"/>
  <c r="D21" i="10"/>
  <c r="D9" i="10"/>
  <c r="D20" i="10"/>
  <c r="D18" i="10"/>
  <c r="D16" i="10"/>
  <c r="D12" i="10"/>
  <c r="D25" i="10"/>
  <c r="E27" i="9"/>
  <c r="G27" i="9" s="1"/>
  <c r="E10" i="10"/>
  <c r="E17" i="9"/>
  <c r="G17" i="9" s="1"/>
  <c r="E8" i="10"/>
  <c r="E82" i="9"/>
  <c r="G82" i="9" s="1"/>
  <c r="E19" i="10"/>
  <c r="M204" i="1"/>
  <c r="M200" i="1"/>
  <c r="E72" i="9"/>
  <c r="G72" i="9" s="1"/>
  <c r="E17" i="10"/>
  <c r="D22" i="10"/>
  <c r="M164" i="1"/>
  <c r="M160" i="1"/>
  <c r="E62" i="9"/>
  <c r="G62" i="9" s="1"/>
  <c r="E15" i="10"/>
  <c r="E52" i="9"/>
  <c r="G52" i="9" s="1"/>
  <c r="E13" i="10"/>
  <c r="E42" i="9"/>
  <c r="G42" i="9" s="1"/>
  <c r="E11" i="10"/>
  <c r="D10" i="10"/>
  <c r="D8" i="10"/>
  <c r="D19" i="10"/>
  <c r="D17" i="10"/>
  <c r="D26" i="10"/>
  <c r="D15" i="10"/>
  <c r="D13" i="10"/>
  <c r="M107" i="1"/>
  <c r="M103" i="1"/>
  <c r="D11" i="10"/>
  <c r="M79" i="1"/>
  <c r="M75" i="1"/>
  <c r="M67" i="1"/>
  <c r="M59" i="1"/>
  <c r="M55" i="1"/>
  <c r="E22" i="9"/>
  <c r="G22" i="9" s="1"/>
  <c r="E9" i="10"/>
  <c r="M43" i="1"/>
  <c r="M39" i="1"/>
  <c r="M31" i="1"/>
  <c r="M27" i="1"/>
  <c r="E7" i="9"/>
  <c r="G7" i="9" s="1"/>
  <c r="E7" i="10"/>
  <c r="M15" i="1"/>
  <c r="M231" i="1"/>
  <c r="M227" i="1"/>
  <c r="M203" i="1"/>
  <c r="M199" i="1"/>
  <c r="M163" i="1"/>
  <c r="M159" i="1"/>
  <c r="M135" i="1"/>
  <c r="M131" i="1"/>
  <c r="M219" i="1"/>
  <c r="M215" i="1"/>
  <c r="M191" i="1"/>
  <c r="M187" i="1"/>
  <c r="M179" i="1"/>
  <c r="M151" i="1"/>
  <c r="M147" i="1"/>
  <c r="M123" i="1"/>
  <c r="M119" i="1"/>
  <c r="M95" i="1"/>
  <c r="M91" i="1"/>
  <c r="M10" i="1"/>
  <c r="M251" i="1"/>
  <c r="M247" i="1"/>
  <c r="M243" i="1"/>
  <c r="M239" i="1"/>
  <c r="M235" i="1"/>
  <c r="M183" i="1"/>
  <c r="M171" i="1"/>
  <c r="M167" i="1"/>
  <c r="M87" i="1"/>
  <c r="M83" i="1"/>
  <c r="M63" i="1"/>
  <c r="M47" i="1"/>
  <c r="M19" i="1"/>
  <c r="M242" i="1"/>
  <c r="M234" i="1"/>
  <c r="M230" i="1"/>
  <c r="M226" i="1"/>
  <c r="M222" i="1"/>
  <c r="M218" i="1"/>
  <c r="M214" i="1"/>
  <c r="M206" i="1"/>
  <c r="M202" i="1"/>
  <c r="M198" i="1"/>
  <c r="M194" i="1"/>
  <c r="M190" i="1"/>
  <c r="M186" i="1"/>
  <c r="M178" i="1"/>
  <c r="M166" i="1"/>
  <c r="M162" i="1"/>
  <c r="M158" i="1"/>
  <c r="M154" i="1"/>
  <c r="M150" i="1"/>
  <c r="M146" i="1"/>
  <c r="M138" i="1"/>
  <c r="M134" i="1"/>
  <c r="M130" i="1"/>
  <c r="M126" i="1"/>
  <c r="M122" i="1"/>
  <c r="M118" i="1"/>
  <c r="M110" i="1"/>
  <c r="M106" i="1"/>
  <c r="M102" i="1"/>
  <c r="M98" i="1"/>
  <c r="M94" i="1"/>
  <c r="M90" i="1"/>
  <c r="M82" i="1"/>
  <c r="M78" i="1"/>
  <c r="M74" i="1"/>
  <c r="M70" i="1"/>
  <c r="M66" i="1"/>
  <c r="M62" i="1"/>
  <c r="M58" i="1"/>
  <c r="M54" i="1"/>
  <c r="M46" i="1"/>
  <c r="M42" i="1"/>
  <c r="M38" i="1"/>
  <c r="M34" i="1"/>
  <c r="M30" i="1"/>
  <c r="M26" i="1"/>
  <c r="M18" i="1"/>
  <c r="M14" i="1"/>
  <c r="M250" i="1"/>
  <c r="M241" i="1"/>
  <c r="M233" i="1"/>
  <c r="M229" i="1"/>
  <c r="M225" i="1"/>
  <c r="M221" i="1"/>
  <c r="M217" i="1"/>
  <c r="M213" i="1"/>
  <c r="M205" i="1"/>
  <c r="M201" i="1"/>
  <c r="M197" i="1"/>
  <c r="M193" i="1"/>
  <c r="M189" i="1"/>
  <c r="M185" i="1"/>
  <c r="M177" i="1"/>
  <c r="M173" i="1"/>
  <c r="M165" i="1"/>
  <c r="M161" i="1"/>
  <c r="M157" i="1"/>
  <c r="M153" i="1"/>
  <c r="M149" i="1"/>
  <c r="M145" i="1"/>
  <c r="M137" i="1"/>
  <c r="M133" i="1"/>
  <c r="M129" i="1"/>
  <c r="M125" i="1"/>
  <c r="M121" i="1"/>
  <c r="M117" i="1"/>
  <c r="M109" i="1"/>
  <c r="M105" i="1"/>
  <c r="M101" i="1"/>
  <c r="M97" i="1"/>
  <c r="M93" i="1"/>
  <c r="M89" i="1"/>
  <c r="M81" i="1"/>
  <c r="M72" i="1"/>
  <c r="M71" i="1"/>
  <c r="M73" i="1"/>
  <c r="M69" i="1"/>
  <c r="M61" i="1"/>
  <c r="M57" i="1"/>
  <c r="M53" i="1"/>
  <c r="M49" i="1"/>
  <c r="M45" i="1"/>
  <c r="M41" i="1"/>
  <c r="M33" i="1"/>
  <c r="M29" i="1"/>
  <c r="M25" i="1"/>
  <c r="M21" i="1"/>
  <c r="M17" i="1"/>
  <c r="M13" i="1"/>
  <c r="M211" i="1"/>
  <c r="M207" i="1"/>
  <c r="M143" i="1"/>
  <c r="M139" i="1"/>
  <c r="M115" i="1"/>
  <c r="M111" i="1"/>
  <c r="M35" i="1"/>
  <c r="M249" i="1"/>
  <c r="M252" i="1"/>
  <c r="M248" i="1"/>
  <c r="M244" i="1"/>
  <c r="M240" i="1"/>
  <c r="M236" i="1"/>
  <c r="M232" i="1"/>
  <c r="M228" i="1"/>
  <c r="M220" i="1"/>
  <c r="M216" i="1"/>
  <c r="M212" i="1"/>
  <c r="M208" i="1"/>
  <c r="M192" i="1"/>
  <c r="M188" i="1"/>
  <c r="M184" i="1"/>
  <c r="M180" i="1"/>
  <c r="M176" i="1"/>
  <c r="M172" i="1"/>
  <c r="M168" i="1"/>
  <c r="M152" i="1"/>
  <c r="M148" i="1"/>
  <c r="M144" i="1"/>
  <c r="M140" i="1"/>
  <c r="M136" i="1"/>
  <c r="M132" i="1"/>
  <c r="M124" i="1"/>
  <c r="M120" i="1"/>
  <c r="M116" i="1"/>
  <c r="M112" i="1"/>
  <c r="M108" i="1"/>
  <c r="M104" i="1"/>
  <c r="M96" i="1"/>
  <c r="M92" i="1"/>
  <c r="M88" i="1"/>
  <c r="M84" i="1"/>
  <c r="M80" i="1"/>
  <c r="M68" i="1"/>
  <c r="M60" i="1"/>
  <c r="M56" i="1"/>
  <c r="M52" i="1"/>
  <c r="M48" i="1"/>
  <c r="M44" i="1"/>
  <c r="M40" i="1"/>
  <c r="M32" i="1"/>
  <c r="M28" i="1"/>
  <c r="M24" i="1"/>
  <c r="M20" i="1"/>
  <c r="M16" i="1"/>
  <c r="M12" i="1"/>
  <c r="F9" i="1"/>
  <c r="H9" i="1" s="1"/>
  <c r="F8" i="1"/>
  <c r="F12" i="1"/>
  <c r="H12" i="1" s="1"/>
  <c r="F10" i="1"/>
  <c r="H10" i="1" s="1"/>
  <c r="F13" i="1"/>
  <c r="H13" i="1" s="1"/>
  <c r="F11" i="1"/>
  <c r="H11" i="1" s="1"/>
  <c r="F22" i="3" l="1"/>
  <c r="G22" i="3" s="1"/>
  <c r="F77" i="3"/>
  <c r="G77" i="3" s="1"/>
  <c r="F12" i="3"/>
  <c r="G12" i="3" s="1"/>
  <c r="F20" i="3"/>
  <c r="G20" i="3" s="1"/>
  <c r="F30" i="3"/>
  <c r="G30" i="3" s="1"/>
  <c r="F49" i="3"/>
  <c r="G49" i="3" s="1"/>
  <c r="F56" i="3"/>
  <c r="G56" i="3" s="1"/>
  <c r="F69" i="3"/>
  <c r="G69" i="3" s="1"/>
  <c r="F76" i="3"/>
  <c r="G76" i="3" s="1"/>
  <c r="F89" i="3"/>
  <c r="G89" i="3" s="1"/>
  <c r="F9" i="3"/>
  <c r="G9" i="3" s="1"/>
  <c r="F21" i="3"/>
  <c r="G21" i="3" s="1"/>
  <c r="F27" i="3"/>
  <c r="G27" i="3" s="1"/>
  <c r="F40" i="3"/>
  <c r="G40" i="3" s="1"/>
  <c r="F50" i="3"/>
  <c r="G50" i="3" s="1"/>
  <c r="F60" i="3"/>
  <c r="G60" i="3" s="1"/>
  <c r="F70" i="3"/>
  <c r="G70" i="3" s="1"/>
  <c r="F80" i="3"/>
  <c r="G80" i="3" s="1"/>
  <c r="F90" i="3"/>
  <c r="G90" i="3" s="1"/>
  <c r="F18" i="3"/>
  <c r="G18" i="3" s="1"/>
  <c r="F28" i="3"/>
  <c r="G28" i="3" s="1"/>
  <c r="F41" i="3"/>
  <c r="G41" i="3" s="1"/>
  <c r="F54" i="3"/>
  <c r="G54" i="3" s="1"/>
  <c r="F61" i="3"/>
  <c r="G61" i="3" s="1"/>
  <c r="F74" i="3"/>
  <c r="G74" i="3" s="1"/>
  <c r="F81" i="3"/>
  <c r="G81" i="3" s="1"/>
  <c r="F36" i="3"/>
  <c r="G36" i="3" s="1"/>
  <c r="F19" i="3"/>
  <c r="G19" i="3" s="1"/>
  <c r="F26" i="3"/>
  <c r="G26" i="3" s="1"/>
  <c r="F38" i="3"/>
  <c r="G38" i="3" s="1"/>
  <c r="F8" i="3"/>
  <c r="G8" i="3" s="1"/>
  <c r="F23" i="3"/>
  <c r="G23" i="3" s="1"/>
  <c r="F39" i="3"/>
  <c r="G39" i="3" s="1"/>
  <c r="F46" i="3"/>
  <c r="G46" i="3" s="1"/>
  <c r="F52" i="3"/>
  <c r="G52" i="3" s="1"/>
  <c r="F59" i="3"/>
  <c r="G59" i="3" s="1"/>
  <c r="F66" i="3"/>
  <c r="G66" i="3" s="1"/>
  <c r="F72" i="3"/>
  <c r="G72" i="3" s="1"/>
  <c r="F79" i="3"/>
  <c r="G79" i="3" s="1"/>
  <c r="F86" i="3"/>
  <c r="G86" i="3" s="1"/>
  <c r="F14" i="3"/>
  <c r="G14" i="3" s="1"/>
  <c r="F17" i="3"/>
  <c r="G17" i="3" s="1"/>
  <c r="F24" i="3"/>
  <c r="G24" i="3" s="1"/>
  <c r="F31" i="3"/>
  <c r="G31" i="3" s="1"/>
  <c r="F43" i="3"/>
  <c r="G43" i="3" s="1"/>
  <c r="F53" i="3"/>
  <c r="G53" i="3" s="1"/>
  <c r="F63" i="3"/>
  <c r="G63" i="3" s="1"/>
  <c r="F73" i="3"/>
  <c r="G73" i="3" s="1"/>
  <c r="F83" i="3"/>
  <c r="G83" i="3" s="1"/>
  <c r="F35" i="3"/>
  <c r="G35" i="3" s="1"/>
  <c r="F32" i="3"/>
  <c r="G32" i="3" s="1"/>
  <c r="F10" i="3"/>
  <c r="G10" i="3" s="1"/>
  <c r="F25" i="3"/>
  <c r="G25" i="3" s="1"/>
  <c r="F44" i="3"/>
  <c r="G44" i="3" s="1"/>
  <c r="F51" i="3"/>
  <c r="G51" i="3" s="1"/>
  <c r="F57" i="3"/>
  <c r="G57" i="3" s="1"/>
  <c r="F64" i="3"/>
  <c r="G64" i="3" s="1"/>
  <c r="F71" i="3"/>
  <c r="G71" i="3" s="1"/>
  <c r="F84" i="3"/>
  <c r="G84" i="3" s="1"/>
  <c r="F91" i="3"/>
  <c r="G91" i="3" s="1"/>
  <c r="F11" i="3"/>
  <c r="G11" i="3" s="1"/>
  <c r="F29" i="3"/>
  <c r="G29" i="3" s="1"/>
  <c r="F45" i="3"/>
  <c r="G45" i="3" s="1"/>
  <c r="F55" i="3"/>
  <c r="G55" i="3" s="1"/>
  <c r="F58" i="3"/>
  <c r="G58" i="3" s="1"/>
  <c r="F75" i="3"/>
  <c r="G75" i="3" s="1"/>
  <c r="F78" i="3"/>
  <c r="G78" i="3" s="1"/>
  <c r="F33" i="3"/>
  <c r="G33" i="3" s="1"/>
  <c r="F34" i="3"/>
  <c r="G34" i="3" s="1"/>
  <c r="F48" i="3"/>
  <c r="G48" i="3" s="1"/>
  <c r="F65" i="3"/>
  <c r="G65" i="3" s="1"/>
  <c r="F68" i="3"/>
  <c r="G68" i="3" s="1"/>
  <c r="F85" i="3"/>
  <c r="G85" i="3" s="1"/>
  <c r="F88" i="3"/>
  <c r="G88" i="3" s="1"/>
  <c r="F13" i="3"/>
  <c r="G13" i="3" s="1"/>
  <c r="F16" i="3"/>
  <c r="G16" i="3" s="1"/>
  <c r="H8" i="1"/>
  <c r="I10" i="1" s="1"/>
  <c r="I13" i="1"/>
  <c r="I12" i="1"/>
  <c r="I11" i="1"/>
  <c r="F67" i="3" l="1"/>
  <c r="G67" i="3" s="1"/>
  <c r="F62" i="3"/>
  <c r="G62" i="3" s="1"/>
  <c r="F47" i="3"/>
  <c r="G47" i="3" s="1"/>
  <c r="F37" i="3"/>
  <c r="G37" i="3" s="1"/>
  <c r="F87" i="3"/>
  <c r="G87" i="3" s="1"/>
  <c r="F82" i="3"/>
  <c r="G82" i="3" s="1"/>
  <c r="F42" i="3"/>
  <c r="G42" i="3" s="1"/>
  <c r="F14" i="1"/>
  <c r="H14" i="1" l="1"/>
  <c r="B7" i="10" s="1"/>
  <c r="G7" i="10" s="1"/>
  <c r="I14" i="1" l="1"/>
  <c r="F16" i="1"/>
  <c r="H16" i="1" s="1"/>
  <c r="F17" i="1" l="1"/>
  <c r="F15" i="1"/>
  <c r="H15" i="1" l="1"/>
  <c r="I16" i="1" s="1"/>
  <c r="I15" i="1" l="1"/>
  <c r="F154" i="1"/>
  <c r="H154" i="1" s="1"/>
  <c r="F21" i="1"/>
  <c r="F222" i="1"/>
  <c r="F67" i="1"/>
  <c r="H67" i="1" s="1"/>
  <c r="F64" i="1"/>
  <c r="H64" i="1" s="1"/>
  <c r="F142" i="1"/>
  <c r="H142" i="1" s="1"/>
  <c r="F165" i="1"/>
  <c r="H165" i="1" s="1"/>
  <c r="F113" i="1"/>
  <c r="F56" i="1"/>
  <c r="H56" i="1" s="1"/>
  <c r="F224" i="1"/>
  <c r="H224" i="1" s="1"/>
  <c r="F89" i="1"/>
  <c r="H89" i="1" s="1"/>
  <c r="F181" i="1"/>
  <c r="F108" i="1"/>
  <c r="F149" i="1"/>
  <c r="H149" i="1" s="1"/>
  <c r="F20" i="1"/>
  <c r="F248" i="1"/>
  <c r="F28" i="1"/>
  <c r="H28" i="1" s="1"/>
  <c r="F66" i="1"/>
  <c r="H66" i="1" s="1"/>
  <c r="F232" i="1"/>
  <c r="F174" i="1"/>
  <c r="H174" i="1" s="1"/>
  <c r="F40" i="1"/>
  <c r="H40" i="1" s="1"/>
  <c r="F250" i="1"/>
  <c r="H250" i="1" s="1"/>
  <c r="F147" i="1"/>
  <c r="H147" i="1" s="1"/>
  <c r="F190" i="1"/>
  <c r="F212" i="1"/>
  <c r="H212" i="1" s="1"/>
  <c r="F228" i="1"/>
  <c r="H228" i="1" s="1"/>
  <c r="F239" i="1"/>
  <c r="H239" i="1" s="1"/>
  <c r="F25" i="1"/>
  <c r="H25" i="1" s="1"/>
  <c r="F79" i="1"/>
  <c r="H79" i="1" s="1"/>
  <c r="F53" i="1"/>
  <c r="H53" i="1" s="1"/>
  <c r="F211" i="1"/>
  <c r="H211" i="1" s="1"/>
  <c r="F193" i="1"/>
  <c r="F29" i="1"/>
  <c r="H29" i="1" s="1"/>
  <c r="F162" i="1"/>
  <c r="H162" i="1" s="1"/>
  <c r="F195" i="1"/>
  <c r="F179" i="1"/>
  <c r="H179" i="1" s="1"/>
  <c r="F88" i="1"/>
  <c r="H88" i="1" s="1"/>
  <c r="F186" i="1"/>
  <c r="H186" i="1" s="1"/>
  <c r="F178" i="1"/>
  <c r="H178" i="1" s="1"/>
  <c r="F75" i="1"/>
  <c r="H75" i="1" s="1"/>
  <c r="F133" i="1"/>
  <c r="H133" i="1" s="1"/>
  <c r="F215" i="1"/>
  <c r="H215" i="1" s="1"/>
  <c r="F92" i="1"/>
  <c r="H92" i="1" s="1"/>
  <c r="F34" i="1"/>
  <c r="F241" i="1"/>
  <c r="H241" i="1" s="1"/>
  <c r="F200" i="1"/>
  <c r="H200" i="1" s="1"/>
  <c r="F70" i="1"/>
  <c r="H70" i="1" s="1"/>
  <c r="F71" i="1"/>
  <c r="H71" i="1" s="1"/>
  <c r="F175" i="1"/>
  <c r="H175" i="1" s="1"/>
  <c r="F159" i="1"/>
  <c r="H159" i="1" s="1"/>
  <c r="F54" i="1"/>
  <c r="H54" i="1" s="1"/>
  <c r="F99" i="1"/>
  <c r="F199" i="1"/>
  <c r="H199" i="1" s="1"/>
  <c r="F106" i="1"/>
  <c r="H106" i="1" s="1"/>
  <c r="F188" i="1"/>
  <c r="H188" i="1" s="1"/>
  <c r="F76" i="1"/>
  <c r="F155" i="1"/>
  <c r="F59" i="1"/>
  <c r="F197" i="1"/>
  <c r="H197" i="1" s="1"/>
  <c r="F213" i="1"/>
  <c r="H213" i="1" s="1"/>
  <c r="F184" i="1"/>
  <c r="H184" i="1" s="1"/>
  <c r="F238" i="1"/>
  <c r="H238" i="1" s="1"/>
  <c r="F31" i="1"/>
  <c r="F138" i="1"/>
  <c r="H138" i="1" s="1"/>
  <c r="F55" i="1"/>
  <c r="H55" i="1" s="1"/>
  <c r="F73" i="1"/>
  <c r="H73" i="1" s="1"/>
  <c r="F121" i="1"/>
  <c r="H121" i="1" s="1"/>
  <c r="F221" i="1"/>
  <c r="F83" i="1"/>
  <c r="F234" i="1"/>
  <c r="F117" i="1"/>
  <c r="H117" i="1" s="1"/>
  <c r="F123" i="1"/>
  <c r="H123" i="1" s="1"/>
  <c r="F119" i="1"/>
  <c r="H119" i="1" s="1"/>
  <c r="F130" i="1"/>
  <c r="H130" i="1" s="1"/>
  <c r="F219" i="1"/>
  <c r="F206" i="1"/>
  <c r="F249" i="1"/>
  <c r="H249" i="1" s="1"/>
  <c r="F209" i="1"/>
  <c r="F242" i="1"/>
  <c r="H242" i="1" s="1"/>
  <c r="F131" i="1"/>
  <c r="H131" i="1" s="1"/>
  <c r="F49" i="1"/>
  <c r="H49" i="1" s="1"/>
  <c r="F36" i="1"/>
  <c r="F104" i="1"/>
  <c r="H104" i="1" s="1"/>
  <c r="F189" i="1"/>
  <c r="H189" i="1" s="1"/>
  <c r="F43" i="1"/>
  <c r="H43" i="1" s="1"/>
  <c r="F122" i="1"/>
  <c r="F244" i="1"/>
  <c r="H244" i="1" s="1"/>
  <c r="F202" i="1"/>
  <c r="H202" i="1" s="1"/>
  <c r="F217" i="1"/>
  <c r="H217" i="1" s="1"/>
  <c r="F58" i="1"/>
  <c r="H58" i="1" s="1"/>
  <c r="F148" i="1"/>
  <c r="H148" i="1" s="1"/>
  <c r="F65" i="1"/>
  <c r="H65" i="1" s="1"/>
  <c r="F225" i="1"/>
  <c r="H225" i="1" s="1"/>
  <c r="F103" i="1"/>
  <c r="H103" i="1" s="1"/>
  <c r="F173" i="1"/>
  <c r="H173" i="1" s="1"/>
  <c r="F146" i="1"/>
  <c r="H146" i="1" s="1"/>
  <c r="F166" i="1"/>
  <c r="H166" i="1" s="1"/>
  <c r="F118" i="1"/>
  <c r="H118" i="1" s="1"/>
  <c r="F145" i="1"/>
  <c r="H145" i="1" s="1"/>
  <c r="F114" i="1"/>
  <c r="H114" i="1" s="1"/>
  <c r="F33" i="1"/>
  <c r="F140" i="1"/>
  <c r="H140" i="1" s="1"/>
  <c r="F185" i="1"/>
  <c r="H185" i="1" s="1"/>
  <c r="F203" i="1"/>
  <c r="H203" i="1" s="1"/>
  <c r="F94" i="1"/>
  <c r="F132" i="1"/>
  <c r="H132" i="1" s="1"/>
  <c r="F151" i="1"/>
  <c r="H151" i="1" s="1"/>
  <c r="F169" i="1"/>
  <c r="H169" i="1" s="1"/>
  <c r="F127" i="1"/>
  <c r="F194" i="1"/>
  <c r="F180" i="1"/>
  <c r="H180" i="1" s="1"/>
  <c r="F98" i="1"/>
  <c r="H98" i="1" s="1"/>
  <c r="F126" i="1"/>
  <c r="H126" i="1" s="1"/>
  <c r="F93" i="1"/>
  <c r="H93" i="1" s="1"/>
  <c r="F37" i="1"/>
  <c r="H37" i="1" s="1"/>
  <c r="F60" i="1"/>
  <c r="H60" i="1" s="1"/>
  <c r="F141" i="1"/>
  <c r="F237" i="1"/>
  <c r="F47" i="1"/>
  <c r="H47" i="1" s="1"/>
  <c r="F218" i="1"/>
  <c r="F201" i="1"/>
  <c r="H201" i="1" s="1"/>
  <c r="F87" i="1"/>
  <c r="H87" i="1" s="1"/>
  <c r="F39" i="1"/>
  <c r="H39" i="1" s="1"/>
  <c r="F192" i="1"/>
  <c r="F77" i="1"/>
  <c r="H77" i="1" s="1"/>
  <c r="F124" i="1"/>
  <c r="H124" i="1" s="1"/>
  <c r="F153" i="1"/>
  <c r="H153" i="1" s="1"/>
  <c r="F168" i="1"/>
  <c r="H168" i="1" s="1"/>
  <c r="F160" i="1"/>
  <c r="H160" i="1" s="1"/>
  <c r="F101" i="1"/>
  <c r="H101" i="1" s="1"/>
  <c r="F163" i="1"/>
  <c r="H163" i="1" s="1"/>
  <c r="F177" i="1"/>
  <c r="H177" i="1" s="1"/>
  <c r="F116" i="1"/>
  <c r="H116" i="1" s="1"/>
  <c r="F152" i="1"/>
  <c r="H152" i="1" s="1"/>
  <c r="F167" i="1"/>
  <c r="H167" i="1" s="1"/>
  <c r="F48" i="1"/>
  <c r="H48" i="1" s="1"/>
  <c r="F110" i="1"/>
  <c r="H110" i="1" s="1"/>
  <c r="F176" i="1"/>
  <c r="H176" i="1" s="1"/>
  <c r="F112" i="1"/>
  <c r="H112" i="1" s="1"/>
  <c r="F251" i="1"/>
  <c r="H251" i="1" s="1"/>
  <c r="F90" i="1"/>
  <c r="H90" i="1" s="1"/>
  <c r="F216" i="1"/>
  <c r="H216" i="1" s="1"/>
  <c r="F220" i="1"/>
  <c r="F235" i="1"/>
  <c r="F68" i="1"/>
  <c r="H68" i="1" s="1"/>
  <c r="F191" i="1"/>
  <c r="F32" i="1"/>
  <c r="F198" i="1"/>
  <c r="H198" i="1" s="1"/>
  <c r="F164" i="1"/>
  <c r="F105" i="1"/>
  <c r="H105" i="1" s="1"/>
  <c r="F207" i="1"/>
  <c r="F136" i="1"/>
  <c r="F82" i="1"/>
  <c r="F97" i="1"/>
  <c r="H97" i="1" s="1"/>
  <c r="F111" i="1"/>
  <c r="H111" i="1" s="1"/>
  <c r="F52" i="1"/>
  <c r="H52" i="1" s="1"/>
  <c r="F107" i="1"/>
  <c r="H107" i="1" s="1"/>
  <c r="F61" i="1"/>
  <c r="H61" i="1" s="1"/>
  <c r="F57" i="1"/>
  <c r="H57" i="1" s="1"/>
  <c r="F144" i="1"/>
  <c r="H144" i="1" s="1"/>
  <c r="F214" i="1"/>
  <c r="H214" i="1" s="1"/>
  <c r="F125" i="1"/>
  <c r="H125" i="1" s="1"/>
  <c r="F210" i="1"/>
  <c r="H210" i="1" s="1"/>
  <c r="F227" i="1"/>
  <c r="H227" i="1" s="1"/>
  <c r="F38" i="1"/>
  <c r="H38" i="1" s="1"/>
  <c r="F231" i="1"/>
  <c r="H231" i="1" s="1"/>
  <c r="F45" i="1"/>
  <c r="F226" i="1"/>
  <c r="H226" i="1" s="1"/>
  <c r="F96" i="1"/>
  <c r="H96" i="1" s="1"/>
  <c r="F27" i="1"/>
  <c r="H27" i="1" s="1"/>
  <c r="F134" i="1"/>
  <c r="H134" i="1" s="1"/>
  <c r="F171" i="1"/>
  <c r="H171" i="1" s="1"/>
  <c r="F23" i="1"/>
  <c r="H23" i="1" s="1"/>
  <c r="F85" i="1"/>
  <c r="F233" i="1"/>
  <c r="F91" i="1"/>
  <c r="H91" i="1" s="1"/>
  <c r="F115" i="1"/>
  <c r="H115" i="1" s="1"/>
  <c r="F120" i="1"/>
  <c r="H120" i="1" s="1"/>
  <c r="F157" i="1"/>
  <c r="H157" i="1" s="1"/>
  <c r="F80" i="1"/>
  <c r="F204" i="1"/>
  <c r="F246" i="1"/>
  <c r="H246" i="1" s="1"/>
  <c r="F78" i="1"/>
  <c r="H78" i="1" s="1"/>
  <c r="F46" i="1"/>
  <c r="H46" i="1" s="1"/>
  <c r="F109" i="1"/>
  <c r="H109" i="1" s="1"/>
  <c r="F243" i="1"/>
  <c r="H243" i="1" s="1"/>
  <c r="F26" i="1"/>
  <c r="H26" i="1" s="1"/>
  <c r="F129" i="1"/>
  <c r="H129" i="1" s="1"/>
  <c r="F81" i="1"/>
  <c r="F156" i="1"/>
  <c r="H156" i="1" s="1"/>
  <c r="F161" i="1"/>
  <c r="H161" i="1" s="1"/>
  <c r="F102" i="1"/>
  <c r="H102" i="1" s="1"/>
  <c r="F172" i="1"/>
  <c r="H172" i="1" s="1"/>
  <c r="F84" i="1"/>
  <c r="F223" i="1"/>
  <c r="F187" i="1"/>
  <c r="H187" i="1" s="1"/>
  <c r="F95" i="1"/>
  <c r="H95" i="1" s="1"/>
  <c r="F100" i="1"/>
  <c r="H100" i="1" s="1"/>
  <c r="F62" i="1"/>
  <c r="H62" i="1" s="1"/>
  <c r="F196" i="1"/>
  <c r="H196" i="1" s="1"/>
  <c r="F158" i="1"/>
  <c r="H158" i="1" s="1"/>
  <c r="F41" i="1"/>
  <c r="H41" i="1" s="1"/>
  <c r="F50" i="1"/>
  <c r="F137" i="1"/>
  <c r="H137" i="1" s="1"/>
  <c r="F150" i="1"/>
  <c r="F24" i="1"/>
  <c r="H24" i="1" s="1"/>
  <c r="F69" i="1"/>
  <c r="H69" i="1" s="1"/>
  <c r="F139" i="1"/>
  <c r="H139" i="1" s="1"/>
  <c r="F74" i="1"/>
  <c r="H74" i="1" s="1"/>
  <c r="F51" i="1"/>
  <c r="H51" i="1" s="1"/>
  <c r="F170" i="1"/>
  <c r="H170" i="1" s="1"/>
  <c r="F182" i="1"/>
  <c r="H182" i="1" s="1"/>
  <c r="F128" i="1"/>
  <c r="H128" i="1" s="1"/>
  <c r="F240" i="1"/>
  <c r="C18" i="11" s="1"/>
  <c r="G18" i="11" s="1"/>
  <c r="F86" i="1"/>
  <c r="H86" i="1" s="1"/>
  <c r="F230" i="1"/>
  <c r="H230" i="1" s="1"/>
  <c r="F135" i="1"/>
  <c r="H135" i="1" s="1"/>
  <c r="F245" i="1"/>
  <c r="F205" i="1"/>
  <c r="F183" i="1"/>
  <c r="H183" i="1" s="1"/>
  <c r="F72" i="1"/>
  <c r="H72" i="1" s="1"/>
  <c r="F44" i="1"/>
  <c r="H44" i="1" s="1"/>
  <c r="F143" i="1"/>
  <c r="H143" i="1" s="1"/>
  <c r="F30" i="1"/>
  <c r="H30" i="1" s="1"/>
  <c r="F229" i="1"/>
  <c r="H229" i="1" s="1"/>
  <c r="F22" i="1"/>
  <c r="F42" i="1"/>
  <c r="H42" i="1" s="1"/>
  <c r="F247" i="1"/>
  <c r="H247" i="1" s="1"/>
  <c r="I176" i="1" l="1"/>
  <c r="C28" i="11"/>
  <c r="I131" i="1"/>
  <c r="I228" i="1"/>
  <c r="I212" i="1"/>
  <c r="I231" i="1"/>
  <c r="I74" i="1"/>
  <c r="I130" i="1"/>
  <c r="C24" i="11"/>
  <c r="G24" i="11" s="1"/>
  <c r="I160" i="1"/>
  <c r="I200" i="1"/>
  <c r="I67" i="1"/>
  <c r="I88" i="1"/>
  <c r="I163" i="1"/>
  <c r="I216" i="1"/>
  <c r="I97" i="1"/>
  <c r="I98" i="1"/>
  <c r="C19" i="11"/>
  <c r="C23" i="11"/>
  <c r="G23" i="11" s="1"/>
  <c r="C22" i="11"/>
  <c r="G22" i="11" s="1"/>
  <c r="C25" i="11"/>
  <c r="G25" i="11" s="1"/>
  <c r="I203" i="1"/>
  <c r="C20" i="11"/>
  <c r="G20" i="11" s="1"/>
  <c r="C21" i="11"/>
  <c r="G21" i="11" s="1"/>
  <c r="B21" i="10"/>
  <c r="G21" i="10" s="1"/>
  <c r="B26" i="10"/>
  <c r="G26" i="10" s="1"/>
  <c r="B25" i="10"/>
  <c r="G25" i="10" s="1"/>
  <c r="C26" i="11"/>
  <c r="B22" i="10"/>
  <c r="G22" i="10" s="1"/>
  <c r="I44" i="1"/>
  <c r="I145" i="1"/>
  <c r="I172" i="1"/>
  <c r="C16" i="11"/>
  <c r="G16" i="11" s="1"/>
  <c r="I147" i="1"/>
  <c r="I159" i="1"/>
  <c r="I187" i="1"/>
  <c r="I106" i="1"/>
  <c r="I119" i="1"/>
  <c r="I199" i="1"/>
  <c r="I213" i="1"/>
  <c r="I91" i="1"/>
  <c r="H45" i="1"/>
  <c r="C9" i="10" s="1"/>
  <c r="H9" i="10" s="1"/>
  <c r="I244" i="1"/>
  <c r="I180" i="1"/>
  <c r="I149" i="1"/>
  <c r="H240" i="1"/>
  <c r="I102" i="1"/>
  <c r="I158" i="1"/>
  <c r="I107" i="1"/>
  <c r="I178" i="1"/>
  <c r="I154" i="1"/>
  <c r="I103" i="1"/>
  <c r="I126" i="1"/>
  <c r="I89" i="1"/>
  <c r="I134" i="1"/>
  <c r="I120" i="1"/>
  <c r="I105" i="1"/>
  <c r="H122" i="1"/>
  <c r="C13" i="10" s="1"/>
  <c r="H13" i="10" s="1"/>
  <c r="I132" i="1"/>
  <c r="H59" i="1"/>
  <c r="I161" i="1"/>
  <c r="I202" i="1"/>
  <c r="I217" i="1"/>
  <c r="I188" i="1"/>
  <c r="I230" i="1"/>
  <c r="I226" i="1"/>
  <c r="I144" i="1"/>
  <c r="I153" i="1"/>
  <c r="I167" i="1"/>
  <c r="H150" i="1"/>
  <c r="I111" i="1"/>
  <c r="I117" i="1"/>
  <c r="I40" i="1"/>
  <c r="H164" i="1"/>
  <c r="I92" i="1"/>
  <c r="I112" i="1"/>
  <c r="I118" i="1"/>
  <c r="I162" i="1"/>
  <c r="I79" i="1"/>
  <c r="H94" i="1"/>
  <c r="I168" i="1"/>
  <c r="I227" i="1"/>
  <c r="I251" i="1"/>
  <c r="I121" i="1"/>
  <c r="I186" i="1"/>
  <c r="I201" i="1"/>
  <c r="I177" i="1"/>
  <c r="I243" i="1"/>
  <c r="I135" i="1"/>
  <c r="I90" i="1"/>
  <c r="I214" i="1"/>
  <c r="H108" i="1"/>
  <c r="C12" i="10" s="1"/>
  <c r="H12" i="10" s="1"/>
  <c r="I185" i="1"/>
  <c r="I184" i="1"/>
  <c r="I139" i="1"/>
  <c r="I198" i="1"/>
  <c r="I189" i="1"/>
  <c r="I104" i="1"/>
  <c r="I48" i="1"/>
  <c r="I93" i="1"/>
  <c r="I173" i="1"/>
  <c r="I229" i="1"/>
  <c r="I146" i="1"/>
  <c r="I54" i="1"/>
  <c r="H136" i="1"/>
  <c r="I179" i="1"/>
  <c r="I171" i="1"/>
  <c r="I116" i="1"/>
  <c r="I148" i="1"/>
  <c r="I133" i="1"/>
  <c r="I125" i="1"/>
  <c r="I140" i="1"/>
  <c r="I215" i="1"/>
  <c r="H248" i="1"/>
  <c r="I53" i="1"/>
  <c r="H50" i="1"/>
  <c r="B10" i="10" s="1"/>
  <c r="G10" i="10" s="1"/>
  <c r="H223" i="1"/>
  <c r="B20" i="10" s="1"/>
  <c r="G20" i="10" s="1"/>
  <c r="I39" i="1"/>
  <c r="I57" i="1"/>
  <c r="H155" i="1"/>
  <c r="B16" i="10" s="1"/>
  <c r="G16" i="10" s="1"/>
  <c r="I42" i="1"/>
  <c r="I58" i="1"/>
  <c r="H22" i="1"/>
  <c r="H245" i="1"/>
  <c r="I43" i="1"/>
  <c r="I70" i="1"/>
  <c r="H237" i="1"/>
  <c r="H76" i="1"/>
  <c r="B27" i="10" s="1"/>
  <c r="G27" i="10" s="1"/>
  <c r="H99" i="1"/>
  <c r="B12" i="10" s="1"/>
  <c r="G12" i="10" s="1"/>
  <c r="I73" i="1"/>
  <c r="I72" i="1"/>
  <c r="I71" i="1"/>
  <c r="H181" i="1"/>
  <c r="B17" i="10" s="1"/>
  <c r="G17" i="10" s="1"/>
  <c r="H113" i="1"/>
  <c r="B13" i="10" s="1"/>
  <c r="G13" i="10" s="1"/>
  <c r="I66" i="1"/>
  <c r="H141" i="1"/>
  <c r="B15" i="10" s="1"/>
  <c r="G15" i="10" s="1"/>
  <c r="H127" i="1"/>
  <c r="B14" i="10" s="1"/>
  <c r="G14" i="10" s="1"/>
  <c r="I56" i="1"/>
  <c r="H195" i="1"/>
  <c r="B18" i="10" s="1"/>
  <c r="G18" i="10" s="1"/>
  <c r="I69" i="1"/>
  <c r="H85" i="1"/>
  <c r="B11" i="10" s="1"/>
  <c r="G11" i="10" s="1"/>
  <c r="I41" i="1"/>
  <c r="I49" i="1"/>
  <c r="I62" i="1"/>
  <c r="H36" i="1"/>
  <c r="B9" i="10" s="1"/>
  <c r="G9" i="10" s="1"/>
  <c r="H209" i="1"/>
  <c r="B19" i="10" s="1"/>
  <c r="G19" i="10" s="1"/>
  <c r="I75" i="1"/>
  <c r="I55" i="1"/>
  <c r="I68" i="1"/>
  <c r="I29" i="1"/>
  <c r="I26" i="1"/>
  <c r="I28" i="1"/>
  <c r="I25" i="1"/>
  <c r="I27" i="1"/>
  <c r="I30" i="1"/>
  <c r="F252" i="1"/>
  <c r="C14" i="11" s="1"/>
  <c r="G14" i="11" s="1"/>
  <c r="F35" i="1"/>
  <c r="F63" i="1"/>
  <c r="H63" i="1" s="1"/>
  <c r="I63" i="1" s="1"/>
  <c r="F236" i="1"/>
  <c r="F208" i="1"/>
  <c r="I47" i="1" l="1"/>
  <c r="I45" i="1"/>
  <c r="I46" i="1"/>
  <c r="K10" i="3"/>
  <c r="C17" i="11"/>
  <c r="G17" i="11" s="1"/>
  <c r="I24" i="1"/>
  <c r="B8" i="10"/>
  <c r="G8" i="10" s="1"/>
  <c r="G29" i="10" s="1"/>
  <c r="I95" i="1"/>
  <c r="C11" i="10"/>
  <c r="H11" i="10" s="1"/>
  <c r="I240" i="1"/>
  <c r="C23" i="10"/>
  <c r="H23" i="10" s="1"/>
  <c r="C29" i="11"/>
  <c r="I248" i="1"/>
  <c r="I136" i="1"/>
  <c r="C14" i="10"/>
  <c r="H14" i="10" s="1"/>
  <c r="C15" i="11"/>
  <c r="C27" i="11"/>
  <c r="I150" i="1"/>
  <c r="C15" i="10"/>
  <c r="H15" i="10" s="1"/>
  <c r="I164" i="1"/>
  <c r="C16" i="10"/>
  <c r="H16" i="10" s="1"/>
  <c r="I59" i="1"/>
  <c r="C10" i="10"/>
  <c r="H10" i="10" s="1"/>
  <c r="I94" i="1"/>
  <c r="I249" i="1"/>
  <c r="K17" i="3"/>
  <c r="I138" i="1"/>
  <c r="I241" i="1"/>
  <c r="I183" i="1"/>
  <c r="K16" i="3"/>
  <c r="I124" i="1"/>
  <c r="K12" i="3"/>
  <c r="I242" i="1"/>
  <c r="I123" i="1"/>
  <c r="I61" i="1"/>
  <c r="I87" i="1"/>
  <c r="I60" i="1"/>
  <c r="I78" i="1"/>
  <c r="I247" i="1"/>
  <c r="I157" i="1"/>
  <c r="I225" i="1"/>
  <c r="I250" i="1"/>
  <c r="K15" i="3"/>
  <c r="I110" i="1"/>
  <c r="K18" i="3"/>
  <c r="I152" i="1"/>
  <c r="I151" i="1"/>
  <c r="I108" i="1"/>
  <c r="I101" i="1"/>
  <c r="I129" i="1"/>
  <c r="I239" i="1"/>
  <c r="K19" i="3"/>
  <c r="I166" i="1"/>
  <c r="I211" i="1"/>
  <c r="I197" i="1"/>
  <c r="I143" i="1"/>
  <c r="I115" i="1"/>
  <c r="K14" i="3"/>
  <c r="I96" i="1"/>
  <c r="I109" i="1"/>
  <c r="I137" i="1"/>
  <c r="I165" i="1"/>
  <c r="I122" i="1"/>
  <c r="K11" i="3"/>
  <c r="I38" i="1"/>
  <c r="H252" i="1"/>
  <c r="I252" i="1" s="1"/>
  <c r="I52" i="1"/>
  <c r="F18" i="1"/>
  <c r="F19" i="1"/>
  <c r="J10" i="10" l="1"/>
  <c r="J9" i="10"/>
  <c r="C13" i="11"/>
  <c r="J7" i="10"/>
  <c r="J16" i="10"/>
  <c r="J12" i="10"/>
  <c r="J11" i="10"/>
  <c r="J19" i="10"/>
  <c r="J24" i="10"/>
  <c r="J17" i="10"/>
  <c r="J15" i="10"/>
  <c r="J8" i="10"/>
  <c r="J20" i="10"/>
  <c r="J13" i="10"/>
  <c r="J14" i="10"/>
  <c r="J27" i="10"/>
  <c r="J18" i="10"/>
  <c r="J23" i="10"/>
  <c r="C24" i="10"/>
  <c r="H24" i="10" s="1"/>
  <c r="K8" i="3"/>
  <c r="C30" i="11" l="1"/>
  <c r="F7" i="3"/>
  <c r="G7" i="3" s="1"/>
  <c r="L14" i="3" l="1"/>
  <c r="M14" i="3" s="1"/>
  <c r="L15" i="3"/>
  <c r="L16" i="3"/>
  <c r="M16" i="3" s="1"/>
  <c r="L8" i="3"/>
  <c r="M8" i="3" s="1"/>
  <c r="L10" i="3"/>
  <c r="M10" i="3" s="1"/>
  <c r="L7" i="3"/>
  <c r="L21" i="3"/>
  <c r="L13" i="3"/>
  <c r="L22" i="3"/>
  <c r="L19" i="3"/>
  <c r="M19" i="3" s="1"/>
  <c r="L11" i="3"/>
  <c r="M11" i="3" s="1"/>
  <c r="L23" i="3"/>
  <c r="L12" i="3"/>
  <c r="M12" i="3" s="1"/>
  <c r="L20" i="3"/>
  <c r="L18" i="3"/>
  <c r="M18" i="3" s="1"/>
  <c r="L17" i="3"/>
  <c r="M17" i="3" s="1"/>
  <c r="L9" i="3"/>
  <c r="M15" i="3"/>
  <c r="H194" i="1" l="1"/>
  <c r="H191" i="1"/>
  <c r="H192" i="1"/>
  <c r="H193" i="1"/>
  <c r="I194" i="1" l="1"/>
  <c r="I193" i="1"/>
  <c r="G26" i="11"/>
  <c r="H190" i="1"/>
  <c r="C17" i="10" l="1"/>
  <c r="H17" i="10" s="1"/>
  <c r="I191" i="1"/>
  <c r="I190" i="1"/>
  <c r="I192" i="1"/>
  <c r="K20" i="3"/>
  <c r="M20" i="3" s="1"/>
  <c r="G27" i="11" l="1"/>
  <c r="G28" i="11"/>
  <c r="H236" i="1" l="1"/>
  <c r="H233" i="1"/>
  <c r="H235" i="1"/>
  <c r="H234" i="1"/>
  <c r="H232" i="1" l="1"/>
  <c r="G29" i="11"/>
  <c r="I235" i="1"/>
  <c r="I236" i="1"/>
  <c r="I233" i="1" l="1"/>
  <c r="K23" i="3"/>
  <c r="M23" i="3" s="1"/>
  <c r="I234" i="1"/>
  <c r="I232" i="1"/>
  <c r="C20" i="10"/>
  <c r="H20" i="10" s="1"/>
  <c r="G15" i="11" l="1"/>
  <c r="G13" i="11" l="1"/>
  <c r="G19" i="11" l="1"/>
  <c r="F30" i="11"/>
  <c r="G30" i="11" l="1"/>
  <c r="H219" i="1" l="1"/>
  <c r="H222" i="1"/>
  <c r="H220" i="1"/>
  <c r="H218" i="1"/>
  <c r="H221" i="1"/>
  <c r="I220" i="1" l="1"/>
  <c r="I219" i="1"/>
  <c r="I218" i="1"/>
  <c r="C19" i="10"/>
  <c r="H19" i="10" s="1"/>
  <c r="K22" i="3"/>
  <c r="M22" i="3" s="1"/>
  <c r="I222" i="1"/>
  <c r="I221" i="1"/>
  <c r="H205" i="1"/>
  <c r="H204" i="1"/>
  <c r="H208" i="1"/>
  <c r="H206" i="1"/>
  <c r="H207" i="1"/>
  <c r="I208" i="1" l="1"/>
  <c r="K21" i="3"/>
  <c r="M21" i="3" s="1"/>
  <c r="I204" i="1"/>
  <c r="I206" i="1"/>
  <c r="I205" i="1"/>
  <c r="C18" i="10"/>
  <c r="H18" i="10" s="1"/>
  <c r="I207" i="1"/>
  <c r="H32" i="1" l="1"/>
  <c r="H33" i="1"/>
  <c r="H31" i="1"/>
  <c r="H34" i="1"/>
  <c r="H35" i="1"/>
  <c r="I31" i="1" l="1"/>
  <c r="I33" i="1"/>
  <c r="K9" i="3"/>
  <c r="M9" i="3" s="1"/>
  <c r="I32" i="1"/>
  <c r="C8" i="10"/>
  <c r="H8" i="10" s="1"/>
  <c r="I35" i="1"/>
  <c r="I34" i="1"/>
  <c r="H83" i="1" l="1"/>
  <c r="H81" i="1"/>
  <c r="H82" i="1"/>
  <c r="H84" i="1"/>
  <c r="H80" i="1"/>
  <c r="I84" i="1" l="1"/>
  <c r="I83" i="1"/>
  <c r="K13" i="3"/>
  <c r="M13" i="3" s="1"/>
  <c r="I82" i="1"/>
  <c r="I80" i="1"/>
  <c r="I81" i="1"/>
  <c r="C27" i="10"/>
  <c r="H27" i="10" s="1"/>
  <c r="H18" i="1" l="1"/>
  <c r="H17" i="1"/>
  <c r="H19" i="1"/>
  <c r="H20" i="1"/>
  <c r="H21" i="1"/>
  <c r="I21" i="1" l="1"/>
  <c r="C7" i="10"/>
  <c r="H7" i="10" s="1"/>
  <c r="H29" i="10" s="1"/>
  <c r="I19" i="1"/>
  <c r="I17" i="1"/>
  <c r="K7" i="3"/>
  <c r="M7" i="3" s="1"/>
  <c r="I18" i="1"/>
  <c r="I20" i="1"/>
  <c r="K7" i="10" l="1"/>
  <c r="L7" i="10" s="1"/>
  <c r="H13" i="11" s="1"/>
  <c r="K24" i="10"/>
  <c r="L24" i="10" s="1"/>
  <c r="H14" i="11" s="1"/>
  <c r="K11" i="10"/>
  <c r="L11" i="10" s="1"/>
  <c r="H20" i="11" s="1"/>
  <c r="K8" i="10"/>
  <c r="L8" i="10" s="1"/>
  <c r="H15" i="11" s="1"/>
  <c r="K10" i="10"/>
  <c r="L10" i="10" s="1"/>
  <c r="H17" i="11" s="1"/>
  <c r="K15" i="10"/>
  <c r="L15" i="10" s="1"/>
  <c r="H24" i="11" s="1"/>
  <c r="K23" i="10"/>
  <c r="L23" i="10" s="1"/>
  <c r="H18" i="11" s="1"/>
  <c r="K16" i="10"/>
  <c r="L16" i="10" s="1"/>
  <c r="H25" i="11" s="1"/>
  <c r="K14" i="10"/>
  <c r="L14" i="10" s="1"/>
  <c r="H23" i="11" s="1"/>
  <c r="K19" i="10"/>
  <c r="L19" i="10" s="1"/>
  <c r="H28" i="11" s="1"/>
  <c r="K20" i="10"/>
  <c r="L20" i="10" s="1"/>
  <c r="H29" i="11" s="1"/>
  <c r="K17" i="10"/>
  <c r="L17" i="10" s="1"/>
  <c r="H26" i="11" s="1"/>
  <c r="K13" i="10"/>
  <c r="L13" i="10" s="1"/>
  <c r="H22" i="11" s="1"/>
  <c r="K12" i="10"/>
  <c r="L12" i="10" s="1"/>
  <c r="H21" i="11" s="1"/>
  <c r="K18" i="10"/>
  <c r="L18" i="10" s="1"/>
  <c r="H27" i="11" s="1"/>
  <c r="K27" i="10"/>
  <c r="L27" i="10" s="1"/>
  <c r="H19" i="11" s="1"/>
  <c r="K9" i="10"/>
  <c r="L9" i="10" s="1"/>
  <c r="H16" i="11" s="1"/>
  <c r="M27" i="3"/>
  <c r="M26" i="3"/>
  <c r="I19" i="11" l="1"/>
  <c r="I15" i="11"/>
  <c r="I27" i="11"/>
  <c r="I29" i="11"/>
  <c r="I18" i="11"/>
  <c r="I20" i="11"/>
  <c r="I26" i="11"/>
  <c r="I14" i="11"/>
  <c r="I25" i="11"/>
  <c r="I21" i="11"/>
  <c r="I28" i="11"/>
  <c r="I24" i="11"/>
  <c r="I16" i="11"/>
  <c r="I22" i="11"/>
  <c r="I23" i="11"/>
  <c r="I17" i="11"/>
  <c r="L19" i="11"/>
  <c r="H30" i="11"/>
  <c r="I13" i="11"/>
  <c r="L14" i="11" l="1"/>
  <c r="L29" i="11"/>
  <c r="M15" i="11"/>
  <c r="K26" i="11"/>
  <c r="L20" i="11"/>
  <c r="M29" i="11"/>
  <c r="K19" i="11"/>
  <c r="M28" i="11"/>
  <c r="M27" i="11"/>
  <c r="K25" i="11"/>
  <c r="L24" i="11"/>
  <c r="K16" i="11"/>
  <c r="L18" i="11"/>
  <c r="M23" i="11"/>
  <c r="K27" i="11"/>
  <c r="K21" i="11"/>
  <c r="L28" i="11"/>
  <c r="M25" i="11"/>
  <c r="M18" i="11"/>
  <c r="K23" i="11"/>
  <c r="L21" i="11"/>
  <c r="K17" i="11"/>
  <c r="L22" i="11"/>
  <c r="M17" i="11"/>
  <c r="M22" i="11"/>
  <c r="L23" i="11"/>
  <c r="L16" i="11"/>
  <c r="M26" i="11"/>
  <c r="L25" i="11"/>
  <c r="K18" i="11"/>
  <c r="M16" i="11"/>
  <c r="L26" i="11"/>
  <c r="K28" i="11"/>
  <c r="L27" i="11"/>
  <c r="M19" i="11"/>
  <c r="L17" i="11"/>
  <c r="K22" i="11"/>
  <c r="M21" i="11"/>
  <c r="M14" i="11"/>
  <c r="M24" i="11"/>
  <c r="K20" i="11"/>
  <c r="L15" i="11"/>
  <c r="K14" i="11"/>
  <c r="K24" i="11"/>
  <c r="K29" i="11"/>
  <c r="M20" i="11"/>
  <c r="K15" i="11"/>
  <c r="L13" i="11"/>
  <c r="K13" i="11"/>
  <c r="M13" i="11"/>
  <c r="I30" i="11"/>
  <c r="M30" i="11" s="1"/>
  <c r="L30" i="11" l="1"/>
  <c r="K30" i="11"/>
</calcChain>
</file>

<file path=xl/sharedStrings.xml><?xml version="1.0" encoding="utf-8"?>
<sst xmlns="http://schemas.openxmlformats.org/spreadsheetml/2006/main" count="936" uniqueCount="168">
  <si>
    <t>Reallocations</t>
  </si>
  <si>
    <t>Variable code</t>
  </si>
  <si>
    <t>Variable name</t>
  </si>
  <si>
    <t>_cons</t>
  </si>
  <si>
    <t>Constant</t>
  </si>
  <si>
    <t>Triangulation weights</t>
  </si>
  <si>
    <t>Company</t>
  </si>
  <si>
    <t>Year</t>
  </si>
  <si>
    <t>ANH</t>
  </si>
  <si>
    <t>NES</t>
  </si>
  <si>
    <t>NWT</t>
  </si>
  <si>
    <t>SRN</t>
  </si>
  <si>
    <t>SVT</t>
  </si>
  <si>
    <t>SWT</t>
  </si>
  <si>
    <t>SWB</t>
  </si>
  <si>
    <t>TMS</t>
  </si>
  <si>
    <t>WSH</t>
  </si>
  <si>
    <t>WSX</t>
  </si>
  <si>
    <t>YKY</t>
  </si>
  <si>
    <t>AFW</t>
  </si>
  <si>
    <t>BRL</t>
  </si>
  <si>
    <t>BWH</t>
  </si>
  <si>
    <t>DVW</t>
  </si>
  <si>
    <t>PRT</t>
  </si>
  <si>
    <t>SES</t>
  </si>
  <si>
    <t>SEW</t>
  </si>
  <si>
    <t>SSC</t>
  </si>
  <si>
    <t>SVE</t>
  </si>
  <si>
    <t>HDD</t>
  </si>
  <si>
    <t>Code</t>
  </si>
  <si>
    <t>New connections element of new development (CPs, meters)</t>
  </si>
  <si>
    <t>New developments</t>
  </si>
  <si>
    <t>Data</t>
  </si>
  <si>
    <t>New household connections (000s)</t>
  </si>
  <si>
    <t>New non-household connections (000s)</t>
  </si>
  <si>
    <t>Total new connections (000s)</t>
  </si>
  <si>
    <t>Efficiency challenge</t>
  </si>
  <si>
    <t>Historical</t>
  </si>
  <si>
    <t>Forecast</t>
  </si>
  <si>
    <t>Random effects</t>
  </si>
  <si>
    <t>realW3009CAW</t>
  </si>
  <si>
    <t>realWS2004CAW</t>
  </si>
  <si>
    <t>BP3400</t>
  </si>
  <si>
    <t>BP3405</t>
  </si>
  <si>
    <t>Econometric models - estimated coefficients</t>
  </si>
  <si>
    <t>Dependent variable: New development (and connection) costs (ln, 3-year smoothed)</t>
  </si>
  <si>
    <t>Forecast cost drivers</t>
  </si>
  <si>
    <t xml:space="preserve"> - use for setting allowance</t>
  </si>
  <si>
    <t>Cost driver data (total new connections, 000s)</t>
  </si>
  <si>
    <t>Ofwat forecast</t>
  </si>
  <si>
    <t>Original data</t>
  </si>
  <si>
    <t>Natural log</t>
  </si>
  <si>
    <t xml:space="preserve">Model weights </t>
  </si>
  <si>
    <t>Total</t>
  </si>
  <si>
    <t>Actual costs</t>
  </si>
  <si>
    <t>Triangulated modelled costs</t>
  </si>
  <si>
    <t>Modelled costs</t>
  </si>
  <si>
    <t>Forward looking efficiency score</t>
  </si>
  <si>
    <t>Median</t>
  </si>
  <si>
    <t>Upper quartile</t>
  </si>
  <si>
    <t>Allowance for new developments costs</t>
  </si>
  <si>
    <t>Assessor's name</t>
  </si>
  <si>
    <t>Peer review (initials, date)</t>
  </si>
  <si>
    <t>BoN code</t>
  </si>
  <si>
    <t>Enhancement line</t>
  </si>
  <si>
    <t>Control</t>
  </si>
  <si>
    <t>Wholesale water</t>
  </si>
  <si>
    <t>Capex in business plan - wholesale water</t>
  </si>
  <si>
    <t>Capex reallocated out to other lines</t>
  </si>
  <si>
    <t>Capex reallocated in to this line</t>
  </si>
  <si>
    <t>Net Capex reallocated</t>
  </si>
  <si>
    <t>Capex allowed - wholesale water</t>
  </si>
  <si>
    <t>Proportion of water resources</t>
  </si>
  <si>
    <t>Capex allowed - water resources</t>
  </si>
  <si>
    <t>Capex allowed - network plus</t>
  </si>
  <si>
    <t>Cost challenge (BP+ reallocations)</t>
  </si>
  <si>
    <t>Allowed costs - new developments and connections</t>
  </si>
  <si>
    <t>Global controls</t>
  </si>
  <si>
    <t xml:space="preserve"> - In this sheet we set model weights and efficiency challenge</t>
  </si>
  <si>
    <t>Smoothed connections</t>
  </si>
  <si>
    <t>Company forecast</t>
  </si>
  <si>
    <t>Data for AMP7</t>
  </si>
  <si>
    <t xml:space="preserve">Unit cost weights </t>
  </si>
  <si>
    <t>Unit cost - historical</t>
  </si>
  <si>
    <t>Historical 
modelled costs</t>
  </si>
  <si>
    <t>Forecast 
modelled costs</t>
  </si>
  <si>
    <t>Unit cost view</t>
  </si>
  <si>
    <t>Unit cost - Forecast</t>
  </si>
  <si>
    <t>Mean</t>
  </si>
  <si>
    <t>Mean or Median?</t>
  </si>
  <si>
    <t>re1</t>
  </si>
  <si>
    <t>re2</t>
  </si>
  <si>
    <t xml:space="preserve">Growth cost </t>
  </si>
  <si>
    <t>ln (growth cost)</t>
  </si>
  <si>
    <t>ln (Total new connections (smoothed with reallocations)</t>
  </si>
  <si>
    <t>W3009CAW + WS2004CAW</t>
  </si>
  <si>
    <t>New developments (except connections element)</t>
  </si>
  <si>
    <t>New connections developments</t>
  </si>
  <si>
    <t>New connections developments with reallocations</t>
  </si>
  <si>
    <t>New connections and developments smoothed</t>
  </si>
  <si>
    <t>Total new connections and development costs with reallocations - historical period (2011/12 to 2017/18)</t>
  </si>
  <si>
    <t>Total new connections and development costs with reallocations - AMP7 period (2020/21 to 2024/25)</t>
  </si>
  <si>
    <t>reallocations</t>
  </si>
  <si>
    <t>growthcosts</t>
  </si>
  <si>
    <t>growthcostsmoothed</t>
  </si>
  <si>
    <t>developmentcosts</t>
  </si>
  <si>
    <t>connectionscosts</t>
  </si>
  <si>
    <t>growthcostsreallocation</t>
  </si>
  <si>
    <t>hhnewconnections</t>
  </si>
  <si>
    <t>nhhnewconnections</t>
  </si>
  <si>
    <t>newconnections</t>
  </si>
  <si>
    <t>newconnectionssmoothed</t>
  </si>
  <si>
    <t>lnnewconnectionssmoothed</t>
  </si>
  <si>
    <t>Company forecasts</t>
  </si>
  <si>
    <t>Ofwat Forecast: time trend</t>
  </si>
  <si>
    <t>2011-12</t>
  </si>
  <si>
    <t>2012-13</t>
  </si>
  <si>
    <t>2013-14</t>
  </si>
  <si>
    <t>2014-15</t>
  </si>
  <si>
    <t>2015-16</t>
  </si>
  <si>
    <t>2016-17</t>
  </si>
  <si>
    <t>2017-18</t>
  </si>
  <si>
    <t>2018-19</t>
  </si>
  <si>
    <t>2019-20</t>
  </si>
  <si>
    <t>2020-21</t>
  </si>
  <si>
    <t>2021-22</t>
  </si>
  <si>
    <t>2022-23</t>
  </si>
  <si>
    <t>2023-24</t>
  </si>
  <si>
    <t>2024-25</t>
  </si>
  <si>
    <t>SVH</t>
  </si>
  <si>
    <t>Industry</t>
  </si>
  <si>
    <t>Final decision</t>
  </si>
  <si>
    <t>Hard coded decision</t>
  </si>
  <si>
    <t>Check</t>
  </si>
  <si>
    <t>Time trend</t>
  </si>
  <si>
    <t>000s, Total number of new household connections</t>
  </si>
  <si>
    <t>N/A</t>
  </si>
  <si>
    <t>000s, Total number of new non-household connections</t>
  </si>
  <si>
    <t xml:space="preserve"> &amp; Total number of new household connections &amp; Total number of new non-household connections &amp; </t>
  </si>
  <si>
    <t>Sum driver1</t>
  </si>
  <si>
    <t>Data Validation</t>
  </si>
  <si>
    <t>Rationale:</t>
  </si>
  <si>
    <t>1. Forecast non-households and households together because for some companies non-households forecasts are too spiky and includes negative values (AFW).</t>
  </si>
  <si>
    <t>2. Company forecast for any company where the difference is 10 or less between their forecast and the Ofwat forecast.</t>
  </si>
  <si>
    <t>3. Company forecast for companies where Ofwat overestimates (NWT, TMS, SWB, AFW)</t>
  </si>
  <si>
    <t xml:space="preserve">4. Company forecast for companies where Ofwat underestimates (ANH, SRN, YKY). This is because modelled allowance using companies forecast already means a large haircut on their capex request. </t>
  </si>
  <si>
    <t>Financial year</t>
  </si>
  <si>
    <t>Forecasts</t>
  </si>
  <si>
    <t>Total new connections  - historical period (2011/12 to 2017/18)</t>
  </si>
  <si>
    <t>Total new connections  - AMP7 period (2020/21 to 2024/25)</t>
  </si>
  <si>
    <t>Cover sheet</t>
  </si>
  <si>
    <t>WS2004CAW</t>
  </si>
  <si>
    <t>W3009CAW</t>
  </si>
  <si>
    <t>Modelled Costs (Econometric Approach)</t>
  </si>
  <si>
    <t>Modelled Costs (Unit Cost Approach)</t>
  </si>
  <si>
    <t>Capex after reallocations</t>
  </si>
  <si>
    <t>Modelled Allowance</t>
  </si>
  <si>
    <t>£m 2017-18 prices</t>
  </si>
  <si>
    <t>SS</t>
  </si>
  <si>
    <t xml:space="preserve">Objective </t>
  </si>
  <si>
    <t>Approach</t>
  </si>
  <si>
    <t>MS/YG</t>
  </si>
  <si>
    <t/>
  </si>
  <si>
    <t>To assess enhancement capex expenditure submitted by companies in their PR19 business plan submissions for new developments and new connections element of new developments.</t>
  </si>
  <si>
    <t xml:space="preserve">
We assess the gross costs (i.e. before the impact of grants and contributions from developers) of new developments and the new connections element of new developments in one model. We calculate costs per new connection for each company and use the median value as a benchmark. This is then multiplied by the company view of the number of new connections for the period 2020-21 until 2024-25. We triangulate the industry median cost per new connection for both the historical period of 2011-12 to 2017-18 and the forecast period of 2020-21 to 2024-25. Where companies forecast below our allowance, we reduce the allowance to the company’s forecast. 
For the related developer contributions, we look at the amounts companies anticipate receiving in their business plans. For the water service we assume a recovery rate of 100% for new connections costs i.e. all of those costs are offset by developer contributions. We apply an industry average level of recovery for new development costs. In calculating this, we exclude the impact of a small number of outlier companies. Where these companies make a convincing case for particular circumstances or assumptions, e.g. for the impact of discounts where water efficient appliances and fittings are installed, then we take into account those differences and modify our assumptions accordingly. It is important that we challenge any company assumptions where recovery rates look low compared with the rest of the sector. If we do not, then there is a possibility that customers in general pay for costs which should be covered by developers who are benefiting from expenditure which allows new properties to receive services. Companies assumed lower recovery rates for new development costs than for new connection costs.
</t>
  </si>
  <si>
    <t>We have a stata file: growth_water.do which we use for determining our model coefficients</t>
  </si>
  <si>
    <t>Growth and new developments enhancement feeder model</t>
  </si>
  <si>
    <t>Ofwat forecasts of costs drivers for new connections and new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</si>
</sst>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0.0000"/>
    <numFmt numFmtId="166" formatCode="_-* #,##0.0_-;\-* #,##0.0_-;_-* &quot;-&quot;??_-;_-@_-"/>
    <numFmt numFmtId="167" formatCode="_-* #,##0_-;\-* #,##0_-;_-* &quot;-&quot;??_-;_-@_-"/>
    <numFmt numFmtId="168" formatCode="_-* #,##0.000_-;\-* #,##0.000_-;_-* &quot;-&quot;??_-;_-@_-"/>
    <numFmt numFmtId="169" formatCode="0.0%"/>
    <numFmt numFmtId="170" formatCode="0.0"/>
    <numFmt numFmtId="171" formatCode="0.000"/>
    <numFmt numFmtId="172" formatCode="_(* #,##0.0_);_(* \(#,##0.0\);_(* &quot;-&quot;??_);_(@_)"/>
    <numFmt numFmtId="173" formatCode="#,##0.0"/>
    <numFmt numFmtId="174" formatCode="_-* #,##0.0_-;\-* #,##0.0_-;_-* &quot;-&quot;?_-;_-@_-"/>
  </numFmts>
  <fonts count="43">
    <font>
      <sz val="11"/>
      <color theme="1"/>
      <name val="Arial"/>
      <family val="2"/>
    </font>
    <font>
      <sz val="11"/>
      <color theme="1"/>
      <name val="Arial"/>
      <family val="2"/>
    </font>
    <font>
      <i/>
      <sz val="11"/>
      <color rgb="FF7F7F7F"/>
      <name val="Arial"/>
      <family val="2"/>
    </font>
    <font>
      <sz val="11"/>
      <color theme="1"/>
      <name val="Calibri"/>
      <family val="2"/>
      <scheme val="minor"/>
    </font>
    <font>
      <sz val="10"/>
      <name val="Arial"/>
      <family val="2"/>
    </font>
    <font>
      <sz val="10"/>
      <name val="Calibri  "/>
    </font>
    <font>
      <b/>
      <sz val="10"/>
      <name val="Calibri  "/>
    </font>
    <font>
      <sz val="11"/>
      <color theme="1"/>
      <name val="Calibri  "/>
    </font>
    <font>
      <b/>
      <sz val="12"/>
      <color theme="1"/>
      <name val="Calibri  "/>
    </font>
    <font>
      <b/>
      <sz val="10"/>
      <color theme="1"/>
      <name val="Calibri  "/>
    </font>
    <font>
      <sz val="10"/>
      <color theme="1"/>
      <name val="Calibri  "/>
    </font>
    <font>
      <i/>
      <sz val="10"/>
      <color rgb="FF7F7F7F"/>
      <name val="Calibri  "/>
    </font>
    <font>
      <b/>
      <sz val="10"/>
      <color theme="3"/>
      <name val="Calibri  "/>
    </font>
    <font>
      <sz val="10"/>
      <color theme="3"/>
      <name val="Calibri  "/>
    </font>
    <font>
      <sz val="11"/>
      <color theme="3"/>
      <name val="Calibri  "/>
    </font>
    <font>
      <b/>
      <sz val="8"/>
      <color theme="0"/>
      <name val="Calibri  "/>
    </font>
    <font>
      <b/>
      <sz val="16"/>
      <color theme="0"/>
      <name val="Calibri  "/>
    </font>
    <font>
      <b/>
      <sz val="12"/>
      <color theme="0"/>
      <name val="Calibri  "/>
    </font>
    <font>
      <b/>
      <sz val="14"/>
      <color theme="0"/>
      <name val="Calibri  "/>
    </font>
    <font>
      <sz val="8"/>
      <color theme="1"/>
      <name val="Calibri  "/>
    </font>
    <font>
      <b/>
      <i/>
      <sz val="10"/>
      <color theme="1"/>
      <name val="Calibri  "/>
    </font>
    <font>
      <b/>
      <i/>
      <sz val="10"/>
      <name val="Calibri  "/>
    </font>
    <font>
      <i/>
      <sz val="10"/>
      <color theme="1"/>
      <name val="Calibri  "/>
    </font>
    <font>
      <b/>
      <sz val="11"/>
      <color rgb="FF000000"/>
      <name val="Calibri  "/>
    </font>
    <font>
      <sz val="9"/>
      <color theme="1"/>
      <name val="Calibri  "/>
    </font>
    <font>
      <sz val="11"/>
      <color rgb="FF000000"/>
      <name val="Calibri  "/>
    </font>
    <font>
      <sz val="10"/>
      <color theme="9"/>
      <name val="Calibri  "/>
    </font>
    <font>
      <sz val="10"/>
      <color rgb="FF002060"/>
      <name val="Calibri  "/>
    </font>
    <font>
      <sz val="10"/>
      <color theme="0"/>
      <name val="Calibri  "/>
    </font>
    <font>
      <sz val="11"/>
      <color theme="1"/>
      <name val="Gill Sans MT"/>
      <family val="2"/>
    </font>
    <font>
      <b/>
      <sz val="14"/>
      <color theme="1"/>
      <name val="Gill Sans MT"/>
      <family val="2"/>
    </font>
    <font>
      <sz val="9"/>
      <name val="Gill Sans MT"/>
      <family val="2"/>
    </font>
    <font>
      <sz val="10"/>
      <color theme="1"/>
      <name val="Calibri"/>
      <family val="2"/>
      <scheme val="minor"/>
    </font>
    <font>
      <sz val="14"/>
      <name val="Calibri  "/>
    </font>
    <font>
      <b/>
      <sz val="14"/>
      <name val="Calibri  "/>
    </font>
    <font>
      <b/>
      <sz val="14"/>
      <color theme="3"/>
      <name val="Calibri  "/>
    </font>
    <font>
      <b/>
      <sz val="16"/>
      <name val="Calibri  "/>
    </font>
    <font>
      <sz val="14"/>
      <color theme="3"/>
      <name val="Calibri"/>
      <family val="2"/>
      <scheme val="minor"/>
    </font>
    <font>
      <sz val="12"/>
      <color theme="3"/>
      <name val="Calibri"/>
      <family val="2"/>
      <scheme val="minor"/>
    </font>
    <font>
      <b/>
      <sz val="10"/>
      <color theme="1"/>
      <name val="Calibri"/>
      <family val="2"/>
      <scheme val="minor"/>
    </font>
    <font>
      <b/>
      <u/>
      <sz val="11"/>
      <color rgb="FF000000"/>
      <name val="Calibri"/>
      <family val="2"/>
    </font>
    <font>
      <b/>
      <sz val="11"/>
      <color rgb="FF000000"/>
      <name val="Calibri"/>
      <family val="2"/>
    </font>
    <font>
      <sz val="10"/>
      <color rgb="FF000000"/>
      <name val="Calibri"/>
      <family val="2"/>
    </font>
  </fonts>
  <fills count="1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5"/>
        <bgColor indexed="64"/>
      </patternFill>
    </fill>
    <fill>
      <patternFill patternType="solid">
        <fgColor theme="0"/>
        <bgColor indexed="64"/>
      </patternFill>
    </fill>
    <fill>
      <patternFill patternType="solid">
        <fgColor theme="7" tint="0.59999389629810485"/>
        <bgColor indexed="64"/>
      </patternFill>
    </fill>
    <fill>
      <patternFill patternType="solid">
        <fgColor theme="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
      <left/>
      <right/>
      <top style="thick">
        <color theme="3"/>
      </top>
      <bottom/>
      <diagonal/>
    </border>
    <border>
      <left style="thick">
        <color theme="3"/>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4" fillId="0" borderId="0"/>
    <xf numFmtId="0" fontId="1" fillId="0" borderId="0"/>
    <xf numFmtId="164" fontId="3" fillId="0" borderId="0" applyFont="0" applyFill="0" applyBorder="0" applyAlignment="0" applyProtection="0"/>
    <xf numFmtId="0" fontId="3" fillId="0" borderId="0"/>
  </cellStyleXfs>
  <cellXfs count="259">
    <xf numFmtId="0" fontId="0" fillId="0" borderId="0" xfId="0"/>
    <xf numFmtId="0" fontId="8" fillId="7" borderId="0" xfId="0" applyFont="1" applyFill="1"/>
    <xf numFmtId="0" fontId="9" fillId="7" borderId="0" xfId="0" applyFont="1" applyFill="1"/>
    <xf numFmtId="0" fontId="10" fillId="0" borderId="0" xfId="0" applyFont="1"/>
    <xf numFmtId="0" fontId="10" fillId="8" borderId="3" xfId="0" applyFont="1" applyFill="1" applyBorder="1" applyAlignment="1">
      <alignment horizontal="left"/>
    </xf>
    <xf numFmtId="0" fontId="10" fillId="0" borderId="3" xfId="0" applyFont="1" applyBorder="1" applyAlignment="1"/>
    <xf numFmtId="0" fontId="10" fillId="0" borderId="0" xfId="0" applyFont="1" applyBorder="1" applyAlignment="1"/>
    <xf numFmtId="14" fontId="10" fillId="0" borderId="3" xfId="0" applyNumberFormat="1" applyFont="1" applyBorder="1"/>
    <xf numFmtId="0" fontId="10" fillId="0" borderId="0" xfId="0" applyFont="1" applyBorder="1"/>
    <xf numFmtId="0" fontId="10" fillId="0" borderId="0" xfId="0" applyFont="1" applyBorder="1" applyAlignment="1" applyProtection="1">
      <alignment horizontal="left"/>
      <protection locked="0"/>
    </xf>
    <xf numFmtId="0" fontId="11" fillId="0" borderId="0" xfId="4" applyFont="1"/>
    <xf numFmtId="14" fontId="10" fillId="0" borderId="0" xfId="0" applyNumberFormat="1" applyFont="1" applyBorder="1" applyAlignment="1" applyProtection="1">
      <alignment horizontal="left"/>
      <protection locked="0"/>
    </xf>
    <xf numFmtId="0" fontId="10" fillId="0" borderId="8" xfId="0" applyFont="1" applyBorder="1" applyAlignment="1">
      <alignment vertical="top"/>
    </xf>
    <xf numFmtId="0" fontId="10" fillId="0" borderId="8" xfId="0" applyFont="1" applyBorder="1" applyAlignment="1"/>
    <xf numFmtId="0" fontId="9" fillId="0" borderId="0" xfId="0" applyFont="1"/>
    <xf numFmtId="0" fontId="10" fillId="0" borderId="0" xfId="0" applyFont="1" applyFill="1"/>
    <xf numFmtId="0" fontId="9" fillId="5" borderId="3" xfId="0" applyFont="1" applyFill="1" applyBorder="1" applyAlignment="1">
      <alignment horizontal="left" wrapText="1"/>
    </xf>
    <xf numFmtId="0" fontId="9" fillId="5" borderId="3" xfId="0" quotePrefix="1" applyFont="1" applyFill="1" applyBorder="1" applyAlignment="1">
      <alignment horizontal="left" wrapText="1"/>
    </xf>
    <xf numFmtId="0" fontId="9" fillId="3" borderId="3" xfId="0" applyFont="1" applyFill="1" applyBorder="1" applyAlignment="1">
      <alignment horizontal="left" wrapText="1"/>
    </xf>
    <xf numFmtId="0" fontId="9" fillId="0" borderId="0" xfId="0" applyFont="1" applyFill="1" applyBorder="1" applyAlignment="1">
      <alignment horizontal="left" wrapText="1"/>
    </xf>
    <xf numFmtId="0" fontId="10" fillId="0" borderId="3" xfId="6" applyFont="1" applyBorder="1" applyAlignment="1">
      <alignment horizontal="center"/>
    </xf>
    <xf numFmtId="0" fontId="10" fillId="0" borderId="3" xfId="0" applyFont="1" applyBorder="1"/>
    <xf numFmtId="166" fontId="10" fillId="0" borderId="3" xfId="1" applyNumberFormat="1" applyFont="1" applyBorder="1"/>
    <xf numFmtId="169" fontId="10" fillId="3" borderId="3" xfId="3" applyNumberFormat="1" applyFont="1" applyFill="1" applyBorder="1"/>
    <xf numFmtId="172" fontId="10" fillId="0" borderId="0" xfId="1" applyNumberFormat="1" applyFont="1" applyFill="1" applyBorder="1"/>
    <xf numFmtId="171" fontId="10" fillId="0" borderId="0" xfId="0" applyNumberFormat="1" applyFont="1" applyFill="1" applyBorder="1"/>
    <xf numFmtId="0" fontId="9" fillId="0" borderId="3" xfId="6" applyFont="1" applyBorder="1"/>
    <xf numFmtId="168" fontId="6" fillId="0" borderId="3" xfId="1" applyNumberFormat="1" applyFont="1" applyBorder="1"/>
    <xf numFmtId="166" fontId="6" fillId="0" borderId="3" xfId="1" applyNumberFormat="1" applyFont="1" applyBorder="1"/>
    <xf numFmtId="169" fontId="9" fillId="3" borderId="3" xfId="3" applyNumberFormat="1" applyFont="1" applyFill="1" applyBorder="1"/>
    <xf numFmtId="168" fontId="9" fillId="0" borderId="0" xfId="0" applyNumberFormat="1" applyFont="1" applyFill="1" applyBorder="1"/>
    <xf numFmtId="171" fontId="9" fillId="0" borderId="0" xfId="0" applyNumberFormat="1" applyFont="1" applyFill="1" applyBorder="1"/>
    <xf numFmtId="167" fontId="10" fillId="0" borderId="0" xfId="0" applyNumberFormat="1" applyFont="1"/>
    <xf numFmtId="0" fontId="12" fillId="0" borderId="3" xfId="0" applyFont="1" applyFill="1" applyBorder="1" applyAlignment="1">
      <alignment horizontal="centerContinuous" vertical="center"/>
    </xf>
    <xf numFmtId="0" fontId="10" fillId="0" borderId="3" xfId="0" applyFont="1" applyBorder="1" applyAlignment="1">
      <alignment horizontal="centerContinuous"/>
    </xf>
    <xf numFmtId="9" fontId="10" fillId="6" borderId="3" xfId="3" applyFont="1" applyFill="1" applyBorder="1" applyAlignment="1">
      <alignment horizontal="center" vertical="center" wrapText="1"/>
    </xf>
    <xf numFmtId="0" fontId="10" fillId="0" borderId="3" xfId="0" applyFont="1" applyBorder="1" applyAlignment="1">
      <alignment horizontal="centerContinuous" wrapText="1"/>
    </xf>
    <xf numFmtId="1" fontId="10" fillId="0" borderId="3" xfId="0" applyNumberFormat="1" applyFont="1" applyBorder="1"/>
    <xf numFmtId="170" fontId="10" fillId="0" borderId="3" xfId="0" applyNumberFormat="1" applyFont="1" applyBorder="1"/>
    <xf numFmtId="1" fontId="10" fillId="0" borderId="0" xfId="0" applyNumberFormat="1" applyFont="1"/>
    <xf numFmtId="2" fontId="10" fillId="0" borderId="3" xfId="0" applyNumberFormat="1" applyFont="1" applyBorder="1"/>
    <xf numFmtId="0" fontId="7" fillId="0" borderId="0" xfId="0" applyFont="1"/>
    <xf numFmtId="0" fontId="10" fillId="0" borderId="0" xfId="0" applyFont="1" applyAlignment="1">
      <alignment vertical="center"/>
    </xf>
    <xf numFmtId="0" fontId="10" fillId="0" borderId="3" xfId="0" applyFont="1" applyBorder="1" applyAlignment="1">
      <alignment horizontal="centerContinuous" vertical="center"/>
    </xf>
    <xf numFmtId="0" fontId="9" fillId="0" borderId="0" xfId="0" applyFont="1" applyAlignment="1">
      <alignment vertical="center"/>
    </xf>
    <xf numFmtId="0" fontId="9" fillId="2" borderId="3" xfId="0" applyFont="1" applyFill="1" applyBorder="1" applyAlignment="1">
      <alignment vertical="center" wrapText="1"/>
    </xf>
    <xf numFmtId="0" fontId="9" fillId="3"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9" fillId="3" borderId="3" xfId="0" applyFont="1" applyFill="1" applyBorder="1" applyAlignment="1">
      <alignment horizontal="centerContinuous" vertical="center" wrapText="1"/>
    </xf>
    <xf numFmtId="0" fontId="10" fillId="0" borderId="3" xfId="0" applyFont="1" applyBorder="1" applyAlignment="1">
      <alignment vertical="center"/>
    </xf>
    <xf numFmtId="166" fontId="10" fillId="0" borderId="3" xfId="1" applyNumberFormat="1" applyFont="1" applyBorder="1" applyAlignment="1">
      <alignment vertical="center"/>
    </xf>
    <xf numFmtId="2" fontId="10" fillId="0" borderId="3" xfId="1" applyNumberFormat="1" applyFont="1" applyBorder="1" applyAlignment="1">
      <alignment vertical="center" wrapText="1"/>
    </xf>
    <xf numFmtId="0" fontId="9" fillId="0" borderId="1" xfId="0" applyFont="1" applyBorder="1" applyAlignment="1">
      <alignment vertical="center"/>
    </xf>
    <xf numFmtId="0" fontId="9" fillId="0" borderId="2" xfId="0" applyFont="1" applyBorder="1" applyAlignment="1">
      <alignment vertical="center"/>
    </xf>
    <xf numFmtId="164" fontId="9" fillId="0" borderId="4" xfId="1" applyFont="1" applyBorder="1" applyAlignment="1">
      <alignment vertical="center"/>
    </xf>
    <xf numFmtId="166" fontId="10" fillId="0" borderId="0" xfId="0" applyNumberFormat="1" applyFont="1" applyAlignment="1">
      <alignment vertical="center"/>
    </xf>
    <xf numFmtId="0" fontId="10" fillId="0" borderId="0" xfId="0" applyFont="1" applyFill="1" applyAlignment="1">
      <alignment vertical="center"/>
    </xf>
    <xf numFmtId="174" fontId="10" fillId="0" borderId="0" xfId="0" applyNumberFormat="1" applyFont="1" applyFill="1" applyAlignment="1">
      <alignment vertical="center"/>
    </xf>
    <xf numFmtId="0" fontId="13" fillId="0" borderId="0" xfId="0" applyFont="1"/>
    <xf numFmtId="0" fontId="9" fillId="0" borderId="1" xfId="0" applyFont="1" applyBorder="1" applyAlignment="1">
      <alignment horizontal="centerContinuous"/>
    </xf>
    <xf numFmtId="0" fontId="9" fillId="0" borderId="4" xfId="0" applyFont="1" applyBorder="1" applyAlignment="1">
      <alignment horizontal="centerContinuous"/>
    </xf>
    <xf numFmtId="0" fontId="9" fillId="2" borderId="3" xfId="0" applyFont="1" applyFill="1" applyBorder="1" applyAlignment="1">
      <alignment wrapText="1"/>
    </xf>
    <xf numFmtId="0" fontId="9" fillId="0" borderId="3" xfId="0" applyFont="1" applyBorder="1" applyAlignment="1">
      <alignment horizontal="center" wrapText="1"/>
    </xf>
    <xf numFmtId="0" fontId="10" fillId="2" borderId="3" xfId="0" applyFont="1" applyFill="1" applyBorder="1" applyAlignment="1">
      <alignment vertical="center"/>
    </xf>
    <xf numFmtId="2" fontId="10" fillId="0" borderId="3" xfId="1" applyNumberFormat="1" applyFont="1" applyBorder="1"/>
    <xf numFmtId="0" fontId="10" fillId="2" borderId="3" xfId="0" applyFont="1" applyFill="1" applyBorder="1"/>
    <xf numFmtId="166" fontId="10" fillId="0" borderId="0" xfId="0" applyNumberFormat="1" applyFont="1"/>
    <xf numFmtId="0" fontId="14" fillId="10" borderId="0" xfId="5" applyFont="1" applyFill="1"/>
    <xf numFmtId="0" fontId="15" fillId="10" borderId="9" xfId="5" applyFont="1" applyFill="1" applyBorder="1"/>
    <xf numFmtId="0" fontId="7" fillId="0" borderId="0" xfId="5" applyFont="1"/>
    <xf numFmtId="0" fontId="16" fillId="0" borderId="0" xfId="5" applyFont="1" applyFill="1" applyBorder="1"/>
    <xf numFmtId="0" fontId="14" fillId="0" borderId="0" xfId="5" applyFont="1" applyFill="1"/>
    <xf numFmtId="0" fontId="15" fillId="0" borderId="0" xfId="5" applyFont="1" applyFill="1" applyBorder="1"/>
    <xf numFmtId="0" fontId="17" fillId="0" borderId="0" xfId="5" applyFont="1" applyFill="1" applyBorder="1"/>
    <xf numFmtId="0" fontId="18" fillId="13" borderId="0" xfId="5" applyFont="1" applyFill="1" applyAlignment="1">
      <alignment horizontal="left"/>
    </xf>
    <xf numFmtId="0" fontId="7" fillId="13" borderId="0" xfId="5" applyFont="1" applyFill="1"/>
    <xf numFmtId="0" fontId="15" fillId="13" borderId="0" xfId="5" applyFont="1" applyFill="1"/>
    <xf numFmtId="0" fontId="10" fillId="14" borderId="0" xfId="5" applyFont="1" applyFill="1" applyBorder="1" applyAlignment="1">
      <alignment horizontal="left" vertical="top"/>
    </xf>
    <xf numFmtId="0" fontId="19" fillId="0" borderId="0" xfId="5" applyFont="1"/>
    <xf numFmtId="0" fontId="10" fillId="0" borderId="0" xfId="5" applyFont="1" applyAlignment="1">
      <alignment vertical="center"/>
    </xf>
    <xf numFmtId="3" fontId="6" fillId="5" borderId="1" xfId="9" applyNumberFormat="1" applyFont="1" applyFill="1" applyBorder="1" applyAlignment="1">
      <alignment horizontal="centerContinuous" vertical="center"/>
    </xf>
    <xf numFmtId="3" fontId="6" fillId="5" borderId="2" xfId="9" applyNumberFormat="1" applyFont="1" applyFill="1" applyBorder="1" applyAlignment="1">
      <alignment horizontal="centerContinuous" vertical="center"/>
    </xf>
    <xf numFmtId="3" fontId="6" fillId="5" borderId="4" xfId="9" applyNumberFormat="1" applyFont="1" applyFill="1" applyBorder="1" applyAlignment="1">
      <alignment horizontal="centerContinuous" vertical="center"/>
    </xf>
    <xf numFmtId="0" fontId="9" fillId="11" borderId="2" xfId="5" applyFont="1" applyFill="1" applyBorder="1" applyAlignment="1">
      <alignment horizontal="centerContinuous"/>
    </xf>
    <xf numFmtId="0" fontId="9" fillId="11" borderId="4" xfId="5" applyFont="1" applyFill="1" applyBorder="1" applyAlignment="1">
      <alignment horizontal="centerContinuous"/>
    </xf>
    <xf numFmtId="0" fontId="9" fillId="6" borderId="1" xfId="5" applyFont="1" applyFill="1" applyBorder="1" applyAlignment="1">
      <alignment horizontal="centerContinuous"/>
    </xf>
    <xf numFmtId="0" fontId="9" fillId="6" borderId="2" xfId="5" applyFont="1" applyFill="1" applyBorder="1" applyAlignment="1">
      <alignment horizontal="centerContinuous"/>
    </xf>
    <xf numFmtId="0" fontId="9" fillId="6" borderId="4" xfId="5" applyFont="1" applyFill="1" applyBorder="1" applyAlignment="1">
      <alignment horizontal="centerContinuous"/>
    </xf>
    <xf numFmtId="0" fontId="9" fillId="3" borderId="1" xfId="5" applyFont="1" applyFill="1" applyBorder="1" applyAlignment="1">
      <alignment horizontal="centerContinuous"/>
    </xf>
    <xf numFmtId="0" fontId="9" fillId="3" borderId="2" xfId="5" applyFont="1" applyFill="1" applyBorder="1" applyAlignment="1">
      <alignment horizontal="centerContinuous"/>
    </xf>
    <xf numFmtId="0" fontId="9" fillId="3" borderId="4" xfId="5" applyFont="1" applyFill="1" applyBorder="1" applyAlignment="1">
      <alignment horizontal="centerContinuous"/>
    </xf>
    <xf numFmtId="0" fontId="7" fillId="0" borderId="0" xfId="5" applyFont="1" applyBorder="1"/>
    <xf numFmtId="0" fontId="9" fillId="0" borderId="3" xfId="5" applyFont="1" applyBorder="1" applyAlignment="1">
      <alignment horizontal="right" wrapText="1"/>
    </xf>
    <xf numFmtId="0" fontId="9" fillId="5" borderId="5" xfId="5" applyFont="1" applyFill="1" applyBorder="1" applyAlignment="1">
      <alignment horizontal="right"/>
    </xf>
    <xf numFmtId="3" fontId="6" fillId="11" borderId="1" xfId="9" applyNumberFormat="1" applyFont="1" applyFill="1" applyBorder="1" applyAlignment="1">
      <alignment horizontal="right"/>
    </xf>
    <xf numFmtId="0" fontId="9" fillId="6" borderId="3" xfId="5" applyFont="1" applyFill="1" applyBorder="1" applyAlignment="1">
      <alignment horizontal="right"/>
    </xf>
    <xf numFmtId="0" fontId="9" fillId="3" borderId="3" xfId="5" applyFont="1" applyFill="1" applyBorder="1" applyAlignment="1">
      <alignment horizontal="center"/>
    </xf>
    <xf numFmtId="0" fontId="20" fillId="0" borderId="7" xfId="5" applyFont="1" applyBorder="1" applyAlignment="1">
      <alignment horizontal="right"/>
    </xf>
    <xf numFmtId="0" fontId="20" fillId="0" borderId="3" xfId="5" applyFont="1" applyBorder="1" applyAlignment="1">
      <alignment horizontal="right"/>
    </xf>
    <xf numFmtId="3" fontId="21" fillId="11" borderId="1" xfId="9" applyNumberFormat="1" applyFont="1" applyFill="1" applyBorder="1" applyAlignment="1">
      <alignment horizontal="right"/>
    </xf>
    <xf numFmtId="0" fontId="20" fillId="6" borderId="3" xfId="5" applyFont="1" applyFill="1" applyBorder="1" applyAlignment="1">
      <alignment horizontal="right"/>
    </xf>
    <xf numFmtId="0" fontId="20" fillId="3" borderId="3" xfId="5" applyFont="1" applyFill="1" applyBorder="1" applyAlignment="1">
      <alignment horizontal="right"/>
    </xf>
    <xf numFmtId="0" fontId="22" fillId="0" borderId="0" xfId="5" applyFont="1" applyFill="1" applyBorder="1"/>
    <xf numFmtId="171" fontId="24" fillId="0" borderId="3" xfId="5" applyNumberFormat="1" applyFont="1" applyBorder="1" applyAlignment="1">
      <alignment vertical="center" wrapText="1"/>
    </xf>
    <xf numFmtId="173" fontId="5" fillId="5" borderId="1" xfId="9" applyNumberFormat="1" applyFont="1" applyFill="1" applyBorder="1" applyAlignment="1">
      <alignment vertical="center"/>
    </xf>
    <xf numFmtId="173" fontId="5" fillId="11" borderId="1" xfId="9" applyNumberFormat="1" applyFont="1" applyFill="1" applyBorder="1" applyAlignment="1">
      <alignment vertical="center"/>
    </xf>
    <xf numFmtId="173" fontId="10" fillId="6" borderId="3" xfId="9" applyNumberFormat="1" applyFont="1" applyFill="1" applyBorder="1"/>
    <xf numFmtId="170" fontId="10" fillId="3" borderId="3" xfId="9" applyNumberFormat="1" applyFont="1" applyFill="1" applyBorder="1"/>
    <xf numFmtId="0" fontId="10" fillId="0" borderId="0" xfId="5" applyFont="1" applyFill="1" applyBorder="1" applyAlignment="1">
      <alignment horizontal="center"/>
    </xf>
    <xf numFmtId="0" fontId="10" fillId="6" borderId="3" xfId="5" applyFont="1" applyFill="1" applyBorder="1" applyAlignment="1">
      <alignment horizontal="center"/>
    </xf>
    <xf numFmtId="0" fontId="5" fillId="6" borderId="3" xfId="5" applyFont="1" applyFill="1" applyBorder="1" applyAlignment="1">
      <alignment horizontal="center"/>
    </xf>
    <xf numFmtId="0" fontId="10" fillId="0" borderId="3" xfId="5" applyFont="1" applyBorder="1" applyAlignment="1">
      <alignment horizontal="center" wrapText="1"/>
    </xf>
    <xf numFmtId="173" fontId="5" fillId="6" borderId="1" xfId="9" applyNumberFormat="1" applyFont="1" applyFill="1" applyBorder="1" applyAlignment="1">
      <alignment vertical="center"/>
    </xf>
    <xf numFmtId="173" fontId="5" fillId="3" borderId="1" xfId="9" applyNumberFormat="1" applyFont="1" applyFill="1" applyBorder="1" applyAlignment="1">
      <alignment vertical="center"/>
    </xf>
    <xf numFmtId="2" fontId="24" fillId="12" borderId="3" xfId="5" applyNumberFormat="1" applyFont="1" applyFill="1" applyBorder="1" applyAlignment="1">
      <alignment vertical="center" wrapText="1"/>
    </xf>
    <xf numFmtId="171" fontId="24" fillId="12" borderId="10" xfId="5" applyNumberFormat="1" applyFont="1" applyFill="1" applyBorder="1" applyAlignment="1">
      <alignment vertical="center" wrapText="1"/>
    </xf>
    <xf numFmtId="173" fontId="10" fillId="15" borderId="3" xfId="9" applyNumberFormat="1" applyFont="1" applyFill="1" applyBorder="1"/>
    <xf numFmtId="171" fontId="24" fillId="0" borderId="4" xfId="5" applyNumberFormat="1" applyFont="1" applyFill="1" applyBorder="1" applyAlignment="1">
      <alignment vertical="center" wrapText="1"/>
    </xf>
    <xf numFmtId="170" fontId="9" fillId="0" borderId="3" xfId="5" applyNumberFormat="1" applyFont="1" applyBorder="1" applyAlignment="1">
      <alignment vertical="center" wrapText="1"/>
    </xf>
    <xf numFmtId="3" fontId="9" fillId="5" borderId="3" xfId="5" applyNumberFormat="1" applyFont="1" applyFill="1" applyBorder="1" applyAlignment="1">
      <alignment vertical="center" wrapText="1"/>
    </xf>
    <xf numFmtId="3" fontId="9" fillId="11" borderId="3" xfId="5" applyNumberFormat="1" applyFont="1" applyFill="1" applyBorder="1" applyAlignment="1">
      <alignment vertical="center" wrapText="1"/>
    </xf>
    <xf numFmtId="3" fontId="9" fillId="6" borderId="3" xfId="5" applyNumberFormat="1" applyFont="1" applyFill="1" applyBorder="1" applyAlignment="1">
      <alignment vertical="center" wrapText="1"/>
    </xf>
    <xf numFmtId="172" fontId="9" fillId="3" borderId="3" xfId="9" applyNumberFormat="1" applyFont="1" applyFill="1" applyBorder="1"/>
    <xf numFmtId="3" fontId="10" fillId="0" borderId="0" xfId="5" applyNumberFormat="1" applyFont="1"/>
    <xf numFmtId="0" fontId="26" fillId="0" borderId="0" xfId="5" applyFont="1" applyFill="1" applyBorder="1" applyAlignment="1">
      <alignment horizontal="center"/>
    </xf>
    <xf numFmtId="0" fontId="10" fillId="0" borderId="0" xfId="5" applyFont="1" applyFill="1" applyBorder="1" applyAlignment="1">
      <alignment horizontal="center" wrapText="1"/>
    </xf>
    <xf numFmtId="0" fontId="9" fillId="11" borderId="1" xfId="5" applyFont="1" applyFill="1" applyBorder="1" applyAlignment="1">
      <alignment horizontal="centerContinuous"/>
    </xf>
    <xf numFmtId="0" fontId="9" fillId="11" borderId="3" xfId="5" applyFont="1" applyFill="1" applyBorder="1" applyAlignment="1">
      <alignment horizontal="right"/>
    </xf>
    <xf numFmtId="4" fontId="5" fillId="5" borderId="1" xfId="9" applyNumberFormat="1" applyFont="1" applyFill="1" applyBorder="1" applyAlignment="1">
      <alignment vertical="center"/>
    </xf>
    <xf numFmtId="4" fontId="5" fillId="11" borderId="1" xfId="9" applyNumberFormat="1" applyFont="1" applyFill="1" applyBorder="1" applyAlignment="1">
      <alignment vertical="center"/>
    </xf>
    <xf numFmtId="4" fontId="10" fillId="6" borderId="3" xfId="9" applyNumberFormat="1" applyFont="1" applyFill="1" applyBorder="1"/>
    <xf numFmtId="2" fontId="10" fillId="3" borderId="3" xfId="9" applyNumberFormat="1" applyFont="1" applyFill="1" applyBorder="1"/>
    <xf numFmtId="4" fontId="5" fillId="6" borderId="1" xfId="9" applyNumberFormat="1" applyFont="1" applyFill="1" applyBorder="1" applyAlignment="1">
      <alignment vertical="center"/>
    </xf>
    <xf numFmtId="4" fontId="10" fillId="15" borderId="3" xfId="9" applyNumberFormat="1" applyFont="1" applyFill="1" applyBorder="1"/>
    <xf numFmtId="0" fontId="7" fillId="0" borderId="0" xfId="5" applyFont="1" applyFill="1"/>
    <xf numFmtId="4" fontId="9" fillId="5" borderId="3" xfId="5" applyNumberFormat="1" applyFont="1" applyFill="1" applyBorder="1" applyAlignment="1">
      <alignment vertical="center" wrapText="1"/>
    </xf>
    <xf numFmtId="4" fontId="9" fillId="11" borderId="3" xfId="5" applyNumberFormat="1" applyFont="1" applyFill="1" applyBorder="1" applyAlignment="1">
      <alignment vertical="center" wrapText="1"/>
    </xf>
    <xf numFmtId="4" fontId="9" fillId="6" borderId="3" xfId="5" applyNumberFormat="1" applyFont="1" applyFill="1" applyBorder="1" applyAlignment="1">
      <alignment vertical="center" wrapText="1"/>
    </xf>
    <xf numFmtId="0" fontId="18" fillId="0" borderId="0" xfId="5" applyFont="1" applyFill="1" applyBorder="1" applyAlignment="1">
      <alignment horizontal="left"/>
    </xf>
    <xf numFmtId="0" fontId="7" fillId="0" borderId="0" xfId="5" applyFont="1" applyFill="1" applyBorder="1"/>
    <xf numFmtId="0" fontId="10" fillId="0" borderId="0" xfId="5" applyFont="1" applyFill="1" applyBorder="1" applyAlignment="1">
      <alignment horizontal="left" vertical="top"/>
    </xf>
    <xf numFmtId="0" fontId="19" fillId="0" borderId="0" xfId="5" applyFont="1" applyFill="1" applyBorder="1"/>
    <xf numFmtId="0" fontId="10" fillId="0" borderId="0" xfId="5" applyFont="1" applyFill="1" applyBorder="1" applyAlignment="1">
      <alignment vertical="center"/>
    </xf>
    <xf numFmtId="3" fontId="6" fillId="0" borderId="0" xfId="9" applyNumberFormat="1" applyFont="1" applyFill="1" applyBorder="1" applyAlignment="1">
      <alignment horizontal="centerContinuous" vertical="center"/>
    </xf>
    <xf numFmtId="0" fontId="9" fillId="0" borderId="0" xfId="5" applyFont="1" applyFill="1" applyBorder="1" applyAlignment="1">
      <alignment horizontal="centerContinuous"/>
    </xf>
    <xf numFmtId="0" fontId="9" fillId="0" borderId="0" xfId="5" applyFont="1" applyFill="1" applyBorder="1" applyAlignment="1">
      <alignment horizontal="left" wrapText="1"/>
    </xf>
    <xf numFmtId="0" fontId="9" fillId="0" borderId="0" xfId="5" applyFont="1" applyFill="1" applyBorder="1" applyAlignment="1">
      <alignment horizontal="right"/>
    </xf>
    <xf numFmtId="0" fontId="9" fillId="0" borderId="0" xfId="5" applyFont="1" applyFill="1" applyBorder="1" applyAlignment="1">
      <alignment horizontal="center"/>
    </xf>
    <xf numFmtId="0" fontId="10" fillId="0" borderId="0" xfId="5" applyFont="1" applyFill="1" applyBorder="1" applyAlignment="1">
      <alignment horizontal="left"/>
    </xf>
    <xf numFmtId="0" fontId="10" fillId="0" borderId="0" xfId="5" applyFont="1" applyFill="1" applyBorder="1" applyAlignment="1">
      <alignment horizontal="right"/>
    </xf>
    <xf numFmtId="0" fontId="20" fillId="0" borderId="0" xfId="5" applyFont="1" applyFill="1" applyBorder="1" applyAlignment="1">
      <alignment horizontal="right"/>
    </xf>
    <xf numFmtId="3" fontId="21" fillId="0" borderId="0" xfId="9" applyNumberFormat="1" applyFont="1" applyFill="1" applyBorder="1" applyAlignment="1">
      <alignment horizontal="right"/>
    </xf>
    <xf numFmtId="171" fontId="10" fillId="0" borderId="0" xfId="5" applyNumberFormat="1" applyFont="1" applyFill="1" applyBorder="1" applyAlignment="1">
      <alignment horizontal="left" vertical="center" wrapText="1"/>
    </xf>
    <xf numFmtId="3" fontId="5" fillId="0" borderId="0" xfId="9" applyNumberFormat="1" applyFont="1" applyFill="1" applyBorder="1" applyAlignment="1">
      <alignment vertical="center"/>
    </xf>
    <xf numFmtId="3" fontId="10" fillId="0" borderId="0" xfId="9" applyNumberFormat="1" applyFont="1" applyFill="1" applyBorder="1"/>
    <xf numFmtId="172" fontId="10" fillId="0" borderId="0" xfId="9" applyNumberFormat="1" applyFont="1" applyFill="1" applyBorder="1"/>
    <xf numFmtId="171" fontId="10" fillId="0" borderId="0" xfId="5" applyNumberFormat="1" applyFont="1" applyFill="1" applyBorder="1" applyAlignment="1">
      <alignment vertical="center" wrapText="1"/>
    </xf>
    <xf numFmtId="170" fontId="9" fillId="0" borderId="0" xfId="5" applyNumberFormat="1" applyFont="1" applyFill="1" applyBorder="1" applyAlignment="1">
      <alignment vertical="center" wrapText="1"/>
    </xf>
    <xf numFmtId="3" fontId="9" fillId="0" borderId="0" xfId="5" applyNumberFormat="1" applyFont="1" applyFill="1" applyBorder="1" applyAlignment="1">
      <alignment vertical="center" wrapText="1"/>
    </xf>
    <xf numFmtId="172" fontId="9" fillId="0" borderId="0" xfId="9" applyNumberFormat="1" applyFont="1" applyFill="1" applyBorder="1"/>
    <xf numFmtId="3" fontId="10" fillId="0" borderId="0" xfId="5" applyNumberFormat="1" applyFont="1" applyFill="1" applyBorder="1"/>
    <xf numFmtId="0" fontId="9" fillId="0" borderId="0" xfId="5" applyFont="1" applyFill="1" applyBorder="1" applyAlignment="1">
      <alignment horizontal="right" wrapText="1"/>
    </xf>
    <xf numFmtId="3" fontId="6" fillId="0" borderId="0" xfId="9" applyNumberFormat="1" applyFont="1" applyFill="1" applyBorder="1" applyAlignment="1">
      <alignment horizontal="right" wrapText="1"/>
    </xf>
    <xf numFmtId="0" fontId="9" fillId="0" borderId="0" xfId="2" applyFont="1" applyFill="1"/>
    <xf numFmtId="0" fontId="9" fillId="0" borderId="0" xfId="0" applyFont="1" applyFill="1" applyAlignment="1">
      <alignment horizontal="left" vertical="top" wrapText="1"/>
    </xf>
    <xf numFmtId="0" fontId="10" fillId="0" borderId="0" xfId="2" applyFont="1" applyFill="1"/>
    <xf numFmtId="0" fontId="9" fillId="0" borderId="3" xfId="0" applyFont="1" applyBorder="1" applyAlignment="1">
      <alignment horizontal="centerContinuous"/>
    </xf>
    <xf numFmtId="0" fontId="9" fillId="0" borderId="3" xfId="0" applyFont="1" applyBorder="1"/>
    <xf numFmtId="0" fontId="10" fillId="0" borderId="3" xfId="0" applyFont="1" applyBorder="1" applyAlignment="1">
      <alignment horizontal="left"/>
    </xf>
    <xf numFmtId="0" fontId="10" fillId="0" borderId="3" xfId="2" applyFont="1" applyFill="1" applyBorder="1"/>
    <xf numFmtId="165" fontId="10" fillId="0" borderId="3" xfId="0" applyNumberFormat="1" applyFont="1" applyFill="1" applyBorder="1" applyAlignment="1">
      <alignment vertical="center"/>
    </xf>
    <xf numFmtId="0" fontId="9" fillId="0" borderId="0" xfId="0" applyFont="1" applyFill="1"/>
    <xf numFmtId="0" fontId="24" fillId="0" borderId="0" xfId="0" applyFont="1" applyFill="1" applyAlignment="1">
      <alignment horizontal="right"/>
    </xf>
    <xf numFmtId="166" fontId="24" fillId="0" borderId="0" xfId="0" applyNumberFormat="1" applyFont="1" applyFill="1" applyAlignment="1">
      <alignment horizontal="right"/>
    </xf>
    <xf numFmtId="2" fontId="10" fillId="0" borderId="0" xfId="0" applyNumberFormat="1" applyFont="1" applyFill="1"/>
    <xf numFmtId="0" fontId="27" fillId="9" borderId="0" xfId="0" applyFont="1" applyFill="1"/>
    <xf numFmtId="0" fontId="10" fillId="9" borderId="0" xfId="0" applyFont="1" applyFill="1"/>
    <xf numFmtId="0" fontId="27" fillId="9" borderId="0" xfId="0" quotePrefix="1" applyFont="1" applyFill="1"/>
    <xf numFmtId="0" fontId="10" fillId="0" borderId="3" xfId="0" applyFont="1" applyBorder="1" applyAlignment="1">
      <alignment horizontal="center"/>
    </xf>
    <xf numFmtId="0" fontId="10" fillId="0" borderId="0" xfId="0" applyFont="1" applyBorder="1" applyAlignment="1">
      <alignment horizontal="centerContinuous"/>
    </xf>
    <xf numFmtId="9" fontId="10" fillId="0" borderId="3" xfId="0" applyNumberFormat="1" applyFont="1" applyBorder="1"/>
    <xf numFmtId="9" fontId="10" fillId="0" borderId="0" xfId="0" applyNumberFormat="1" applyFont="1" applyBorder="1"/>
    <xf numFmtId="164" fontId="10" fillId="0" borderId="3" xfId="0" applyNumberFormat="1" applyFont="1" applyBorder="1" applyAlignment="1">
      <alignment horizontal="center"/>
    </xf>
    <xf numFmtId="9" fontId="10" fillId="0" borderId="3" xfId="0" applyNumberFormat="1" applyFont="1" applyBorder="1" applyAlignment="1">
      <alignment horizontal="center"/>
    </xf>
    <xf numFmtId="0" fontId="28" fillId="0" borderId="0" xfId="0" applyFont="1"/>
    <xf numFmtId="0" fontId="29" fillId="0" borderId="0" xfId="0" applyFont="1"/>
    <xf numFmtId="0" fontId="29" fillId="0" borderId="0" xfId="0" applyFont="1" applyAlignment="1">
      <alignment horizontal="center" vertical="center"/>
    </xf>
    <xf numFmtId="0" fontId="30" fillId="7" borderId="1" xfId="10" applyFont="1" applyFill="1" applyBorder="1"/>
    <xf numFmtId="0" fontId="31" fillId="7" borderId="2" xfId="7" applyFont="1" applyFill="1" applyBorder="1"/>
    <xf numFmtId="168" fontId="32" fillId="0" borderId="3" xfId="9" applyNumberFormat="1" applyFont="1" applyBorder="1"/>
    <xf numFmtId="168" fontId="32" fillId="0" borderId="3" xfId="9" applyNumberFormat="1" applyFont="1" applyFill="1" applyBorder="1"/>
    <xf numFmtId="0" fontId="33" fillId="9" borderId="0" xfId="0" applyFont="1" applyFill="1" applyAlignment="1">
      <alignment vertical="center"/>
    </xf>
    <xf numFmtId="0" fontId="34" fillId="0" borderId="0" xfId="0" applyFont="1" applyFill="1" applyBorder="1"/>
    <xf numFmtId="0" fontId="35" fillId="0" borderId="0" xfId="0" applyFont="1"/>
    <xf numFmtId="0" fontId="36" fillId="0" borderId="0" xfId="0" applyFont="1" applyAlignment="1">
      <alignment vertical="center"/>
    </xf>
    <xf numFmtId="0" fontId="37"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2" fillId="0" borderId="0" xfId="0" applyFont="1"/>
    <xf numFmtId="0" fontId="39" fillId="15" borderId="3" xfId="0" applyFont="1" applyFill="1" applyBorder="1" applyAlignment="1">
      <alignment vertical="top" wrapText="1"/>
    </xf>
    <xf numFmtId="0" fontId="10" fillId="0" borderId="3" xfId="0" applyFont="1" applyFill="1" applyBorder="1" applyAlignment="1">
      <alignment vertical="center"/>
    </xf>
    <xf numFmtId="0" fontId="10" fillId="0" borderId="3" xfId="0" applyFont="1" applyFill="1" applyBorder="1"/>
    <xf numFmtId="0" fontId="10" fillId="2" borderId="1"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0" borderId="0" xfId="0" applyFont="1" applyAlignment="1">
      <alignment horizontal="right"/>
    </xf>
    <xf numFmtId="0" fontId="10" fillId="3" borderId="3" xfId="0" applyFont="1" applyFill="1" applyBorder="1" applyAlignment="1">
      <alignment wrapText="1"/>
    </xf>
    <xf numFmtId="167" fontId="10" fillId="0" borderId="3" xfId="1" applyNumberFormat="1" applyFont="1" applyFill="1" applyBorder="1"/>
    <xf numFmtId="166" fontId="10" fillId="0" borderId="3" xfId="1" applyNumberFormat="1" applyFont="1" applyFill="1" applyBorder="1"/>
    <xf numFmtId="166" fontId="10" fillId="0" borderId="3" xfId="0" applyNumberFormat="1" applyFont="1" applyFill="1" applyBorder="1"/>
    <xf numFmtId="43" fontId="10" fillId="0" borderId="3" xfId="1" applyNumberFormat="1" applyFont="1" applyFill="1" applyBorder="1"/>
    <xf numFmtId="0" fontId="40" fillId="2" borderId="12" xfId="0" applyFont="1" applyFill="1" applyBorder="1"/>
    <xf numFmtId="0" fontId="29" fillId="2" borderId="13" xfId="0" applyFont="1" applyFill="1" applyBorder="1"/>
    <xf numFmtId="0" fontId="41" fillId="2" borderId="13" xfId="0" applyFont="1" applyFill="1" applyBorder="1"/>
    <xf numFmtId="0" fontId="42" fillId="2" borderId="14" xfId="0" applyFont="1" applyFill="1" applyBorder="1" applyAlignment="1">
      <alignment wrapText="1"/>
    </xf>
    <xf numFmtId="0" fontId="42" fillId="2" borderId="13" xfId="0" applyFont="1" applyFill="1" applyBorder="1" applyAlignment="1">
      <alignment wrapText="1"/>
    </xf>
    <xf numFmtId="0" fontId="23" fillId="0" borderId="15" xfId="0" applyFont="1" applyBorder="1"/>
    <xf numFmtId="0" fontId="7" fillId="0" borderId="16" xfId="5" applyFont="1" applyBorder="1"/>
    <xf numFmtId="0" fontId="7" fillId="0" borderId="17" xfId="5" applyFont="1" applyBorder="1"/>
    <xf numFmtId="0" fontId="23" fillId="0" borderId="15" xfId="0" applyFont="1" applyBorder="1" applyAlignment="1">
      <alignment vertical="top"/>
    </xf>
    <xf numFmtId="0" fontId="7" fillId="0" borderId="16" xfId="5" applyFont="1" applyBorder="1" applyAlignment="1">
      <alignment vertical="top"/>
    </xf>
    <xf numFmtId="0" fontId="7" fillId="0" borderId="17" xfId="5" applyFont="1" applyBorder="1" applyAlignment="1">
      <alignment vertical="top"/>
    </xf>
    <xf numFmtId="0" fontId="7" fillId="0" borderId="11" xfId="5" applyFont="1" applyBorder="1"/>
    <xf numFmtId="0" fontId="7" fillId="0" borderId="18" xfId="5" applyFont="1" applyBorder="1"/>
    <xf numFmtId="0" fontId="25" fillId="0" borderId="11" xfId="0" applyFont="1" applyBorder="1"/>
    <xf numFmtId="0" fontId="7" fillId="0" borderId="19" xfId="5" applyFont="1" applyBorder="1"/>
    <xf numFmtId="0" fontId="7" fillId="0" borderId="20" xfId="5" applyFont="1" applyBorder="1"/>
    <xf numFmtId="0" fontId="7" fillId="0" borderId="21" xfId="5" applyFont="1" applyBorder="1"/>
    <xf numFmtId="0" fontId="18" fillId="10" borderId="9" xfId="5" applyFont="1" applyFill="1" applyBorder="1"/>
    <xf numFmtId="168" fontId="10" fillId="0" borderId="3" xfId="1" applyNumberFormat="1" applyFont="1" applyBorder="1" applyAlignment="1">
      <alignment vertical="center"/>
    </xf>
    <xf numFmtId="171" fontId="9" fillId="0" borderId="3" xfId="0" applyNumberFormat="1" applyFont="1" applyBorder="1"/>
    <xf numFmtId="168" fontId="10" fillId="0" borderId="3" xfId="1" applyNumberFormat="1" applyFont="1" applyBorder="1"/>
    <xf numFmtId="168" fontId="10" fillId="3" borderId="3" xfId="1" applyNumberFormat="1" applyFont="1" applyFill="1" applyBorder="1"/>
    <xf numFmtId="168" fontId="9" fillId="3" borderId="3" xfId="1" applyNumberFormat="1" applyFont="1" applyFill="1" applyBorder="1"/>
    <xf numFmtId="169" fontId="10" fillId="0" borderId="3" xfId="3" applyNumberFormat="1" applyFont="1" applyBorder="1"/>
    <xf numFmtId="0" fontId="32" fillId="0" borderId="1" xfId="0" applyFont="1" applyBorder="1" applyAlignment="1">
      <alignment horizontal="center" wrapText="1"/>
    </xf>
    <xf numFmtId="0" fontId="32" fillId="0" borderId="4" xfId="0" applyFont="1" applyBorder="1" applyAlignment="1">
      <alignment horizontal="center" wrapText="1"/>
    </xf>
    <xf numFmtId="0" fontId="25" fillId="0" borderId="11" xfId="0" applyFont="1" applyBorder="1" applyAlignment="1">
      <alignment horizontal="center" vertical="top" wrapText="1"/>
    </xf>
    <xf numFmtId="0" fontId="25" fillId="0" borderId="0" xfId="0" applyFont="1" applyBorder="1" applyAlignment="1">
      <alignment horizontal="center" vertical="top" wrapText="1"/>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0" xfId="0" applyFont="1" applyBorder="1" applyAlignment="1">
      <alignment horizontal="center" vertical="top" wrapText="1"/>
    </xf>
    <xf numFmtId="0" fontId="25" fillId="0" borderId="21" xfId="0" applyFont="1" applyBorder="1" applyAlignment="1">
      <alignment horizontal="center" vertical="top" wrapText="1"/>
    </xf>
    <xf numFmtId="0" fontId="25" fillId="0" borderId="11" xfId="0" applyFont="1" applyBorder="1" applyAlignment="1">
      <alignment horizontal="left" vertical="top" wrapText="1"/>
    </xf>
    <xf numFmtId="0" fontId="25" fillId="0" borderId="0" xfId="0" applyFont="1" applyBorder="1" applyAlignment="1">
      <alignment horizontal="left" vertical="top" wrapText="1"/>
    </xf>
    <xf numFmtId="0" fontId="25" fillId="0" borderId="18" xfId="0" applyFont="1" applyBorder="1" applyAlignment="1">
      <alignment horizontal="left" vertical="top" wrapText="1"/>
    </xf>
    <xf numFmtId="0" fontId="25" fillId="0" borderId="11" xfId="0" applyFont="1" applyBorder="1" applyAlignment="1">
      <alignment horizontal="left" wrapText="1"/>
    </xf>
    <xf numFmtId="0" fontId="25" fillId="0" borderId="0" xfId="0" applyFont="1" applyBorder="1" applyAlignment="1">
      <alignment horizontal="left" wrapText="1"/>
    </xf>
    <xf numFmtId="0" fontId="25" fillId="0" borderId="18" xfId="0" applyFont="1" applyBorder="1" applyAlignment="1">
      <alignment horizontal="left" wrapText="1"/>
    </xf>
    <xf numFmtId="0" fontId="9" fillId="0" borderId="11" xfId="5" applyFont="1" applyFill="1" applyBorder="1" applyAlignment="1">
      <alignment horizontal="center" vertical="center" wrapText="1"/>
    </xf>
    <xf numFmtId="0" fontId="9" fillId="0" borderId="7" xfId="5" applyFont="1" applyFill="1" applyBorder="1" applyAlignment="1">
      <alignment horizontal="center" vertical="center" wrapText="1"/>
    </xf>
    <xf numFmtId="0" fontId="9" fillId="6" borderId="3" xfId="5" applyFont="1" applyFill="1" applyBorder="1" applyAlignment="1">
      <alignment horizontal="center" vertical="center" wrapText="1"/>
    </xf>
    <xf numFmtId="0" fontId="9" fillId="6" borderId="6" xfId="5" applyFont="1" applyFill="1" applyBorder="1" applyAlignment="1">
      <alignment horizontal="center" vertical="center" wrapText="1"/>
    </xf>
    <xf numFmtId="0" fontId="9" fillId="6" borderId="5" xfId="5" applyFont="1" applyFill="1" applyBorder="1" applyAlignment="1">
      <alignment horizontal="center" vertical="center" wrapText="1"/>
    </xf>
    <xf numFmtId="0" fontId="9" fillId="0" borderId="0" xfId="5"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wrapText="1"/>
    </xf>
  </cellXfs>
  <cellStyles count="11">
    <cellStyle name="Comma" xfId="1" builtinId="3"/>
    <cellStyle name="Comma 2" xfId="9"/>
    <cellStyle name="Explanatory Text" xfId="4" builtinId="53"/>
    <cellStyle name="Normal" xfId="0" builtinId="0"/>
    <cellStyle name="Normal 2" xfId="5"/>
    <cellStyle name="Normal 2 2" xfId="7"/>
    <cellStyle name="Normal 2 2 2" xfId="10"/>
    <cellStyle name="Normal 5 2 2" xfId="6"/>
    <cellStyle name="Normal 6" xfId="2"/>
    <cellStyle name="Normal 6 2" xfId="8"/>
    <cellStyle name="Percent" xfId="3" builtinId="5"/>
  </cellStyles>
  <dxfs count="71">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aura.gatzschulz\Documents\Copy%20of%20FM_E_WWW_conservation%20drive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IE\QJKFE5G1\PR19-14h-for-publication.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FWSHARE/Cost%20assessment/Retail/Modelling%20-%20phase%204/Cost%20allowances/xls/FM_R2_v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chart"/>
      <sheetName val="QA_Checklist"/>
      <sheetName val="Changes log"/>
      <sheetName val="Variables selection"/>
      <sheetName val="BoN codes"/>
      <sheetName val="Data"/>
      <sheetName val="Assessor's analysis&gt;&gt;"/>
      <sheetName val="Gates &amp; Shallow dive"/>
      <sheetName val="Deep dive_SRN"/>
      <sheetName val="Deep dive_TMS"/>
      <sheetName val="Deep dive_WSX"/>
      <sheetName val="Test...."/>
      <sheetName val="Feeder models&gt;&gt;"/>
      <sheetName val="Summary"/>
      <sheetName val="Allowance"/>
      <sheetName val="Allowed capex 5YRS"/>
      <sheetName val="Profilling"/>
      <sheetName val="Trends&gt;&gt;&gt;"/>
      <sheetName val="Exp'ture &amp; materiality"/>
      <sheetName val="Drivers"/>
      <sheetName val="Unit costs&gt;&gt;"/>
      <sheetName val="Avg unit costs"/>
      <sheetName val="Simple regr'on unit costs"/>
      <sheetName val="Econometrics&gt;&gt;"/>
      <sheetName val="Correlations &amp; basic stats"/>
      <sheetName val="Ec'metric analysis"/>
      <sheetName val="Selected mod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6">
          <cell r="A66" t="str">
            <v>ANH</v>
          </cell>
          <cell r="AG66">
            <v>0</v>
          </cell>
        </row>
        <row r="67">
          <cell r="A67" t="str">
            <v>NES</v>
          </cell>
          <cell r="AG67">
            <v>0</v>
          </cell>
        </row>
        <row r="68">
          <cell r="A68" t="str">
            <v>NWT</v>
          </cell>
          <cell r="AG68">
            <v>0.7618580323894687</v>
          </cell>
        </row>
        <row r="69">
          <cell r="A69" t="str">
            <v>SRN</v>
          </cell>
          <cell r="AG69">
            <v>18.954000000000001</v>
          </cell>
        </row>
        <row r="70">
          <cell r="A70" t="str">
            <v>SVT</v>
          </cell>
          <cell r="AG70">
            <v>0</v>
          </cell>
        </row>
        <row r="71">
          <cell r="A71" t="str">
            <v>SWB</v>
          </cell>
          <cell r="AG71">
            <v>4.2300000000000004</v>
          </cell>
        </row>
        <row r="72">
          <cell r="A72" t="str">
            <v>TMS</v>
          </cell>
          <cell r="AG72">
            <v>4.9437447595999986</v>
          </cell>
        </row>
        <row r="73">
          <cell r="A73" t="str">
            <v>WSH</v>
          </cell>
          <cell r="AG73">
            <v>1.593</v>
          </cell>
        </row>
        <row r="74">
          <cell r="A74" t="str">
            <v>WSX</v>
          </cell>
          <cell r="AG74">
            <v>14.072221384615391</v>
          </cell>
        </row>
        <row r="75">
          <cell r="A75" t="str">
            <v>YKY</v>
          </cell>
          <cell r="AG75">
            <v>0</v>
          </cell>
        </row>
        <row r="76">
          <cell r="A76" t="str">
            <v>AFW</v>
          </cell>
          <cell r="AG76">
            <v>0</v>
          </cell>
        </row>
        <row r="77">
          <cell r="A77" t="str">
            <v>BRL</v>
          </cell>
          <cell r="AG77">
            <v>0</v>
          </cell>
        </row>
        <row r="78">
          <cell r="A78" t="str">
            <v>DVW</v>
          </cell>
          <cell r="AG78">
            <v>0</v>
          </cell>
        </row>
        <row r="79">
          <cell r="A79" t="str">
            <v>PRT</v>
          </cell>
          <cell r="AG79">
            <v>0</v>
          </cell>
        </row>
        <row r="80">
          <cell r="A80" t="str">
            <v>SES</v>
          </cell>
          <cell r="AG80">
            <v>0</v>
          </cell>
        </row>
        <row r="81">
          <cell r="A81" t="str">
            <v>SEW</v>
          </cell>
          <cell r="AG81">
            <v>0</v>
          </cell>
        </row>
        <row r="82">
          <cell r="A82" t="str">
            <v>SSC</v>
          </cell>
          <cell r="AG82">
            <v>0</v>
          </cell>
        </row>
        <row r="83">
          <cell r="A83" t="str">
            <v>SVE</v>
          </cell>
          <cell r="AG83">
            <v>0</v>
          </cell>
        </row>
        <row r="84">
          <cell r="A84" t="str">
            <v>HDD</v>
          </cell>
          <cell r="AG84">
            <v>0</v>
          </cell>
        </row>
        <row r="182">
          <cell r="A182" t="str">
            <v>ANH</v>
          </cell>
          <cell r="AE182">
            <v>3328.7444331702227</v>
          </cell>
        </row>
        <row r="183">
          <cell r="A183" t="str">
            <v>NES</v>
          </cell>
          <cell r="AE183">
            <v>1243.377</v>
          </cell>
        </row>
        <row r="184">
          <cell r="A184" t="str">
            <v>NWT</v>
          </cell>
          <cell r="AE184">
            <v>3013.0588535929037</v>
          </cell>
        </row>
        <row r="185">
          <cell r="A185" t="str">
            <v>SRN</v>
          </cell>
          <cell r="AE185">
            <v>2609.462</v>
          </cell>
        </row>
        <row r="186">
          <cell r="A186" t="str">
            <v>SVT</v>
          </cell>
          <cell r="AE186">
            <v>0</v>
          </cell>
        </row>
        <row r="187">
          <cell r="A187" t="str">
            <v>SWB</v>
          </cell>
          <cell r="AE187">
            <v>951.08800000000008</v>
          </cell>
        </row>
        <row r="188">
          <cell r="A188" t="str">
            <v>TMS</v>
          </cell>
          <cell r="AE188">
            <v>4997.1676900586726</v>
          </cell>
        </row>
        <row r="189">
          <cell r="A189" t="str">
            <v>WSH</v>
          </cell>
          <cell r="AE189">
            <v>1529.0949999999998</v>
          </cell>
        </row>
        <row r="190">
          <cell r="A190" t="str">
            <v>WSX</v>
          </cell>
          <cell r="AE190">
            <v>1573.2079316710249</v>
          </cell>
        </row>
        <row r="191">
          <cell r="A191" t="str">
            <v>YKY</v>
          </cell>
          <cell r="AE191">
            <v>2894.0260000000003</v>
          </cell>
        </row>
        <row r="192">
          <cell r="A192" t="str">
            <v>AFW</v>
          </cell>
          <cell r="AE192">
            <v>0</v>
          </cell>
        </row>
        <row r="193">
          <cell r="A193" t="str">
            <v>BRL</v>
          </cell>
          <cell r="AE193">
            <v>0</v>
          </cell>
        </row>
        <row r="194">
          <cell r="A194" t="str">
            <v>DVW</v>
          </cell>
          <cell r="AE194">
            <v>0</v>
          </cell>
        </row>
        <row r="195">
          <cell r="A195" t="str">
            <v>PRT</v>
          </cell>
          <cell r="AE195">
            <v>0</v>
          </cell>
        </row>
        <row r="196">
          <cell r="A196" t="str">
            <v>SES</v>
          </cell>
          <cell r="AE196">
            <v>0</v>
          </cell>
        </row>
        <row r="197">
          <cell r="A197" t="str">
            <v>SEW</v>
          </cell>
          <cell r="AE197">
            <v>0</v>
          </cell>
        </row>
        <row r="198">
          <cell r="A198" t="str">
            <v>SSC</v>
          </cell>
          <cell r="AE198">
            <v>0</v>
          </cell>
        </row>
        <row r="199">
          <cell r="A199" t="str">
            <v>SVE</v>
          </cell>
          <cell r="AE199">
            <v>2952.671035202944</v>
          </cell>
        </row>
        <row r="200">
          <cell r="A200" t="str">
            <v>HDD</v>
          </cell>
          <cell r="AE200">
            <v>24.896364460930961</v>
          </cell>
        </row>
      </sheetData>
      <sheetData sheetId="20"/>
      <sheetData sheetId="21"/>
      <sheetData sheetId="22"/>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refreshError="1"/>
      <sheetData sheetId="2" refreshError="1"/>
      <sheetData sheetId="3">
        <row r="1">
          <cell r="A1" t="str">
            <v>User guide</v>
          </cell>
        </row>
      </sheetData>
      <sheetData sheetId="4">
        <row r="1">
          <cell r="A1" t="str">
            <v>Rulebook Contents</v>
          </cell>
        </row>
      </sheetData>
      <sheetData sheetId="5">
        <row r="1">
          <cell r="A1" t="str">
            <v>Rulebook</v>
          </cell>
        </row>
      </sheetData>
      <sheetData sheetId="6" refreshError="1"/>
      <sheetData sheetId="7">
        <row r="177">
          <cell r="H177" t="str">
            <v>Water resources RCV ~ 1 April 2020 + Water resources IFRS16 RCV adjustment</v>
          </cell>
        </row>
      </sheetData>
      <sheetData sheetId="8" refreshError="1"/>
      <sheetData sheetId="9" refreshError="1"/>
      <sheetData sheetId="10">
        <row r="1891">
          <cell r="F1891">
            <v>9.9999999999999995E-7</v>
          </cell>
        </row>
        <row r="1893">
          <cell r="F1893">
            <v>1E-4</v>
          </cell>
        </row>
        <row r="1895">
          <cell r="F1895">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2">
          <cell r="E12" t="str">
            <v>Operating income - Wholesale - nominal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06">
          <cell r="E406" t="str">
            <v>Water resources grants and contributions - real</v>
          </cell>
        </row>
      </sheetData>
      <sheetData sheetId="31" refreshError="1"/>
      <sheetData sheetId="32">
        <row r="28">
          <cell r="E28" t="str">
            <v>Bulk supplies ~ wastewater network plus</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07">
          <cell r="F107">
            <v>0</v>
          </cell>
        </row>
      </sheetData>
      <sheetData sheetId="52" refreshError="1"/>
      <sheetData sheetId="53" refreshError="1"/>
      <sheetData sheetId="54">
        <row r="178">
          <cell r="E178" t="str">
            <v>Operating expenditure - Wholesale - nominal</v>
          </cell>
        </row>
      </sheetData>
      <sheetData sheetId="55">
        <row r="1383">
          <cell r="E1383" t="str">
            <v>Earnings after tax (EAT) - Retail - nominal</v>
          </cell>
        </row>
      </sheetData>
      <sheetData sheetId="56" refreshError="1"/>
      <sheetData sheetId="57" refreshError="1"/>
      <sheetData sheetId="58" refreshError="1"/>
      <sheetData sheetId="59" refreshError="1"/>
      <sheetData sheetId="60">
        <row r="10">
          <cell r="F10">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
  <sheetViews>
    <sheetView showGridLines="0" tabSelected="1" zoomScaleNormal="100" workbookViewId="0"/>
  </sheetViews>
  <sheetFormatPr defaultColWidth="8.125" defaultRowHeight="16.149999999999999"/>
  <cols>
    <col min="1" max="1" width="110.75" style="185" customWidth="1"/>
    <col min="2" max="2" width="93.875" style="185" customWidth="1"/>
    <col min="3" max="3" width="16.875" style="186" customWidth="1"/>
    <col min="4" max="16384" width="8.125" style="185"/>
  </cols>
  <sheetData>
    <row r="1" spans="1:3" ht="21">
      <c r="A1" s="187" t="s">
        <v>150</v>
      </c>
      <c r="B1" s="188"/>
      <c r="C1" s="188"/>
    </row>
    <row r="2" spans="1:3" ht="16.5" thickBot="1"/>
    <row r="3" spans="1:3">
      <c r="A3" s="211" t="s">
        <v>166</v>
      </c>
    </row>
    <row r="4" spans="1:3">
      <c r="A4" s="212"/>
    </row>
    <row r="5" spans="1:3">
      <c r="A5" s="213" t="s">
        <v>159</v>
      </c>
    </row>
    <row r="6" spans="1:3" ht="34.5" customHeight="1">
      <c r="A6" s="215" t="s">
        <v>163</v>
      </c>
    </row>
    <row r="7" spans="1:3">
      <c r="A7" s="212"/>
    </row>
    <row r="8" spans="1:3">
      <c r="A8" s="213" t="s">
        <v>160</v>
      </c>
    </row>
    <row r="9" spans="1:3" ht="74.650000000000006" customHeight="1" thickBot="1">
      <c r="A9" s="214" t="s">
        <v>164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5"/>
  <sheetViews>
    <sheetView showGridLines="0" zoomScale="80" zoomScaleNormal="80" workbookViewId="0"/>
  </sheetViews>
  <sheetFormatPr defaultColWidth="9" defaultRowHeight="12.75"/>
  <cols>
    <col min="1" max="1" width="2.625" style="3" customWidth="1"/>
    <col min="2" max="2" width="14.375" style="3" customWidth="1"/>
    <col min="3" max="3" width="14.25" style="3" customWidth="1"/>
    <col min="4" max="16384" width="9" style="3"/>
  </cols>
  <sheetData>
    <row r="1" spans="1:5" ht="17.25">
      <c r="A1" s="191" t="s">
        <v>77</v>
      </c>
      <c r="B1" s="175"/>
      <c r="C1" s="176"/>
      <c r="D1" s="176"/>
      <c r="E1" s="176"/>
    </row>
    <row r="2" spans="1:5">
      <c r="A2" s="177" t="s">
        <v>78</v>
      </c>
      <c r="B2" s="175"/>
      <c r="C2" s="176"/>
      <c r="D2" s="176"/>
      <c r="E2" s="176"/>
    </row>
    <row r="6" spans="1:5" ht="13.15">
      <c r="B6" s="171" t="s">
        <v>52</v>
      </c>
    </row>
    <row r="8" spans="1:5">
      <c r="B8" s="34" t="s">
        <v>37</v>
      </c>
      <c r="C8" s="178" t="s">
        <v>147</v>
      </c>
      <c r="D8" s="179"/>
    </row>
    <row r="9" spans="1:5">
      <c r="B9" s="180">
        <v>0.5</v>
      </c>
      <c r="C9" s="180">
        <v>0.5</v>
      </c>
      <c r="D9" s="181"/>
    </row>
    <row r="12" spans="1:5" ht="13.15">
      <c r="B12" s="14" t="s">
        <v>36</v>
      </c>
    </row>
    <row r="14" spans="1:5">
      <c r="B14" s="182">
        <v>1</v>
      </c>
    </row>
    <row r="17" spans="2:4" ht="13.15">
      <c r="B17" s="171" t="s">
        <v>82</v>
      </c>
    </row>
    <row r="19" spans="2:4">
      <c r="B19" s="34" t="s">
        <v>37</v>
      </c>
      <c r="C19" s="34" t="s">
        <v>38</v>
      </c>
    </row>
    <row r="20" spans="2:4">
      <c r="B20" s="183">
        <v>0.5</v>
      </c>
      <c r="C20" s="183">
        <v>0.5</v>
      </c>
    </row>
    <row r="22" spans="2:4" ht="13.15">
      <c r="B22" s="14" t="s">
        <v>86</v>
      </c>
    </row>
    <row r="24" spans="2:4">
      <c r="B24" s="21" t="s">
        <v>89</v>
      </c>
      <c r="C24" s="21" t="s">
        <v>58</v>
      </c>
      <c r="D24" s="184" t="s">
        <v>88</v>
      </c>
    </row>
    <row r="25" spans="2:4">
      <c r="D25" s="184" t="s">
        <v>58</v>
      </c>
    </row>
  </sheetData>
  <dataValidations count="1">
    <dataValidation type="list" allowBlank="1" showInputMessage="1" showErrorMessage="1" sqref="C24">
      <formula1>$D$24:$D$25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54"/>
  <sheetViews>
    <sheetView showGridLines="0" zoomScale="80" zoomScaleNormal="80" workbookViewId="0">
      <pane xSplit="3" ySplit="7" topLeftCell="D8" activePane="bottomRight" state="frozen"/>
      <selection pane="topRight"/>
      <selection pane="bottomLeft"/>
      <selection pane="bottomRight"/>
    </sheetView>
  </sheetViews>
  <sheetFormatPr defaultColWidth="9" defaultRowHeight="12.75"/>
  <cols>
    <col min="1" max="2" width="10.875" style="3" customWidth="1"/>
    <col min="3" max="3" width="10.5" style="3" customWidth="1"/>
    <col min="4" max="4" width="16" style="15" customWidth="1"/>
    <col min="5" max="5" width="19.5" style="15" customWidth="1"/>
    <col min="6" max="6" width="14.5" style="15" customWidth="1"/>
    <col min="7" max="7" width="10.125" style="15" bestFit="1" customWidth="1"/>
    <col min="8" max="8" width="14.875" style="15" customWidth="1"/>
    <col min="9" max="9" width="13.125" style="15" customWidth="1"/>
    <col min="10" max="10" width="12" style="15" customWidth="1"/>
    <col min="11" max="11" width="14" style="15" customWidth="1"/>
    <col min="12" max="12" width="12.875" style="3" customWidth="1"/>
    <col min="13" max="13" width="13.125" style="3" customWidth="1"/>
    <col min="14" max="16384" width="9" style="3"/>
  </cols>
  <sheetData>
    <row r="1" spans="1:13" ht="18">
      <c r="A1" s="195" t="s">
        <v>32</v>
      </c>
      <c r="B1" s="196"/>
      <c r="C1" s="196"/>
    </row>
    <row r="2" spans="1:13" ht="15.75">
      <c r="A2" s="197" t="s">
        <v>157</v>
      </c>
      <c r="B2" s="198"/>
      <c r="C2" s="198"/>
    </row>
    <row r="3" spans="1:13" ht="13.15">
      <c r="A3" s="196"/>
      <c r="B3" s="198"/>
      <c r="D3" s="3"/>
      <c r="E3" s="3"/>
      <c r="F3" s="3"/>
      <c r="G3" s="3"/>
      <c r="H3" s="3"/>
      <c r="I3" s="3"/>
      <c r="J3" s="3"/>
      <c r="K3" s="3"/>
    </row>
    <row r="4" spans="1:13" ht="13.15">
      <c r="A4" s="196"/>
      <c r="B4" s="198"/>
      <c r="D4" s="3"/>
      <c r="E4" s="3"/>
      <c r="F4" s="3"/>
      <c r="G4" s="3"/>
      <c r="H4" s="3"/>
      <c r="I4" s="3"/>
      <c r="J4" s="3"/>
      <c r="K4" s="3"/>
    </row>
    <row r="5" spans="1:13" ht="13.15">
      <c r="A5" s="196"/>
      <c r="B5" s="198"/>
      <c r="C5" s="198"/>
      <c r="D5" s="15" t="s">
        <v>40</v>
      </c>
      <c r="E5" s="15" t="s">
        <v>41</v>
      </c>
      <c r="F5" s="171"/>
      <c r="G5" s="171"/>
      <c r="H5" s="171"/>
      <c r="I5" s="171"/>
      <c r="J5" s="15" t="s">
        <v>42</v>
      </c>
      <c r="K5" s="15" t="s">
        <v>43</v>
      </c>
    </row>
    <row r="6" spans="1:13" s="42" customFormat="1" ht="26.25">
      <c r="A6" s="199"/>
      <c r="B6" s="199"/>
      <c r="C6" s="199"/>
      <c r="D6" s="199" t="s">
        <v>105</v>
      </c>
      <c r="E6" s="199" t="s">
        <v>106</v>
      </c>
      <c r="F6" s="199" t="s">
        <v>103</v>
      </c>
      <c r="G6" s="199" t="s">
        <v>102</v>
      </c>
      <c r="H6" s="199" t="s">
        <v>107</v>
      </c>
      <c r="I6" s="199" t="s">
        <v>104</v>
      </c>
      <c r="J6" s="199" t="s">
        <v>108</v>
      </c>
      <c r="K6" s="199" t="s">
        <v>109</v>
      </c>
      <c r="L6" s="199" t="s">
        <v>110</v>
      </c>
      <c r="M6" s="199" t="s">
        <v>111</v>
      </c>
    </row>
    <row r="7" spans="1:13" s="42" customFormat="1" ht="52.5">
      <c r="A7" s="199" t="s">
        <v>29</v>
      </c>
      <c r="B7" s="199" t="s">
        <v>6</v>
      </c>
      <c r="C7" s="199" t="s">
        <v>7</v>
      </c>
      <c r="D7" s="199" t="s">
        <v>96</v>
      </c>
      <c r="E7" s="199" t="s">
        <v>30</v>
      </c>
      <c r="F7" s="199" t="s">
        <v>97</v>
      </c>
      <c r="G7" s="199" t="s">
        <v>0</v>
      </c>
      <c r="H7" s="199" t="s">
        <v>98</v>
      </c>
      <c r="I7" s="199" t="s">
        <v>99</v>
      </c>
      <c r="J7" s="199" t="s">
        <v>33</v>
      </c>
      <c r="K7" s="199" t="s">
        <v>34</v>
      </c>
      <c r="L7" s="199" t="s">
        <v>35</v>
      </c>
      <c r="M7" s="199" t="s">
        <v>79</v>
      </c>
    </row>
    <row r="8" spans="1:13">
      <c r="A8" s="200" t="str">
        <f>B8&amp;RIGHT(C8,2)</f>
        <v>ANH12</v>
      </c>
      <c r="B8" s="200" t="s">
        <v>8</v>
      </c>
      <c r="C8" s="200">
        <v>2012</v>
      </c>
      <c r="D8" s="207">
        <v>8.2536054515295554</v>
      </c>
      <c r="E8" s="207">
        <v>8.5156168595917627</v>
      </c>
      <c r="F8" s="207">
        <f t="shared" ref="F8:F39" si="0">D8+E8</f>
        <v>16.769222311121318</v>
      </c>
      <c r="G8" s="208"/>
      <c r="H8" s="208">
        <f t="shared" ref="H8:H39" si="1">F8+G8</f>
        <v>16.769222311121318</v>
      </c>
      <c r="I8" s="209"/>
      <c r="J8" s="208">
        <v>15.666</v>
      </c>
      <c r="K8" s="208">
        <v>0.69499999999999995</v>
      </c>
      <c r="L8" s="208">
        <f t="shared" ref="L8:L39" si="2">J8+K8</f>
        <v>16.361000000000001</v>
      </c>
      <c r="M8" s="209"/>
    </row>
    <row r="9" spans="1:13">
      <c r="A9" s="200" t="str">
        <f t="shared" ref="A9:A72" si="3">B9&amp;RIGHT(C9,2)</f>
        <v>ANH13</v>
      </c>
      <c r="B9" s="200" t="s">
        <v>8</v>
      </c>
      <c r="C9" s="200">
        <v>2013</v>
      </c>
      <c r="D9" s="207">
        <v>7.0383695688559955</v>
      </c>
      <c r="E9" s="207">
        <v>7.9157908541846425</v>
      </c>
      <c r="F9" s="207">
        <f t="shared" si="0"/>
        <v>14.954160423040637</v>
      </c>
      <c r="G9" s="208"/>
      <c r="H9" s="208">
        <f t="shared" si="1"/>
        <v>14.954160423040637</v>
      </c>
      <c r="I9" s="209"/>
      <c r="J9" s="208">
        <v>13.579000000000001</v>
      </c>
      <c r="K9" s="208">
        <v>0.51600000000000001</v>
      </c>
      <c r="L9" s="208">
        <f t="shared" si="2"/>
        <v>14.095000000000001</v>
      </c>
      <c r="M9" s="209"/>
    </row>
    <row r="10" spans="1:13">
      <c r="A10" s="200" t="str">
        <f t="shared" si="3"/>
        <v>ANH14</v>
      </c>
      <c r="B10" s="201" t="s">
        <v>8</v>
      </c>
      <c r="C10" s="201">
        <v>2014</v>
      </c>
      <c r="D10" s="207">
        <v>7.7203894954262982</v>
      </c>
      <c r="E10" s="207">
        <v>8.493764029749828</v>
      </c>
      <c r="F10" s="207">
        <f t="shared" si="0"/>
        <v>16.214153525176126</v>
      </c>
      <c r="G10" s="208"/>
      <c r="H10" s="208">
        <f t="shared" si="1"/>
        <v>16.214153525176126</v>
      </c>
      <c r="I10" s="209">
        <f>AVERAGE(H8:H10)</f>
        <v>15.979178753112693</v>
      </c>
      <c r="J10" s="208">
        <v>14.434999999999999</v>
      </c>
      <c r="K10" s="208">
        <v>0.61699999999999999</v>
      </c>
      <c r="L10" s="208">
        <f t="shared" si="2"/>
        <v>15.052</v>
      </c>
      <c r="M10" s="209">
        <f t="shared" ref="M10:M21" si="4">AVERAGE(L8:L10)</f>
        <v>15.169333333333334</v>
      </c>
    </row>
    <row r="11" spans="1:13">
      <c r="A11" s="200" t="str">
        <f t="shared" si="3"/>
        <v>ANH15</v>
      </c>
      <c r="B11" s="201" t="s">
        <v>8</v>
      </c>
      <c r="C11" s="201">
        <v>2015</v>
      </c>
      <c r="D11" s="207">
        <v>11.17451521739161</v>
      </c>
      <c r="E11" s="207">
        <v>8.8964300158769962</v>
      </c>
      <c r="F11" s="207">
        <f t="shared" si="0"/>
        <v>20.070945233268606</v>
      </c>
      <c r="G11" s="208"/>
      <c r="H11" s="208">
        <f t="shared" si="1"/>
        <v>20.070945233268606</v>
      </c>
      <c r="I11" s="209">
        <f t="shared" ref="I11:I21" si="5">AVERAGE(H9:H11)</f>
        <v>17.079753060495122</v>
      </c>
      <c r="J11" s="208">
        <v>16.79</v>
      </c>
      <c r="K11" s="208">
        <v>0.621</v>
      </c>
      <c r="L11" s="208">
        <f t="shared" si="2"/>
        <v>17.410999999999998</v>
      </c>
      <c r="M11" s="209">
        <f t="shared" si="4"/>
        <v>15.51933333333333</v>
      </c>
    </row>
    <row r="12" spans="1:13">
      <c r="A12" s="200" t="str">
        <f t="shared" si="3"/>
        <v>ANH16</v>
      </c>
      <c r="B12" s="201" t="s">
        <v>8</v>
      </c>
      <c r="C12" s="201">
        <v>2016</v>
      </c>
      <c r="D12" s="207">
        <v>13.17926065441204</v>
      </c>
      <c r="E12" s="207">
        <v>9.6718615640598973</v>
      </c>
      <c r="F12" s="207">
        <f t="shared" si="0"/>
        <v>22.851122218471936</v>
      </c>
      <c r="G12" s="208"/>
      <c r="H12" s="208">
        <f t="shared" si="1"/>
        <v>22.851122218471936</v>
      </c>
      <c r="I12" s="209">
        <f t="shared" si="5"/>
        <v>19.712073658972223</v>
      </c>
      <c r="J12" s="208">
        <v>15.509</v>
      </c>
      <c r="K12" s="208">
        <v>0.66200000000000003</v>
      </c>
      <c r="L12" s="208">
        <f t="shared" si="2"/>
        <v>16.170999999999999</v>
      </c>
      <c r="M12" s="209">
        <f t="shared" si="4"/>
        <v>16.211333333333332</v>
      </c>
    </row>
    <row r="13" spans="1:13">
      <c r="A13" s="200" t="str">
        <f t="shared" si="3"/>
        <v>ANH17</v>
      </c>
      <c r="B13" s="201" t="s">
        <v>8</v>
      </c>
      <c r="C13" s="201">
        <v>2017</v>
      </c>
      <c r="D13" s="207">
        <v>18.173399873941058</v>
      </c>
      <c r="E13" s="207">
        <v>10.391731637258925</v>
      </c>
      <c r="F13" s="207">
        <f t="shared" si="0"/>
        <v>28.565131511199983</v>
      </c>
      <c r="G13" s="208"/>
      <c r="H13" s="208">
        <f t="shared" si="1"/>
        <v>28.565131511199983</v>
      </c>
      <c r="I13" s="209">
        <f t="shared" si="5"/>
        <v>23.829066320980175</v>
      </c>
      <c r="J13" s="208">
        <v>14.195</v>
      </c>
      <c r="K13" s="208">
        <v>0.92100000000000004</v>
      </c>
      <c r="L13" s="208">
        <f t="shared" si="2"/>
        <v>15.116</v>
      </c>
      <c r="M13" s="209">
        <f t="shared" si="4"/>
        <v>16.232666666666663</v>
      </c>
    </row>
    <row r="14" spans="1:13">
      <c r="A14" s="200" t="str">
        <f t="shared" si="3"/>
        <v>ANH18</v>
      </c>
      <c r="B14" s="201" t="s">
        <v>8</v>
      </c>
      <c r="C14" s="201">
        <v>2018</v>
      </c>
      <c r="D14" s="207">
        <v>20.659066887170098</v>
      </c>
      <c r="E14" s="207">
        <v>11.168773141200599</v>
      </c>
      <c r="F14" s="207">
        <f t="shared" si="0"/>
        <v>31.827840028370698</v>
      </c>
      <c r="G14" s="208"/>
      <c r="H14" s="208">
        <f t="shared" si="1"/>
        <v>31.827840028370698</v>
      </c>
      <c r="I14" s="209">
        <f t="shared" si="5"/>
        <v>27.748031252680875</v>
      </c>
      <c r="J14" s="208">
        <v>20.798999999999999</v>
      </c>
      <c r="K14" s="208">
        <v>0.78</v>
      </c>
      <c r="L14" s="208">
        <f t="shared" si="2"/>
        <v>21.579000000000001</v>
      </c>
      <c r="M14" s="209">
        <f t="shared" si="4"/>
        <v>17.622</v>
      </c>
    </row>
    <row r="15" spans="1:13">
      <c r="A15" s="200" t="str">
        <f t="shared" si="3"/>
        <v>ANH19</v>
      </c>
      <c r="B15" s="201" t="s">
        <v>8</v>
      </c>
      <c r="C15" s="201">
        <v>2019</v>
      </c>
      <c r="D15" s="207">
        <v>17.437166554580568</v>
      </c>
      <c r="E15" s="207">
        <v>11.37408088235293</v>
      </c>
      <c r="F15" s="207">
        <f t="shared" si="0"/>
        <v>28.811247436933499</v>
      </c>
      <c r="G15" s="208"/>
      <c r="H15" s="208">
        <f t="shared" si="1"/>
        <v>28.811247436933499</v>
      </c>
      <c r="I15" s="209">
        <f t="shared" si="5"/>
        <v>29.734739658834727</v>
      </c>
      <c r="J15" s="208">
        <v>19.667000000000002</v>
      </c>
      <c r="K15" s="208">
        <v>0.66800000000000004</v>
      </c>
      <c r="L15" s="208">
        <f t="shared" si="2"/>
        <v>20.335000000000001</v>
      </c>
      <c r="M15" s="209">
        <f t="shared" si="4"/>
        <v>19.010000000000002</v>
      </c>
    </row>
    <row r="16" spans="1:13">
      <c r="A16" s="200" t="str">
        <f t="shared" si="3"/>
        <v>ANH20</v>
      </c>
      <c r="B16" s="201" t="s">
        <v>8</v>
      </c>
      <c r="C16" s="201">
        <v>2020</v>
      </c>
      <c r="D16" s="207">
        <v>16.811480958691025</v>
      </c>
      <c r="E16" s="207">
        <v>10.422780614449492</v>
      </c>
      <c r="F16" s="207">
        <f t="shared" si="0"/>
        <v>27.234261573140515</v>
      </c>
      <c r="G16" s="208"/>
      <c r="H16" s="208">
        <f t="shared" si="1"/>
        <v>27.234261573140515</v>
      </c>
      <c r="I16" s="209">
        <f t="shared" si="5"/>
        <v>29.29111634614824</v>
      </c>
      <c r="J16" s="208">
        <v>23.379000000000001</v>
      </c>
      <c r="K16" s="208">
        <v>0.69399999999999995</v>
      </c>
      <c r="L16" s="208">
        <f t="shared" si="2"/>
        <v>24.073</v>
      </c>
      <c r="M16" s="209">
        <f t="shared" si="4"/>
        <v>21.995666666666665</v>
      </c>
    </row>
    <row r="17" spans="1:13">
      <c r="A17" s="200" t="str">
        <f t="shared" si="3"/>
        <v>ANH21</v>
      </c>
      <c r="B17" s="201" t="s">
        <v>8</v>
      </c>
      <c r="C17" s="201">
        <v>2021</v>
      </c>
      <c r="D17" s="207">
        <v>25.3243476554692</v>
      </c>
      <c r="E17" s="207">
        <v>14.253827623283</v>
      </c>
      <c r="F17" s="207">
        <f t="shared" si="0"/>
        <v>39.578175278752198</v>
      </c>
      <c r="G17" s="208">
        <f>Allowance!$F$13/5</f>
        <v>11.805505326920155</v>
      </c>
      <c r="H17" s="208">
        <f t="shared" si="1"/>
        <v>51.383680605672353</v>
      </c>
      <c r="I17" s="209">
        <f t="shared" si="5"/>
        <v>35.809729871915458</v>
      </c>
      <c r="J17" s="208">
        <v>32.609000000000002</v>
      </c>
      <c r="K17" s="208">
        <v>0.70599999999999996</v>
      </c>
      <c r="L17" s="208">
        <f t="shared" si="2"/>
        <v>33.315000000000005</v>
      </c>
      <c r="M17" s="209">
        <f t="shared" si="4"/>
        <v>25.907666666666671</v>
      </c>
    </row>
    <row r="18" spans="1:13">
      <c r="A18" s="200" t="str">
        <f t="shared" si="3"/>
        <v>ANH22</v>
      </c>
      <c r="B18" s="201" t="s">
        <v>8</v>
      </c>
      <c r="C18" s="201">
        <v>2022</v>
      </c>
      <c r="D18" s="207">
        <v>28.249522128457901</v>
      </c>
      <c r="E18" s="207">
        <v>15.927454981257601</v>
      </c>
      <c r="F18" s="207">
        <f t="shared" si="0"/>
        <v>44.176977109715502</v>
      </c>
      <c r="G18" s="208">
        <f>Allowance!$F$13/5</f>
        <v>11.805505326920155</v>
      </c>
      <c r="H18" s="208">
        <f t="shared" si="1"/>
        <v>55.982482436635657</v>
      </c>
      <c r="I18" s="209">
        <f t="shared" si="5"/>
        <v>44.866808205149511</v>
      </c>
      <c r="J18" s="208">
        <v>36.442</v>
      </c>
      <c r="K18" s="208">
        <v>0.72</v>
      </c>
      <c r="L18" s="208">
        <f t="shared" si="2"/>
        <v>37.161999999999999</v>
      </c>
      <c r="M18" s="209">
        <f t="shared" si="4"/>
        <v>31.516666666666669</v>
      </c>
    </row>
    <row r="19" spans="1:13">
      <c r="A19" s="200" t="str">
        <f t="shared" si="3"/>
        <v>ANH23</v>
      </c>
      <c r="B19" s="201" t="s">
        <v>8</v>
      </c>
      <c r="C19" s="201">
        <v>2023</v>
      </c>
      <c r="D19" s="207">
        <v>29.605609469457999</v>
      </c>
      <c r="E19" s="207">
        <v>16.703108924439</v>
      </c>
      <c r="F19" s="207">
        <f t="shared" si="0"/>
        <v>46.308718393896996</v>
      </c>
      <c r="G19" s="208">
        <f>Allowance!$F$13/5</f>
        <v>11.805505326920155</v>
      </c>
      <c r="H19" s="208">
        <f t="shared" si="1"/>
        <v>58.114223720817151</v>
      </c>
      <c r="I19" s="209">
        <f t="shared" si="5"/>
        <v>55.160128921041725</v>
      </c>
      <c r="J19" s="208">
        <v>38.182000000000002</v>
      </c>
      <c r="K19" s="208">
        <v>0.73</v>
      </c>
      <c r="L19" s="208">
        <f t="shared" si="2"/>
        <v>38.911999999999999</v>
      </c>
      <c r="M19" s="209">
        <f t="shared" si="4"/>
        <v>36.463000000000001</v>
      </c>
    </row>
    <row r="20" spans="1:13">
      <c r="A20" s="200" t="str">
        <f t="shared" si="3"/>
        <v>ANH24</v>
      </c>
      <c r="B20" s="201" t="s">
        <v>8</v>
      </c>
      <c r="C20" s="201">
        <v>2024</v>
      </c>
      <c r="D20" s="207">
        <v>29.415648421514</v>
      </c>
      <c r="E20" s="207">
        <v>16.641374850731701</v>
      </c>
      <c r="F20" s="207">
        <f t="shared" si="0"/>
        <v>46.057023272245701</v>
      </c>
      <c r="G20" s="208">
        <f>Allowance!$F$13/5</f>
        <v>11.805505326920155</v>
      </c>
      <c r="H20" s="208">
        <f t="shared" si="1"/>
        <v>57.862528599165856</v>
      </c>
      <c r="I20" s="209">
        <f t="shared" si="5"/>
        <v>57.319744918872892</v>
      </c>
      <c r="J20" s="208">
        <v>38.015000000000001</v>
      </c>
      <c r="K20" s="208">
        <v>0.69799999999999995</v>
      </c>
      <c r="L20" s="208">
        <f t="shared" si="2"/>
        <v>38.713000000000001</v>
      </c>
      <c r="M20" s="209">
        <f t="shared" si="4"/>
        <v>38.262333333333338</v>
      </c>
    </row>
    <row r="21" spans="1:13">
      <c r="A21" s="200" t="str">
        <f t="shared" si="3"/>
        <v>ANH25</v>
      </c>
      <c r="B21" s="201" t="s">
        <v>8</v>
      </c>
      <c r="C21" s="201">
        <v>2025</v>
      </c>
      <c r="D21" s="207">
        <v>27.5408194034733</v>
      </c>
      <c r="E21" s="207">
        <v>15.330620670883199</v>
      </c>
      <c r="F21" s="207">
        <f t="shared" si="0"/>
        <v>42.871440074356499</v>
      </c>
      <c r="G21" s="208">
        <f>Allowance!$F$13/5</f>
        <v>11.805505326920155</v>
      </c>
      <c r="H21" s="208">
        <f t="shared" si="1"/>
        <v>54.676945401276654</v>
      </c>
      <c r="I21" s="209">
        <f t="shared" si="5"/>
        <v>56.884565907086561</v>
      </c>
      <c r="J21" s="208">
        <v>35.005000000000003</v>
      </c>
      <c r="K21" s="208">
        <v>0.70299999999999996</v>
      </c>
      <c r="L21" s="208">
        <f t="shared" si="2"/>
        <v>35.708000000000006</v>
      </c>
      <c r="M21" s="209">
        <f t="shared" si="4"/>
        <v>37.777666666666669</v>
      </c>
    </row>
    <row r="22" spans="1:13">
      <c r="A22" s="200" t="str">
        <f t="shared" si="3"/>
        <v>NES12</v>
      </c>
      <c r="B22" s="201" t="s">
        <v>9</v>
      </c>
      <c r="C22" s="201">
        <v>2012</v>
      </c>
      <c r="D22" s="208">
        <v>3.6080312803746564</v>
      </c>
      <c r="E22" s="208">
        <v>4.4445641070955189</v>
      </c>
      <c r="F22" s="208">
        <f t="shared" si="0"/>
        <v>8.0525953874701752</v>
      </c>
      <c r="G22" s="208"/>
      <c r="H22" s="208">
        <f t="shared" si="1"/>
        <v>8.0525953874701752</v>
      </c>
      <c r="I22" s="209"/>
      <c r="J22" s="208">
        <v>8.3140000000000001</v>
      </c>
      <c r="K22" s="208">
        <v>0.34</v>
      </c>
      <c r="L22" s="208">
        <f t="shared" si="2"/>
        <v>8.6539999999999999</v>
      </c>
      <c r="M22" s="209"/>
    </row>
    <row r="23" spans="1:13">
      <c r="A23" s="200" t="str">
        <f t="shared" si="3"/>
        <v>NES13</v>
      </c>
      <c r="B23" s="201" t="s">
        <v>9</v>
      </c>
      <c r="C23" s="201">
        <v>2013</v>
      </c>
      <c r="D23" s="208">
        <v>2.9543941328731664</v>
      </c>
      <c r="E23" s="208">
        <v>4.2934748921484038</v>
      </c>
      <c r="F23" s="208">
        <f t="shared" si="0"/>
        <v>7.2478690250215703</v>
      </c>
      <c r="G23" s="208"/>
      <c r="H23" s="208">
        <f t="shared" si="1"/>
        <v>7.2478690250215703</v>
      </c>
      <c r="I23" s="209"/>
      <c r="J23" s="208">
        <v>7.9050000000000002</v>
      </c>
      <c r="K23" s="208">
        <v>0.56999999999999995</v>
      </c>
      <c r="L23" s="208">
        <f t="shared" si="2"/>
        <v>8.4749999999999996</v>
      </c>
      <c r="M23" s="209"/>
    </row>
    <row r="24" spans="1:13">
      <c r="A24" s="200" t="str">
        <f t="shared" si="3"/>
        <v>NES14</v>
      </c>
      <c r="B24" s="201" t="s">
        <v>9</v>
      </c>
      <c r="C24" s="201">
        <v>2014</v>
      </c>
      <c r="D24" s="208">
        <v>4.8260983772819452</v>
      </c>
      <c r="E24" s="208">
        <v>4.2141161257606479</v>
      </c>
      <c r="F24" s="208">
        <f t="shared" si="0"/>
        <v>9.0402145030425931</v>
      </c>
      <c r="G24" s="208"/>
      <c r="H24" s="208">
        <f t="shared" si="1"/>
        <v>9.0402145030425931</v>
      </c>
      <c r="I24" s="209">
        <f t="shared" ref="I24:I35" si="6">AVERAGE(H22:H24)</f>
        <v>8.1135596385114468</v>
      </c>
      <c r="J24" s="208">
        <v>9.5860000000000003</v>
      </c>
      <c r="K24" s="208">
        <v>0.55800000000000005</v>
      </c>
      <c r="L24" s="208">
        <f t="shared" si="2"/>
        <v>10.144</v>
      </c>
      <c r="M24" s="209">
        <f t="shared" ref="M24:M35" si="7">AVERAGE(L22:L24)</f>
        <v>9.0909999999999993</v>
      </c>
    </row>
    <row r="25" spans="1:13">
      <c r="A25" s="200" t="str">
        <f t="shared" si="3"/>
        <v>NES15</v>
      </c>
      <c r="B25" s="201" t="s">
        <v>9</v>
      </c>
      <c r="C25" s="201">
        <v>2015</v>
      </c>
      <c r="D25" s="208">
        <v>5.7487679451825864</v>
      </c>
      <c r="E25" s="208">
        <v>5.1489146820422835</v>
      </c>
      <c r="F25" s="208">
        <f t="shared" si="0"/>
        <v>10.897682627224871</v>
      </c>
      <c r="G25" s="208"/>
      <c r="H25" s="208">
        <f t="shared" si="1"/>
        <v>10.897682627224871</v>
      </c>
      <c r="I25" s="209">
        <f t="shared" si="6"/>
        <v>9.0619220517630108</v>
      </c>
      <c r="J25" s="208">
        <v>12.541</v>
      </c>
      <c r="K25" s="208">
        <v>0.67400000000000004</v>
      </c>
      <c r="L25" s="208">
        <f t="shared" si="2"/>
        <v>13.215</v>
      </c>
      <c r="M25" s="209">
        <f t="shared" si="7"/>
        <v>10.611333333333333</v>
      </c>
    </row>
    <row r="26" spans="1:13">
      <c r="A26" s="200" t="str">
        <f t="shared" si="3"/>
        <v>NES16</v>
      </c>
      <c r="B26" s="201" t="s">
        <v>9</v>
      </c>
      <c r="C26" s="201">
        <v>2016</v>
      </c>
      <c r="D26" s="208">
        <v>5.3925622296173037</v>
      </c>
      <c r="E26" s="208">
        <v>6.604666222961729</v>
      </c>
      <c r="F26" s="208">
        <f t="shared" si="0"/>
        <v>11.997228452579034</v>
      </c>
      <c r="G26" s="208"/>
      <c r="H26" s="208">
        <f t="shared" si="1"/>
        <v>11.997228452579034</v>
      </c>
      <c r="I26" s="209">
        <f t="shared" si="6"/>
        <v>10.645041860948833</v>
      </c>
      <c r="J26" s="208">
        <v>12.571</v>
      </c>
      <c r="K26" s="208">
        <v>0.49199999999999999</v>
      </c>
      <c r="L26" s="208">
        <f t="shared" si="2"/>
        <v>13.062999999999999</v>
      </c>
      <c r="M26" s="209">
        <f t="shared" si="7"/>
        <v>12.140666666666666</v>
      </c>
    </row>
    <row r="27" spans="1:13">
      <c r="A27" s="200" t="str">
        <f t="shared" si="3"/>
        <v>NES17</v>
      </c>
      <c r="B27" s="201" t="s">
        <v>9</v>
      </c>
      <c r="C27" s="201">
        <v>2017</v>
      </c>
      <c r="D27" s="208">
        <v>5.5802315962248663</v>
      </c>
      <c r="E27" s="208">
        <v>7.0602194501436184</v>
      </c>
      <c r="F27" s="208">
        <f t="shared" si="0"/>
        <v>12.640451046368485</v>
      </c>
      <c r="G27" s="208"/>
      <c r="H27" s="208">
        <f t="shared" si="1"/>
        <v>12.640451046368485</v>
      </c>
      <c r="I27" s="209">
        <f t="shared" si="6"/>
        <v>11.84512070872413</v>
      </c>
      <c r="J27" s="208">
        <v>13.279</v>
      </c>
      <c r="K27" s="208">
        <v>0.193</v>
      </c>
      <c r="L27" s="208">
        <f t="shared" si="2"/>
        <v>13.472</v>
      </c>
      <c r="M27" s="209">
        <f t="shared" si="7"/>
        <v>13.25</v>
      </c>
    </row>
    <row r="28" spans="1:13">
      <c r="A28" s="200" t="str">
        <f t="shared" si="3"/>
        <v>NES18</v>
      </c>
      <c r="B28" s="201" t="s">
        <v>9</v>
      </c>
      <c r="C28" s="201">
        <v>2018</v>
      </c>
      <c r="D28" s="208">
        <v>5.19</v>
      </c>
      <c r="E28" s="208">
        <v>7.0670000000000002</v>
      </c>
      <c r="F28" s="208">
        <f t="shared" si="0"/>
        <v>12.257000000000001</v>
      </c>
      <c r="G28" s="208"/>
      <c r="H28" s="208">
        <f t="shared" si="1"/>
        <v>12.257000000000001</v>
      </c>
      <c r="I28" s="209">
        <f t="shared" si="6"/>
        <v>12.298226499649175</v>
      </c>
      <c r="J28" s="208">
        <v>13.616</v>
      </c>
      <c r="K28" s="208">
        <v>0.72599999999999998</v>
      </c>
      <c r="L28" s="208">
        <f t="shared" si="2"/>
        <v>14.341999999999999</v>
      </c>
      <c r="M28" s="209">
        <f t="shared" si="7"/>
        <v>13.625666666666666</v>
      </c>
    </row>
    <row r="29" spans="1:13">
      <c r="A29" s="200" t="str">
        <f t="shared" si="3"/>
        <v>NES19</v>
      </c>
      <c r="B29" s="201" t="s">
        <v>9</v>
      </c>
      <c r="C29" s="201">
        <v>2019</v>
      </c>
      <c r="D29" s="208">
        <v>3.7823645621181501</v>
      </c>
      <c r="E29" s="208">
        <v>4.940291242362556</v>
      </c>
      <c r="F29" s="208">
        <f t="shared" si="0"/>
        <v>8.7226558044807057</v>
      </c>
      <c r="G29" s="208"/>
      <c r="H29" s="208">
        <f t="shared" si="1"/>
        <v>8.7226558044807057</v>
      </c>
      <c r="I29" s="209">
        <f t="shared" si="6"/>
        <v>11.2067022836164</v>
      </c>
      <c r="J29" s="208">
        <v>17.256</v>
      </c>
      <c r="K29" s="208">
        <v>0.48499999999999999</v>
      </c>
      <c r="L29" s="208">
        <f t="shared" si="2"/>
        <v>17.741</v>
      </c>
      <c r="M29" s="209">
        <f t="shared" si="7"/>
        <v>15.185</v>
      </c>
    </row>
    <row r="30" spans="1:13">
      <c r="A30" s="200" t="str">
        <f t="shared" si="3"/>
        <v>NES20</v>
      </c>
      <c r="B30" s="201" t="s">
        <v>9</v>
      </c>
      <c r="C30" s="201">
        <v>2020</v>
      </c>
      <c r="D30" s="208">
        <v>3.9166509448456228</v>
      </c>
      <c r="E30" s="208">
        <v>5.13670164387774</v>
      </c>
      <c r="F30" s="208">
        <f t="shared" si="0"/>
        <v>9.0533525887233637</v>
      </c>
      <c r="G30" s="208"/>
      <c r="H30" s="208">
        <f t="shared" si="1"/>
        <v>9.0533525887233637</v>
      </c>
      <c r="I30" s="209">
        <f t="shared" si="6"/>
        <v>10.01100279773469</v>
      </c>
      <c r="J30" s="208">
        <v>17.919</v>
      </c>
      <c r="K30" s="208">
        <v>0.48499999999999999</v>
      </c>
      <c r="L30" s="208">
        <f t="shared" si="2"/>
        <v>18.404</v>
      </c>
      <c r="M30" s="209">
        <f t="shared" si="7"/>
        <v>16.828999999999997</v>
      </c>
    </row>
    <row r="31" spans="1:13">
      <c r="A31" s="200" t="str">
        <f t="shared" si="3"/>
        <v>NES21</v>
      </c>
      <c r="B31" s="201" t="s">
        <v>9</v>
      </c>
      <c r="C31" s="201">
        <v>2021</v>
      </c>
      <c r="D31" s="208">
        <v>6.8540000000000001</v>
      </c>
      <c r="E31" s="208">
        <v>8.718</v>
      </c>
      <c r="F31" s="208">
        <f t="shared" si="0"/>
        <v>15.571999999999999</v>
      </c>
      <c r="G31" s="208">
        <f>Allowance!$F$15/5</f>
        <v>2.8797999999999995</v>
      </c>
      <c r="H31" s="208">
        <f t="shared" si="1"/>
        <v>18.451799999999999</v>
      </c>
      <c r="I31" s="209">
        <f t="shared" si="6"/>
        <v>12.075936131068024</v>
      </c>
      <c r="J31" s="208">
        <v>18.469000000000001</v>
      </c>
      <c r="K31" s="208">
        <v>0.48499999999999999</v>
      </c>
      <c r="L31" s="208">
        <f t="shared" si="2"/>
        <v>18.954000000000001</v>
      </c>
      <c r="M31" s="209">
        <f t="shared" si="7"/>
        <v>18.366333333333333</v>
      </c>
    </row>
    <row r="32" spans="1:13">
      <c r="A32" s="200" t="str">
        <f t="shared" si="3"/>
        <v>NES22</v>
      </c>
      <c r="B32" s="201" t="s">
        <v>9</v>
      </c>
      <c r="C32" s="201">
        <v>2022</v>
      </c>
      <c r="D32" s="208">
        <v>6.83</v>
      </c>
      <c r="E32" s="208">
        <v>8.5399999999999991</v>
      </c>
      <c r="F32" s="208">
        <f t="shared" si="0"/>
        <v>15.37</v>
      </c>
      <c r="G32" s="208">
        <f>Allowance!$F$15/5</f>
        <v>2.8797999999999995</v>
      </c>
      <c r="H32" s="208">
        <f t="shared" si="1"/>
        <v>18.2498</v>
      </c>
      <c r="I32" s="209">
        <f t="shared" si="6"/>
        <v>15.251650862907788</v>
      </c>
      <c r="J32" s="208">
        <v>18.257000000000001</v>
      </c>
      <c r="K32" s="208">
        <v>0.48499999999999999</v>
      </c>
      <c r="L32" s="208">
        <f t="shared" si="2"/>
        <v>18.742000000000001</v>
      </c>
      <c r="M32" s="209">
        <f t="shared" si="7"/>
        <v>18.700000000000003</v>
      </c>
    </row>
    <row r="33" spans="1:13">
      <c r="A33" s="200" t="str">
        <f t="shared" si="3"/>
        <v>NES23</v>
      </c>
      <c r="B33" s="201" t="s">
        <v>9</v>
      </c>
      <c r="C33" s="201">
        <v>2023</v>
      </c>
      <c r="D33" s="208">
        <v>6.6070000000000002</v>
      </c>
      <c r="E33" s="208">
        <v>8.3160000000000007</v>
      </c>
      <c r="F33" s="208">
        <f t="shared" si="0"/>
        <v>14.923000000000002</v>
      </c>
      <c r="G33" s="208">
        <f>Allowance!$F$15/5</f>
        <v>2.8797999999999995</v>
      </c>
      <c r="H33" s="208">
        <f t="shared" si="1"/>
        <v>17.802800000000001</v>
      </c>
      <c r="I33" s="209">
        <f t="shared" si="6"/>
        <v>18.168133333333333</v>
      </c>
      <c r="J33" s="208">
        <v>17.712</v>
      </c>
      <c r="K33" s="208">
        <v>0.48499999999999999</v>
      </c>
      <c r="L33" s="208">
        <f t="shared" si="2"/>
        <v>18.196999999999999</v>
      </c>
      <c r="M33" s="209">
        <f t="shared" si="7"/>
        <v>18.631</v>
      </c>
    </row>
    <row r="34" spans="1:13">
      <c r="A34" s="200" t="str">
        <f t="shared" si="3"/>
        <v>NES24</v>
      </c>
      <c r="B34" s="201" t="s">
        <v>9</v>
      </c>
      <c r="C34" s="201">
        <v>2024</v>
      </c>
      <c r="D34" s="208">
        <v>6.3869999999999996</v>
      </c>
      <c r="E34" s="208">
        <v>7.9950000000000001</v>
      </c>
      <c r="F34" s="208">
        <f t="shared" si="0"/>
        <v>14.382</v>
      </c>
      <c r="G34" s="208">
        <f>Allowance!$F$15/5</f>
        <v>2.8797999999999995</v>
      </c>
      <c r="H34" s="208">
        <f t="shared" si="1"/>
        <v>17.261800000000001</v>
      </c>
      <c r="I34" s="209">
        <f t="shared" si="6"/>
        <v>17.771466666666665</v>
      </c>
      <c r="J34" s="208">
        <v>17.074999999999999</v>
      </c>
      <c r="K34" s="208">
        <v>0.48499999999999999</v>
      </c>
      <c r="L34" s="208">
        <f t="shared" si="2"/>
        <v>17.559999999999999</v>
      </c>
      <c r="M34" s="209">
        <f t="shared" si="7"/>
        <v>18.166333333333331</v>
      </c>
    </row>
    <row r="35" spans="1:13">
      <c r="A35" s="200" t="str">
        <f t="shared" si="3"/>
        <v>NES25</v>
      </c>
      <c r="B35" s="201" t="s">
        <v>9</v>
      </c>
      <c r="C35" s="201">
        <v>2025</v>
      </c>
      <c r="D35" s="208">
        <v>6.43</v>
      </c>
      <c r="E35" s="208">
        <v>8.1080000000000005</v>
      </c>
      <c r="F35" s="208">
        <f t="shared" si="0"/>
        <v>14.538</v>
      </c>
      <c r="G35" s="208">
        <f>Allowance!$F$15/5</f>
        <v>2.8797999999999995</v>
      </c>
      <c r="H35" s="208">
        <f t="shared" si="1"/>
        <v>17.4178</v>
      </c>
      <c r="I35" s="209">
        <f t="shared" si="6"/>
        <v>17.494133333333334</v>
      </c>
      <c r="J35" s="208">
        <v>17.242999999999999</v>
      </c>
      <c r="K35" s="208">
        <v>0.48499999999999999</v>
      </c>
      <c r="L35" s="208">
        <f t="shared" si="2"/>
        <v>17.727999999999998</v>
      </c>
      <c r="M35" s="209">
        <f t="shared" si="7"/>
        <v>17.828333333333333</v>
      </c>
    </row>
    <row r="36" spans="1:13">
      <c r="A36" s="200" t="str">
        <f t="shared" si="3"/>
        <v>NWT12</v>
      </c>
      <c r="B36" s="201" t="s">
        <v>10</v>
      </c>
      <c r="C36" s="201">
        <v>2012</v>
      </c>
      <c r="D36" s="208">
        <v>17.94924443641094</v>
      </c>
      <c r="E36" s="208">
        <v>0</v>
      </c>
      <c r="F36" s="208">
        <f t="shared" si="0"/>
        <v>17.94924443641094</v>
      </c>
      <c r="G36" s="208"/>
      <c r="H36" s="208">
        <f t="shared" si="1"/>
        <v>17.94924443641094</v>
      </c>
      <c r="I36" s="209"/>
      <c r="J36" s="208">
        <v>11.907999999999999</v>
      </c>
      <c r="K36" s="208">
        <v>0.75800000000000001</v>
      </c>
      <c r="L36" s="208">
        <f t="shared" si="2"/>
        <v>12.666</v>
      </c>
      <c r="M36" s="209"/>
    </row>
    <row r="37" spans="1:13">
      <c r="A37" s="200" t="str">
        <f t="shared" si="3"/>
        <v>NWT13</v>
      </c>
      <c r="B37" s="201" t="s">
        <v>10</v>
      </c>
      <c r="C37" s="201">
        <v>2013</v>
      </c>
      <c r="D37" s="208">
        <v>7.2740605563397098</v>
      </c>
      <c r="E37" s="208">
        <v>0</v>
      </c>
      <c r="F37" s="208">
        <f t="shared" si="0"/>
        <v>7.2740605563397098</v>
      </c>
      <c r="G37" s="208"/>
      <c r="H37" s="208">
        <f t="shared" si="1"/>
        <v>7.2740605563397098</v>
      </c>
      <c r="I37" s="209"/>
      <c r="J37" s="208">
        <v>11.56</v>
      </c>
      <c r="K37" s="208">
        <v>0.71899999999999997</v>
      </c>
      <c r="L37" s="208">
        <f t="shared" si="2"/>
        <v>12.279</v>
      </c>
      <c r="M37" s="209"/>
    </row>
    <row r="38" spans="1:13">
      <c r="A38" s="200" t="str">
        <f t="shared" si="3"/>
        <v>NWT14</v>
      </c>
      <c r="B38" s="201" t="s">
        <v>10</v>
      </c>
      <c r="C38" s="201">
        <v>2014</v>
      </c>
      <c r="D38" s="208">
        <v>20.14057372739315</v>
      </c>
      <c r="E38" s="208">
        <v>0</v>
      </c>
      <c r="F38" s="208">
        <f t="shared" si="0"/>
        <v>20.14057372739315</v>
      </c>
      <c r="G38" s="208"/>
      <c r="H38" s="208">
        <f t="shared" si="1"/>
        <v>20.14057372739315</v>
      </c>
      <c r="I38" s="209">
        <f t="shared" ref="I38:I49" si="8">AVERAGE(H36:H38)</f>
        <v>15.121292906714601</v>
      </c>
      <c r="J38" s="208">
        <v>12.677</v>
      </c>
      <c r="K38" s="208">
        <v>0.66800000000000004</v>
      </c>
      <c r="L38" s="208">
        <f t="shared" si="2"/>
        <v>13.344999999999999</v>
      </c>
      <c r="M38" s="209">
        <f t="shared" ref="M38:M49" si="9">AVERAGE(L36:L38)</f>
        <v>12.763333333333334</v>
      </c>
    </row>
    <row r="39" spans="1:13">
      <c r="A39" s="200" t="str">
        <f t="shared" si="3"/>
        <v>NWT15</v>
      </c>
      <c r="B39" s="201" t="s">
        <v>10</v>
      </c>
      <c r="C39" s="201">
        <v>2015</v>
      </c>
      <c r="D39" s="208">
        <v>25.51571473336621</v>
      </c>
      <c r="E39" s="208">
        <v>0</v>
      </c>
      <c r="F39" s="208">
        <f t="shared" si="0"/>
        <v>25.51571473336621</v>
      </c>
      <c r="G39" s="208"/>
      <c r="H39" s="208">
        <f t="shared" si="1"/>
        <v>25.51571473336621</v>
      </c>
      <c r="I39" s="209">
        <f t="shared" si="8"/>
        <v>17.643449672366355</v>
      </c>
      <c r="J39" s="208">
        <v>15.451000000000001</v>
      </c>
      <c r="K39" s="208">
        <v>0.69</v>
      </c>
      <c r="L39" s="208">
        <f t="shared" si="2"/>
        <v>16.141000000000002</v>
      </c>
      <c r="M39" s="209">
        <f t="shared" si="9"/>
        <v>13.921666666666667</v>
      </c>
    </row>
    <row r="40" spans="1:13">
      <c r="A40" s="200" t="str">
        <f t="shared" si="3"/>
        <v>NWT16</v>
      </c>
      <c r="B40" s="201" t="s">
        <v>10</v>
      </c>
      <c r="C40" s="201">
        <v>2016</v>
      </c>
      <c r="D40" s="208">
        <v>25.680616736717067</v>
      </c>
      <c r="E40" s="208">
        <v>0</v>
      </c>
      <c r="F40" s="208">
        <f t="shared" ref="F40:F70" si="10">D40+E40</f>
        <v>25.680616736717067</v>
      </c>
      <c r="G40" s="208"/>
      <c r="H40" s="208">
        <f t="shared" ref="H40:H70" si="11">F40+G40</f>
        <v>25.680616736717067</v>
      </c>
      <c r="I40" s="209">
        <f t="shared" si="8"/>
        <v>23.77896839915881</v>
      </c>
      <c r="J40" s="208">
        <v>19.273</v>
      </c>
      <c r="K40" s="208">
        <v>0.71899999999999997</v>
      </c>
      <c r="L40" s="208">
        <f t="shared" ref="L40:L70" si="12">J40+K40</f>
        <v>19.992000000000001</v>
      </c>
      <c r="M40" s="209">
        <f t="shared" si="9"/>
        <v>16.492666666666668</v>
      </c>
    </row>
    <row r="41" spans="1:13">
      <c r="A41" s="200" t="str">
        <f t="shared" si="3"/>
        <v>NWT17</v>
      </c>
      <c r="B41" s="201" t="s">
        <v>10</v>
      </c>
      <c r="C41" s="201">
        <v>2017</v>
      </c>
      <c r="D41" s="208">
        <v>26.368902437907746</v>
      </c>
      <c r="E41" s="208">
        <v>0</v>
      </c>
      <c r="F41" s="208">
        <f t="shared" si="10"/>
        <v>26.368902437907746</v>
      </c>
      <c r="G41" s="208"/>
      <c r="H41" s="208">
        <f t="shared" si="11"/>
        <v>26.368902437907746</v>
      </c>
      <c r="I41" s="209">
        <f t="shared" si="8"/>
        <v>25.855077969330342</v>
      </c>
      <c r="J41" s="208">
        <v>19.946999999999999</v>
      </c>
      <c r="K41" s="208">
        <v>0.79300000000000004</v>
      </c>
      <c r="L41" s="208">
        <f t="shared" si="12"/>
        <v>20.74</v>
      </c>
      <c r="M41" s="209">
        <f t="shared" si="9"/>
        <v>18.957666666666668</v>
      </c>
    </row>
    <row r="42" spans="1:13">
      <c r="A42" s="200" t="str">
        <f t="shared" si="3"/>
        <v>NWT18</v>
      </c>
      <c r="B42" s="201" t="s">
        <v>10</v>
      </c>
      <c r="C42" s="201">
        <v>2018</v>
      </c>
      <c r="D42" s="208">
        <v>27.7582350868155</v>
      </c>
      <c r="E42" s="208">
        <v>7.3710000000000004</v>
      </c>
      <c r="F42" s="208">
        <f t="shared" si="10"/>
        <v>35.129235086815498</v>
      </c>
      <c r="G42" s="208"/>
      <c r="H42" s="208">
        <f t="shared" si="11"/>
        <v>35.129235086815498</v>
      </c>
      <c r="I42" s="209">
        <f t="shared" si="8"/>
        <v>29.059584753813436</v>
      </c>
      <c r="J42" s="208">
        <v>22.478999999999999</v>
      </c>
      <c r="K42" s="208">
        <v>0.82299999999999995</v>
      </c>
      <c r="L42" s="208">
        <f t="shared" si="12"/>
        <v>23.302</v>
      </c>
      <c r="M42" s="209">
        <f t="shared" si="9"/>
        <v>21.344666666666665</v>
      </c>
    </row>
    <row r="43" spans="1:13">
      <c r="A43" s="200" t="str">
        <f t="shared" si="3"/>
        <v>NWT19</v>
      </c>
      <c r="B43" s="201" t="s">
        <v>10</v>
      </c>
      <c r="C43" s="201">
        <v>2019</v>
      </c>
      <c r="D43" s="208">
        <v>26.368863886305199</v>
      </c>
      <c r="E43" s="208">
        <v>7.4350564710175826</v>
      </c>
      <c r="F43" s="208">
        <f t="shared" si="10"/>
        <v>33.803920357322781</v>
      </c>
      <c r="G43" s="208"/>
      <c r="H43" s="208">
        <f t="shared" si="11"/>
        <v>33.803920357322781</v>
      </c>
      <c r="I43" s="209">
        <f t="shared" si="8"/>
        <v>31.767352627348675</v>
      </c>
      <c r="J43" s="208">
        <v>22.138000000000002</v>
      </c>
      <c r="K43" s="208">
        <v>1.107</v>
      </c>
      <c r="L43" s="208">
        <f t="shared" si="12"/>
        <v>23.245000000000001</v>
      </c>
      <c r="M43" s="209">
        <f t="shared" si="9"/>
        <v>22.429000000000002</v>
      </c>
    </row>
    <row r="44" spans="1:13">
      <c r="A44" s="200" t="str">
        <f t="shared" si="3"/>
        <v>NWT20</v>
      </c>
      <c r="B44" s="201" t="s">
        <v>10</v>
      </c>
      <c r="C44" s="201">
        <v>2020</v>
      </c>
      <c r="D44" s="208">
        <v>25.406088806409663</v>
      </c>
      <c r="E44" s="208">
        <v>7.882662960611035</v>
      </c>
      <c r="F44" s="208">
        <f t="shared" si="10"/>
        <v>33.288751767020699</v>
      </c>
      <c r="G44" s="208"/>
      <c r="H44" s="208">
        <f t="shared" si="11"/>
        <v>33.288751767020699</v>
      </c>
      <c r="I44" s="209">
        <f t="shared" si="8"/>
        <v>34.073969070386326</v>
      </c>
      <c r="J44" s="208">
        <v>23.233000000000001</v>
      </c>
      <c r="K44" s="208">
        <v>1.1619999999999999</v>
      </c>
      <c r="L44" s="208">
        <f t="shared" si="12"/>
        <v>24.395</v>
      </c>
      <c r="M44" s="209">
        <f t="shared" si="9"/>
        <v>23.647333333333332</v>
      </c>
    </row>
    <row r="45" spans="1:13">
      <c r="A45" s="200" t="str">
        <f t="shared" si="3"/>
        <v>NWT21</v>
      </c>
      <c r="B45" s="201" t="s">
        <v>10</v>
      </c>
      <c r="C45" s="201">
        <v>2021</v>
      </c>
      <c r="D45" s="208">
        <v>19.558454745133801</v>
      </c>
      <c r="E45" s="208">
        <v>8.3350000000000009</v>
      </c>
      <c r="F45" s="208">
        <f t="shared" si="10"/>
        <v>27.893454745133802</v>
      </c>
      <c r="G45" s="208">
        <f>Allowance!$F$16/5</f>
        <v>0</v>
      </c>
      <c r="H45" s="208">
        <f t="shared" si="11"/>
        <v>27.893454745133802</v>
      </c>
      <c r="I45" s="209">
        <f t="shared" si="8"/>
        <v>31.662042289825763</v>
      </c>
      <c r="J45" s="208">
        <v>24.327999999999999</v>
      </c>
      <c r="K45" s="208">
        <v>1.216</v>
      </c>
      <c r="L45" s="208">
        <f t="shared" si="12"/>
        <v>25.544</v>
      </c>
      <c r="M45" s="209">
        <f t="shared" si="9"/>
        <v>24.394666666666666</v>
      </c>
    </row>
    <row r="46" spans="1:13">
      <c r="A46" s="200" t="str">
        <f t="shared" si="3"/>
        <v>NWT22</v>
      </c>
      <c r="B46" s="201" t="s">
        <v>10</v>
      </c>
      <c r="C46" s="201">
        <v>2022</v>
      </c>
      <c r="D46" s="208">
        <v>19.166367449682902</v>
      </c>
      <c r="E46" s="208">
        <v>8.7959999999999994</v>
      </c>
      <c r="F46" s="208">
        <f t="shared" si="10"/>
        <v>27.962367449682901</v>
      </c>
      <c r="G46" s="208">
        <f>Allowance!$F$16/5</f>
        <v>0</v>
      </c>
      <c r="H46" s="208">
        <f t="shared" si="11"/>
        <v>27.962367449682901</v>
      </c>
      <c r="I46" s="209">
        <f t="shared" si="8"/>
        <v>29.714857987279135</v>
      </c>
      <c r="J46" s="208">
        <v>25.423999999999999</v>
      </c>
      <c r="K46" s="208">
        <v>1.2709999999999999</v>
      </c>
      <c r="L46" s="208">
        <f t="shared" si="12"/>
        <v>26.695</v>
      </c>
      <c r="M46" s="209">
        <f t="shared" si="9"/>
        <v>25.544666666666668</v>
      </c>
    </row>
    <row r="47" spans="1:13">
      <c r="A47" s="200" t="str">
        <f t="shared" si="3"/>
        <v>NWT23</v>
      </c>
      <c r="B47" s="201" t="s">
        <v>10</v>
      </c>
      <c r="C47" s="201">
        <v>2023</v>
      </c>
      <c r="D47" s="208">
        <v>18.766955768982399</v>
      </c>
      <c r="E47" s="208">
        <v>9.2650000000000006</v>
      </c>
      <c r="F47" s="208">
        <f t="shared" si="10"/>
        <v>28.031955768982399</v>
      </c>
      <c r="G47" s="208">
        <f>Allowance!$F$16/5</f>
        <v>0</v>
      </c>
      <c r="H47" s="208">
        <f t="shared" si="11"/>
        <v>28.031955768982399</v>
      </c>
      <c r="I47" s="209">
        <f t="shared" si="8"/>
        <v>27.9625926545997</v>
      </c>
      <c r="J47" s="208">
        <v>26.518999999999998</v>
      </c>
      <c r="K47" s="208">
        <v>1.3260000000000001</v>
      </c>
      <c r="L47" s="208">
        <f t="shared" si="12"/>
        <v>27.844999999999999</v>
      </c>
      <c r="M47" s="209">
        <f t="shared" si="9"/>
        <v>26.694666666666667</v>
      </c>
    </row>
    <row r="48" spans="1:13">
      <c r="A48" s="200" t="str">
        <f t="shared" si="3"/>
        <v>NWT24</v>
      </c>
      <c r="B48" s="201" t="s">
        <v>10</v>
      </c>
      <c r="C48" s="201">
        <v>2024</v>
      </c>
      <c r="D48" s="208">
        <v>18.830759003498699</v>
      </c>
      <c r="E48" s="208">
        <v>9.7420000000000009</v>
      </c>
      <c r="F48" s="208">
        <f t="shared" si="10"/>
        <v>28.5727590034987</v>
      </c>
      <c r="G48" s="208">
        <f>Allowance!$F$16/5</f>
        <v>0</v>
      </c>
      <c r="H48" s="208">
        <f t="shared" si="11"/>
        <v>28.5727590034987</v>
      </c>
      <c r="I48" s="209">
        <f t="shared" si="8"/>
        <v>28.189027407388</v>
      </c>
      <c r="J48" s="208">
        <v>27.614000000000001</v>
      </c>
      <c r="K48" s="208">
        <v>1.381</v>
      </c>
      <c r="L48" s="208">
        <f t="shared" si="12"/>
        <v>28.995000000000001</v>
      </c>
      <c r="M48" s="209">
        <f t="shared" si="9"/>
        <v>27.844999999999999</v>
      </c>
    </row>
    <row r="49" spans="1:13">
      <c r="A49" s="200" t="str">
        <f t="shared" si="3"/>
        <v>NWT25</v>
      </c>
      <c r="B49" s="201" t="s">
        <v>10</v>
      </c>
      <c r="C49" s="201">
        <v>2025</v>
      </c>
      <c r="D49" s="208">
        <v>18.935242100115399</v>
      </c>
      <c r="E49" s="208">
        <v>10.227</v>
      </c>
      <c r="F49" s="208">
        <f t="shared" si="10"/>
        <v>29.1622421001154</v>
      </c>
      <c r="G49" s="208">
        <f>Allowance!$F$16/5</f>
        <v>0</v>
      </c>
      <c r="H49" s="208">
        <f t="shared" si="11"/>
        <v>29.1622421001154</v>
      </c>
      <c r="I49" s="209">
        <f t="shared" si="8"/>
        <v>28.58898562419883</v>
      </c>
      <c r="J49" s="208">
        <v>28.709</v>
      </c>
      <c r="K49" s="208">
        <v>1.4350000000000001</v>
      </c>
      <c r="L49" s="208">
        <f t="shared" si="12"/>
        <v>30.143999999999998</v>
      </c>
      <c r="M49" s="209">
        <f t="shared" si="9"/>
        <v>28.994666666666671</v>
      </c>
    </row>
    <row r="50" spans="1:13">
      <c r="A50" s="200" t="str">
        <f t="shared" si="3"/>
        <v>SRN12</v>
      </c>
      <c r="B50" s="201" t="s">
        <v>11</v>
      </c>
      <c r="C50" s="201">
        <v>2012</v>
      </c>
      <c r="D50" s="208">
        <v>7.8669447733498243</v>
      </c>
      <c r="E50" s="208">
        <v>0</v>
      </c>
      <c r="F50" s="208">
        <f t="shared" si="10"/>
        <v>7.8669447733498243</v>
      </c>
      <c r="G50" s="208"/>
      <c r="H50" s="208">
        <f t="shared" si="11"/>
        <v>7.8669447733498243</v>
      </c>
      <c r="I50" s="209"/>
      <c r="J50" s="208">
        <v>6.1760000000000002</v>
      </c>
      <c r="K50" s="208">
        <v>0.34399999999999997</v>
      </c>
      <c r="L50" s="208">
        <f t="shared" si="12"/>
        <v>6.5200000000000005</v>
      </c>
      <c r="M50" s="209"/>
    </row>
    <row r="51" spans="1:13">
      <c r="A51" s="200" t="str">
        <f t="shared" si="3"/>
        <v>SRN13</v>
      </c>
      <c r="B51" s="201" t="s">
        <v>11</v>
      </c>
      <c r="C51" s="201">
        <v>2013</v>
      </c>
      <c r="D51" s="208">
        <v>3.7701435720448666</v>
      </c>
      <c r="E51" s="208">
        <v>0</v>
      </c>
      <c r="F51" s="208">
        <f t="shared" si="10"/>
        <v>3.7701435720448666</v>
      </c>
      <c r="G51" s="208"/>
      <c r="H51" s="208">
        <f t="shared" si="11"/>
        <v>3.7701435720448666</v>
      </c>
      <c r="I51" s="209"/>
      <c r="J51" s="208">
        <v>5.2069999999999999</v>
      </c>
      <c r="K51" s="208">
        <v>0.34899999999999998</v>
      </c>
      <c r="L51" s="208">
        <f t="shared" si="12"/>
        <v>5.556</v>
      </c>
      <c r="M51" s="209"/>
    </row>
    <row r="52" spans="1:13">
      <c r="A52" s="200" t="str">
        <f t="shared" si="3"/>
        <v>SRN14</v>
      </c>
      <c r="B52" s="201" t="s">
        <v>11</v>
      </c>
      <c r="C52" s="201">
        <v>2014</v>
      </c>
      <c r="D52" s="208">
        <v>3.3939119337390116</v>
      </c>
      <c r="E52" s="208">
        <v>0</v>
      </c>
      <c r="F52" s="208">
        <f t="shared" si="10"/>
        <v>3.3939119337390116</v>
      </c>
      <c r="G52" s="208"/>
      <c r="H52" s="208">
        <f t="shared" si="11"/>
        <v>3.3939119337390116</v>
      </c>
      <c r="I52" s="209">
        <f t="shared" ref="I52:I63" si="13">AVERAGE(H50:H52)</f>
        <v>5.0103334263779011</v>
      </c>
      <c r="J52" s="208">
        <v>5.7619999999999996</v>
      </c>
      <c r="K52" s="208">
        <v>0.29499999999999998</v>
      </c>
      <c r="L52" s="208">
        <f t="shared" si="12"/>
        <v>6.0569999999999995</v>
      </c>
      <c r="M52" s="209">
        <f t="shared" ref="M52:M63" si="14">AVERAGE(L50:L52)</f>
        <v>6.0443333333333333</v>
      </c>
    </row>
    <row r="53" spans="1:13">
      <c r="A53" s="200" t="str">
        <f t="shared" si="3"/>
        <v>SRN15</v>
      </c>
      <c r="B53" s="201" t="s">
        <v>11</v>
      </c>
      <c r="C53" s="201">
        <v>2015</v>
      </c>
      <c r="D53" s="208">
        <v>4.1509009776886447</v>
      </c>
      <c r="E53" s="208">
        <v>0</v>
      </c>
      <c r="F53" s="208">
        <f t="shared" si="10"/>
        <v>4.1509009776886447</v>
      </c>
      <c r="G53" s="208"/>
      <c r="H53" s="208">
        <f t="shared" si="11"/>
        <v>4.1509009776886447</v>
      </c>
      <c r="I53" s="209">
        <f t="shared" si="13"/>
        <v>3.7716521611575078</v>
      </c>
      <c r="J53" s="208">
        <v>7.3280000000000003</v>
      </c>
      <c r="K53" s="208">
        <v>0.247</v>
      </c>
      <c r="L53" s="208">
        <f t="shared" si="12"/>
        <v>7.5750000000000002</v>
      </c>
      <c r="M53" s="209">
        <f t="shared" si="14"/>
        <v>6.3959999999999999</v>
      </c>
    </row>
    <row r="54" spans="1:13">
      <c r="A54" s="200" t="str">
        <f t="shared" si="3"/>
        <v>SRN16</v>
      </c>
      <c r="B54" s="201" t="s">
        <v>11</v>
      </c>
      <c r="C54" s="201">
        <v>2016</v>
      </c>
      <c r="D54" s="208">
        <v>4.9378931780366049</v>
      </c>
      <c r="E54" s="208">
        <v>0</v>
      </c>
      <c r="F54" s="208">
        <f t="shared" si="10"/>
        <v>4.9378931780366049</v>
      </c>
      <c r="G54" s="208"/>
      <c r="H54" s="208">
        <f t="shared" si="11"/>
        <v>4.9378931780366049</v>
      </c>
      <c r="I54" s="209">
        <f t="shared" si="13"/>
        <v>4.160902029821421</v>
      </c>
      <c r="J54" s="208">
        <v>6.7290000000000001</v>
      </c>
      <c r="K54" s="208">
        <v>0.248</v>
      </c>
      <c r="L54" s="208">
        <f t="shared" si="12"/>
        <v>6.9770000000000003</v>
      </c>
      <c r="M54" s="209">
        <f t="shared" si="14"/>
        <v>6.8696666666666673</v>
      </c>
    </row>
    <row r="55" spans="1:13">
      <c r="A55" s="200" t="str">
        <f t="shared" si="3"/>
        <v>SRN17</v>
      </c>
      <c r="B55" s="201" t="s">
        <v>11</v>
      </c>
      <c r="C55" s="201">
        <v>2017</v>
      </c>
      <c r="D55" s="208">
        <v>5.8932664751743946</v>
      </c>
      <c r="E55" s="208">
        <v>0</v>
      </c>
      <c r="F55" s="208">
        <f t="shared" si="10"/>
        <v>5.8932664751743946</v>
      </c>
      <c r="G55" s="208"/>
      <c r="H55" s="208">
        <f t="shared" si="11"/>
        <v>5.8932664751743946</v>
      </c>
      <c r="I55" s="209">
        <f t="shared" si="13"/>
        <v>4.9940202102998814</v>
      </c>
      <c r="J55" s="208">
        <v>6.42</v>
      </c>
      <c r="K55" s="208">
        <v>0.70699999999999996</v>
      </c>
      <c r="L55" s="208">
        <f t="shared" si="12"/>
        <v>7.1269999999999998</v>
      </c>
      <c r="M55" s="209">
        <f t="shared" si="14"/>
        <v>7.2263333333333328</v>
      </c>
    </row>
    <row r="56" spans="1:13">
      <c r="A56" s="200" t="str">
        <f t="shared" si="3"/>
        <v>SRN18</v>
      </c>
      <c r="B56" s="201" t="s">
        <v>11</v>
      </c>
      <c r="C56" s="201">
        <v>2018</v>
      </c>
      <c r="D56" s="208">
        <v>7.1989999999999998</v>
      </c>
      <c r="E56" s="208">
        <v>3.6720000000000002</v>
      </c>
      <c r="F56" s="208">
        <f t="shared" si="10"/>
        <v>10.871</v>
      </c>
      <c r="G56" s="208"/>
      <c r="H56" s="208">
        <f t="shared" si="11"/>
        <v>10.871</v>
      </c>
      <c r="I56" s="209">
        <f t="shared" si="13"/>
        <v>7.2340532177369994</v>
      </c>
      <c r="J56" s="208">
        <v>7.2610000000000001</v>
      </c>
      <c r="K56" s="208">
        <v>0.58199999999999996</v>
      </c>
      <c r="L56" s="208">
        <f t="shared" si="12"/>
        <v>7.843</v>
      </c>
      <c r="M56" s="209">
        <f t="shared" si="14"/>
        <v>7.3156666666666661</v>
      </c>
    </row>
    <row r="57" spans="1:13">
      <c r="A57" s="200" t="str">
        <f t="shared" si="3"/>
        <v>SRN19</v>
      </c>
      <c r="B57" s="201" t="s">
        <v>11</v>
      </c>
      <c r="C57" s="201">
        <v>2019</v>
      </c>
      <c r="D57" s="208">
        <v>5.8727566046584343</v>
      </c>
      <c r="E57" s="208">
        <v>3.8532634047209635</v>
      </c>
      <c r="F57" s="208">
        <f t="shared" si="10"/>
        <v>9.7260200093793969</v>
      </c>
      <c r="G57" s="208"/>
      <c r="H57" s="208">
        <f t="shared" si="11"/>
        <v>9.7260200093793969</v>
      </c>
      <c r="I57" s="209">
        <f t="shared" si="13"/>
        <v>8.830095494851264</v>
      </c>
      <c r="J57" s="208">
        <v>7.3280000000000003</v>
      </c>
      <c r="K57" s="208">
        <v>0.40100000000000002</v>
      </c>
      <c r="L57" s="208">
        <f t="shared" si="12"/>
        <v>7.7290000000000001</v>
      </c>
      <c r="M57" s="209">
        <f t="shared" si="14"/>
        <v>7.5663333333333327</v>
      </c>
    </row>
    <row r="58" spans="1:13">
      <c r="A58" s="200" t="str">
        <f t="shared" si="3"/>
        <v>SRN20</v>
      </c>
      <c r="B58" s="201" t="s">
        <v>11</v>
      </c>
      <c r="C58" s="201">
        <v>2020</v>
      </c>
      <c r="D58" s="208">
        <v>7.6439383037354567</v>
      </c>
      <c r="E58" s="208">
        <v>3.6022717391304346</v>
      </c>
      <c r="F58" s="208">
        <f t="shared" si="10"/>
        <v>11.246210042865892</v>
      </c>
      <c r="G58" s="208"/>
      <c r="H58" s="208">
        <f t="shared" si="11"/>
        <v>11.246210042865892</v>
      </c>
      <c r="I58" s="209">
        <f t="shared" si="13"/>
        <v>10.614410017415096</v>
      </c>
      <c r="J58" s="208">
        <v>7.0449999999999999</v>
      </c>
      <c r="K58" s="208">
        <v>0.38600000000000001</v>
      </c>
      <c r="L58" s="208">
        <f t="shared" si="12"/>
        <v>7.431</v>
      </c>
      <c r="M58" s="209">
        <f t="shared" si="14"/>
        <v>7.6676666666666664</v>
      </c>
    </row>
    <row r="59" spans="1:13">
      <c r="A59" s="200" t="str">
        <f t="shared" si="3"/>
        <v>SRN21</v>
      </c>
      <c r="B59" s="201" t="s">
        <v>11</v>
      </c>
      <c r="C59" s="201">
        <v>2021</v>
      </c>
      <c r="D59" s="208">
        <v>11.358000000000001</v>
      </c>
      <c r="E59" s="208">
        <v>8.9909999999999997</v>
      </c>
      <c r="F59" s="208">
        <f t="shared" si="10"/>
        <v>20.349</v>
      </c>
      <c r="G59" s="208">
        <f>Allowance!$F$17/5</f>
        <v>0</v>
      </c>
      <c r="H59" s="208">
        <f t="shared" si="11"/>
        <v>20.349</v>
      </c>
      <c r="I59" s="209">
        <f t="shared" si="13"/>
        <v>13.773743350748427</v>
      </c>
      <c r="J59" s="208">
        <v>13.175000000000001</v>
      </c>
      <c r="K59" s="208">
        <v>0.72099999999999997</v>
      </c>
      <c r="L59" s="208">
        <f t="shared" si="12"/>
        <v>13.896000000000001</v>
      </c>
      <c r="M59" s="209">
        <f t="shared" si="14"/>
        <v>9.6853333333333342</v>
      </c>
    </row>
    <row r="60" spans="1:13">
      <c r="A60" s="200" t="str">
        <f t="shared" si="3"/>
        <v>SRN22</v>
      </c>
      <c r="B60" s="201" t="s">
        <v>11</v>
      </c>
      <c r="C60" s="201">
        <v>2022</v>
      </c>
      <c r="D60" s="208">
        <v>11.358000000000001</v>
      </c>
      <c r="E60" s="208">
        <v>8.9909999999999997</v>
      </c>
      <c r="F60" s="208">
        <f t="shared" si="10"/>
        <v>20.349</v>
      </c>
      <c r="G60" s="208">
        <f>Allowance!$F$17/5</f>
        <v>0</v>
      </c>
      <c r="H60" s="208">
        <f t="shared" si="11"/>
        <v>20.349</v>
      </c>
      <c r="I60" s="209">
        <f t="shared" si="13"/>
        <v>17.314736680955296</v>
      </c>
      <c r="J60" s="208">
        <v>12.569000000000001</v>
      </c>
      <c r="K60" s="208">
        <v>0.68799999999999994</v>
      </c>
      <c r="L60" s="208">
        <f t="shared" si="12"/>
        <v>13.257000000000001</v>
      </c>
      <c r="M60" s="209">
        <f t="shared" si="14"/>
        <v>11.528</v>
      </c>
    </row>
    <row r="61" spans="1:13">
      <c r="A61" s="200" t="str">
        <f t="shared" si="3"/>
        <v>SRN23</v>
      </c>
      <c r="B61" s="201" t="s">
        <v>11</v>
      </c>
      <c r="C61" s="201">
        <v>2023</v>
      </c>
      <c r="D61" s="208">
        <v>11.358000000000001</v>
      </c>
      <c r="E61" s="208">
        <v>8.9909999999999997</v>
      </c>
      <c r="F61" s="208">
        <f t="shared" si="10"/>
        <v>20.349</v>
      </c>
      <c r="G61" s="208">
        <f>Allowance!$F$17/5</f>
        <v>0</v>
      </c>
      <c r="H61" s="208">
        <f t="shared" si="11"/>
        <v>20.349</v>
      </c>
      <c r="I61" s="209">
        <f t="shared" si="13"/>
        <v>20.349</v>
      </c>
      <c r="J61" s="208">
        <v>12.226000000000001</v>
      </c>
      <c r="K61" s="208">
        <v>0.66900000000000004</v>
      </c>
      <c r="L61" s="208">
        <f t="shared" si="12"/>
        <v>12.895000000000001</v>
      </c>
      <c r="M61" s="209">
        <f t="shared" si="14"/>
        <v>13.349333333333334</v>
      </c>
    </row>
    <row r="62" spans="1:13">
      <c r="A62" s="200" t="str">
        <f t="shared" si="3"/>
        <v>SRN24</v>
      </c>
      <c r="B62" s="201" t="s">
        <v>11</v>
      </c>
      <c r="C62" s="201">
        <v>2024</v>
      </c>
      <c r="D62" s="208">
        <v>11.358000000000001</v>
      </c>
      <c r="E62" s="208">
        <v>8.9909999999999997</v>
      </c>
      <c r="F62" s="208">
        <f t="shared" si="10"/>
        <v>20.349</v>
      </c>
      <c r="G62" s="208">
        <f>Allowance!$F$17/5</f>
        <v>0</v>
      </c>
      <c r="H62" s="208">
        <f t="shared" si="11"/>
        <v>20.349</v>
      </c>
      <c r="I62" s="209">
        <f t="shared" si="13"/>
        <v>20.349</v>
      </c>
      <c r="J62" s="208">
        <v>12.119</v>
      </c>
      <c r="K62" s="208">
        <v>0.66400000000000003</v>
      </c>
      <c r="L62" s="208">
        <f t="shared" si="12"/>
        <v>12.782999999999999</v>
      </c>
      <c r="M62" s="209">
        <f t="shared" si="14"/>
        <v>12.978333333333333</v>
      </c>
    </row>
    <row r="63" spans="1:13">
      <c r="A63" s="200" t="str">
        <f t="shared" si="3"/>
        <v>SRN25</v>
      </c>
      <c r="B63" s="201" t="s">
        <v>11</v>
      </c>
      <c r="C63" s="201">
        <v>2025</v>
      </c>
      <c r="D63" s="208">
        <v>12.276</v>
      </c>
      <c r="E63" s="208">
        <v>8.9909999999999997</v>
      </c>
      <c r="F63" s="208">
        <f t="shared" si="10"/>
        <v>21.266999999999999</v>
      </c>
      <c r="G63" s="208">
        <f>Allowance!$F$17/5</f>
        <v>0</v>
      </c>
      <c r="H63" s="208">
        <f t="shared" si="11"/>
        <v>21.266999999999999</v>
      </c>
      <c r="I63" s="209">
        <f t="shared" si="13"/>
        <v>20.655000000000001</v>
      </c>
      <c r="J63" s="208">
        <v>11.502000000000001</v>
      </c>
      <c r="K63" s="208">
        <v>0.63</v>
      </c>
      <c r="L63" s="208">
        <f t="shared" si="12"/>
        <v>12.132000000000001</v>
      </c>
      <c r="M63" s="209">
        <f t="shared" si="14"/>
        <v>12.603333333333333</v>
      </c>
    </row>
    <row r="64" spans="1:13">
      <c r="A64" s="200" t="str">
        <f t="shared" si="3"/>
        <v>SVT12</v>
      </c>
      <c r="B64" s="201" t="s">
        <v>12</v>
      </c>
      <c r="C64" s="201">
        <v>2012</v>
      </c>
      <c r="D64" s="208">
        <v>37.520210126358563</v>
      </c>
      <c r="E64" s="208">
        <v>0</v>
      </c>
      <c r="F64" s="208">
        <f t="shared" si="10"/>
        <v>37.520210126358563</v>
      </c>
      <c r="G64" s="208"/>
      <c r="H64" s="208">
        <f t="shared" si="11"/>
        <v>37.520210126358563</v>
      </c>
      <c r="I64" s="209"/>
      <c r="J64" s="208">
        <v>15.095000000000001</v>
      </c>
      <c r="K64" s="208">
        <v>0.96299999999999997</v>
      </c>
      <c r="L64" s="208">
        <f t="shared" si="12"/>
        <v>16.058</v>
      </c>
      <c r="M64" s="209"/>
    </row>
    <row r="65" spans="1:13">
      <c r="A65" s="200" t="str">
        <f t="shared" si="3"/>
        <v>SVT13</v>
      </c>
      <c r="B65" s="201" t="s">
        <v>12</v>
      </c>
      <c r="C65" s="201">
        <v>2013</v>
      </c>
      <c r="D65" s="208">
        <v>25.127456600517686</v>
      </c>
      <c r="E65" s="208">
        <v>0</v>
      </c>
      <c r="F65" s="208">
        <f t="shared" si="10"/>
        <v>25.127456600517686</v>
      </c>
      <c r="G65" s="208"/>
      <c r="H65" s="208">
        <f t="shared" si="11"/>
        <v>25.127456600517686</v>
      </c>
      <c r="I65" s="209"/>
      <c r="J65" s="208">
        <v>12.38</v>
      </c>
      <c r="K65" s="208">
        <v>0.79</v>
      </c>
      <c r="L65" s="208">
        <f t="shared" si="12"/>
        <v>13.170000000000002</v>
      </c>
      <c r="M65" s="209"/>
    </row>
    <row r="66" spans="1:13">
      <c r="A66" s="200" t="str">
        <f t="shared" si="3"/>
        <v>SVT14</v>
      </c>
      <c r="B66" s="201" t="s">
        <v>12</v>
      </c>
      <c r="C66" s="201">
        <v>2014</v>
      </c>
      <c r="D66" s="208">
        <v>28.839267241379304</v>
      </c>
      <c r="E66" s="208">
        <v>0</v>
      </c>
      <c r="F66" s="208">
        <f t="shared" si="10"/>
        <v>28.839267241379304</v>
      </c>
      <c r="G66" s="208"/>
      <c r="H66" s="208">
        <f t="shared" si="11"/>
        <v>28.839267241379304</v>
      </c>
      <c r="I66" s="209">
        <f t="shared" ref="I66:I129" si="15">AVERAGE(H64:H66)</f>
        <v>30.495644656085187</v>
      </c>
      <c r="J66" s="208">
        <v>14.577999999999999</v>
      </c>
      <c r="K66" s="208">
        <v>0.93100000000000005</v>
      </c>
      <c r="L66" s="208">
        <f t="shared" si="12"/>
        <v>15.509</v>
      </c>
      <c r="M66" s="209">
        <f t="shared" ref="M66:M129" si="16">AVERAGE(L64:L66)</f>
        <v>14.912333333333335</v>
      </c>
    </row>
    <row r="67" spans="1:13">
      <c r="A67" s="200" t="str">
        <f t="shared" si="3"/>
        <v>SVT15</v>
      </c>
      <c r="B67" s="201" t="s">
        <v>12</v>
      </c>
      <c r="C67" s="201">
        <v>2015</v>
      </c>
      <c r="D67" s="208">
        <v>47.643397676944943</v>
      </c>
      <c r="E67" s="208">
        <v>0</v>
      </c>
      <c r="F67" s="208">
        <f t="shared" si="10"/>
        <v>47.643397676944943</v>
      </c>
      <c r="G67" s="208"/>
      <c r="H67" s="208">
        <f t="shared" si="11"/>
        <v>47.643397676944943</v>
      </c>
      <c r="I67" s="209">
        <f t="shared" si="15"/>
        <v>33.870040506280645</v>
      </c>
      <c r="J67" s="208">
        <v>17.47</v>
      </c>
      <c r="K67" s="208">
        <v>1.091</v>
      </c>
      <c r="L67" s="208">
        <f t="shared" si="12"/>
        <v>18.561</v>
      </c>
      <c r="M67" s="209">
        <f t="shared" si="16"/>
        <v>15.746666666666668</v>
      </c>
    </row>
    <row r="68" spans="1:13">
      <c r="A68" s="200" t="str">
        <f t="shared" si="3"/>
        <v>SVT16</v>
      </c>
      <c r="B68" s="201" t="s">
        <v>12</v>
      </c>
      <c r="C68" s="201">
        <v>2016</v>
      </c>
      <c r="D68" s="208">
        <v>40.027523460898493</v>
      </c>
      <c r="E68" s="208">
        <v>0</v>
      </c>
      <c r="F68" s="208">
        <f t="shared" si="10"/>
        <v>40.027523460898493</v>
      </c>
      <c r="G68" s="208"/>
      <c r="H68" s="208">
        <f t="shared" si="11"/>
        <v>40.027523460898493</v>
      </c>
      <c r="I68" s="209">
        <f t="shared" si="15"/>
        <v>38.836729459740916</v>
      </c>
      <c r="J68" s="208">
        <v>19.824999999999999</v>
      </c>
      <c r="K68" s="208">
        <v>1.417</v>
      </c>
      <c r="L68" s="208">
        <f t="shared" si="12"/>
        <v>21.242000000000001</v>
      </c>
      <c r="M68" s="209">
        <f t="shared" si="16"/>
        <v>18.437333333333331</v>
      </c>
    </row>
    <row r="69" spans="1:13">
      <c r="A69" s="200" t="str">
        <f t="shared" si="3"/>
        <v>SVT17</v>
      </c>
      <c r="B69" s="201" t="s">
        <v>12</v>
      </c>
      <c r="C69" s="201">
        <v>2017</v>
      </c>
      <c r="D69" s="208">
        <v>37.185772490767334</v>
      </c>
      <c r="E69" s="208">
        <v>0</v>
      </c>
      <c r="F69" s="208">
        <f t="shared" si="10"/>
        <v>37.185772490767334</v>
      </c>
      <c r="G69" s="208"/>
      <c r="H69" s="208">
        <f t="shared" si="11"/>
        <v>37.185772490767334</v>
      </c>
      <c r="I69" s="209">
        <f t="shared" si="15"/>
        <v>41.61889787620359</v>
      </c>
      <c r="J69" s="208">
        <v>18.815000000000001</v>
      </c>
      <c r="K69" s="208">
        <v>0.95699999999999996</v>
      </c>
      <c r="L69" s="208">
        <f t="shared" si="12"/>
        <v>19.772000000000002</v>
      </c>
      <c r="M69" s="209">
        <f t="shared" si="16"/>
        <v>19.858333333333334</v>
      </c>
    </row>
    <row r="70" spans="1:13">
      <c r="A70" s="200" t="str">
        <f t="shared" si="3"/>
        <v>SVT18</v>
      </c>
      <c r="B70" s="201" t="s">
        <v>12</v>
      </c>
      <c r="C70" s="201">
        <v>2018</v>
      </c>
      <c r="D70" s="208">
        <v>32.029000000000003</v>
      </c>
      <c r="E70" s="208">
        <v>15.509</v>
      </c>
      <c r="F70" s="208">
        <f t="shared" si="10"/>
        <v>47.538000000000004</v>
      </c>
      <c r="G70" s="208"/>
      <c r="H70" s="208">
        <f t="shared" si="11"/>
        <v>47.538000000000004</v>
      </c>
      <c r="I70" s="209">
        <f t="shared" si="15"/>
        <v>41.583765317221946</v>
      </c>
      <c r="J70" s="208">
        <v>22.125999999999998</v>
      </c>
      <c r="K70" s="208">
        <v>1.0639999999999998</v>
      </c>
      <c r="L70" s="208">
        <f t="shared" si="12"/>
        <v>23.189999999999998</v>
      </c>
      <c r="M70" s="209">
        <f t="shared" si="16"/>
        <v>21.401333333333337</v>
      </c>
    </row>
    <row r="71" spans="1:13">
      <c r="A71" s="200" t="str">
        <f t="shared" si="3"/>
        <v>SWT12</v>
      </c>
      <c r="B71" s="201" t="s">
        <v>13</v>
      </c>
      <c r="C71" s="201">
        <v>2012</v>
      </c>
      <c r="D71" s="208">
        <v>5.4523817266059895</v>
      </c>
      <c r="E71" s="208">
        <v>1.1050631792877967E-3</v>
      </c>
      <c r="F71" s="208">
        <f t="shared" ref="F71:F98" si="17">D71+E71</f>
        <v>5.453486789785277</v>
      </c>
      <c r="G71" s="208"/>
      <c r="H71" s="208">
        <f t="shared" ref="H71:H98" si="18">F71+G71</f>
        <v>5.453486789785277</v>
      </c>
      <c r="I71" s="209">
        <f>AVERAGE(H71:H71)</f>
        <v>5.453486789785277</v>
      </c>
      <c r="J71" s="208">
        <v>5.7679999999999998</v>
      </c>
      <c r="K71" s="208">
        <v>0.248</v>
      </c>
      <c r="L71" s="208">
        <f t="shared" ref="L71:L98" si="19">J71+K71</f>
        <v>6.016</v>
      </c>
      <c r="M71" s="209">
        <f>AVERAGE(L71:L71)</f>
        <v>6.016</v>
      </c>
    </row>
    <row r="72" spans="1:13">
      <c r="A72" s="200" t="str">
        <f t="shared" si="3"/>
        <v>SWT13</v>
      </c>
      <c r="B72" s="201" t="s">
        <v>13</v>
      </c>
      <c r="C72" s="201">
        <v>2013</v>
      </c>
      <c r="D72" s="208">
        <v>3.0838781708369285</v>
      </c>
      <c r="E72" s="208">
        <v>0.13487920621225194</v>
      </c>
      <c r="F72" s="208">
        <f t="shared" si="17"/>
        <v>3.2187573770491804</v>
      </c>
      <c r="G72" s="208"/>
      <c r="H72" s="208">
        <f t="shared" si="18"/>
        <v>3.2187573770491804</v>
      </c>
      <c r="I72" s="209">
        <f>AVERAGE(H71:H72)</f>
        <v>4.3361220834172283</v>
      </c>
      <c r="J72" s="208">
        <v>4.8609999999999998</v>
      </c>
      <c r="K72" s="208">
        <v>0.22700000000000001</v>
      </c>
      <c r="L72" s="208">
        <f t="shared" si="19"/>
        <v>5.0880000000000001</v>
      </c>
      <c r="M72" s="209">
        <f>AVERAGE(L71:L72)</f>
        <v>5.5519999999999996</v>
      </c>
    </row>
    <row r="73" spans="1:13">
      <c r="A73" s="200" t="str">
        <f t="shared" ref="A73:A136" si="20">B73&amp;RIGHT(C73,2)</f>
        <v>SWT14</v>
      </c>
      <c r="B73" s="201" t="s">
        <v>13</v>
      </c>
      <c r="C73" s="201">
        <v>2014</v>
      </c>
      <c r="D73" s="208">
        <v>4.0090650777552392</v>
      </c>
      <c r="E73" s="208">
        <v>0.19025354969574029</v>
      </c>
      <c r="F73" s="208">
        <f t="shared" si="17"/>
        <v>4.1993186274509799</v>
      </c>
      <c r="G73" s="208"/>
      <c r="H73" s="208">
        <f t="shared" si="18"/>
        <v>4.1993186274509799</v>
      </c>
      <c r="I73" s="209">
        <f t="shared" si="15"/>
        <v>4.2905209314284791</v>
      </c>
      <c r="J73" s="208">
        <v>5.6795783132530122</v>
      </c>
      <c r="K73" s="208">
        <v>0.26042168674698768</v>
      </c>
      <c r="L73" s="208">
        <f t="shared" si="19"/>
        <v>5.9399999999999995</v>
      </c>
      <c r="M73" s="209">
        <f t="shared" si="16"/>
        <v>5.681333333333332</v>
      </c>
    </row>
    <row r="74" spans="1:13">
      <c r="A74" s="200" t="str">
        <f t="shared" si="20"/>
        <v>SWT15</v>
      </c>
      <c r="B74" s="201" t="s">
        <v>13</v>
      </c>
      <c r="C74" s="201">
        <v>2015</v>
      </c>
      <c r="D74" s="208">
        <v>4.235549260466283</v>
      </c>
      <c r="E74" s="208">
        <v>4.1801621124759762E-2</v>
      </c>
      <c r="F74" s="208">
        <f t="shared" si="17"/>
        <v>4.277350881591043</v>
      </c>
      <c r="G74" s="208"/>
      <c r="H74" s="208">
        <f t="shared" si="18"/>
        <v>4.277350881591043</v>
      </c>
      <c r="I74" s="209">
        <f t="shared" si="15"/>
        <v>3.8984756286970677</v>
      </c>
      <c r="J74" s="208">
        <v>7.2914101964452769</v>
      </c>
      <c r="K74" s="208">
        <v>0.33158980355472339</v>
      </c>
      <c r="L74" s="208">
        <f t="shared" si="19"/>
        <v>7.6230000000000002</v>
      </c>
      <c r="M74" s="209">
        <f t="shared" si="16"/>
        <v>6.2169999999999996</v>
      </c>
    </row>
    <row r="75" spans="1:13">
      <c r="A75" s="200" t="str">
        <f t="shared" si="20"/>
        <v>SWT16</v>
      </c>
      <c r="B75" s="201" t="s">
        <v>13</v>
      </c>
      <c r="C75" s="201">
        <v>2016</v>
      </c>
      <c r="D75" s="208">
        <v>8.0134119800332773</v>
      </c>
      <c r="E75" s="208">
        <v>5.3062063227953399E-2</v>
      </c>
      <c r="F75" s="208">
        <f t="shared" si="17"/>
        <v>8.0664740432612305</v>
      </c>
      <c r="G75" s="208"/>
      <c r="H75" s="208">
        <f t="shared" si="18"/>
        <v>8.0664740432612305</v>
      </c>
      <c r="I75" s="209">
        <f t="shared" si="15"/>
        <v>5.5143811841010839</v>
      </c>
      <c r="J75" s="208">
        <v>7.3810000000000002</v>
      </c>
      <c r="K75" s="208">
        <v>0.33100000000000002</v>
      </c>
      <c r="L75" s="208">
        <f t="shared" si="19"/>
        <v>7.7120000000000006</v>
      </c>
      <c r="M75" s="209">
        <f t="shared" si="16"/>
        <v>7.0916666666666659</v>
      </c>
    </row>
    <row r="76" spans="1:13">
      <c r="A76" s="200" t="str">
        <f t="shared" si="20"/>
        <v>SWB17</v>
      </c>
      <c r="B76" s="201" t="s">
        <v>14</v>
      </c>
      <c r="C76" s="201">
        <v>2017</v>
      </c>
      <c r="D76" s="208">
        <v>9.2565953221173576</v>
      </c>
      <c r="E76" s="208">
        <v>0.10776610586787032</v>
      </c>
      <c r="F76" s="208">
        <f t="shared" si="17"/>
        <v>9.3643614279852283</v>
      </c>
      <c r="G76" s="208"/>
      <c r="H76" s="208">
        <f t="shared" si="18"/>
        <v>9.3643614279852283</v>
      </c>
      <c r="I76" s="209"/>
      <c r="J76" s="208">
        <v>8.7789999999999999</v>
      </c>
      <c r="K76" s="208">
        <v>0.21199999999999999</v>
      </c>
      <c r="L76" s="208">
        <f t="shared" si="19"/>
        <v>8.9909999999999997</v>
      </c>
      <c r="M76" s="209"/>
    </row>
    <row r="77" spans="1:13">
      <c r="A77" s="200" t="str">
        <f t="shared" si="20"/>
        <v>SWB18</v>
      </c>
      <c r="B77" s="201" t="s">
        <v>14</v>
      </c>
      <c r="C77" s="201">
        <v>2018</v>
      </c>
      <c r="D77" s="208">
        <v>4.7050000000000001</v>
      </c>
      <c r="E77" s="208">
        <v>5.2359999999999998</v>
      </c>
      <c r="F77" s="208">
        <f t="shared" si="17"/>
        <v>9.9409999999999989</v>
      </c>
      <c r="G77" s="208"/>
      <c r="H77" s="208">
        <f t="shared" si="18"/>
        <v>9.9409999999999989</v>
      </c>
      <c r="I77" s="209"/>
      <c r="J77" s="208">
        <v>9.2219999999999995</v>
      </c>
      <c r="K77" s="208">
        <v>0.495</v>
      </c>
      <c r="L77" s="208">
        <f t="shared" si="19"/>
        <v>9.7169999999999987</v>
      </c>
      <c r="M77" s="209"/>
    </row>
    <row r="78" spans="1:13">
      <c r="A78" s="200" t="str">
        <f t="shared" si="20"/>
        <v>SWB19</v>
      </c>
      <c r="B78" s="201" t="s">
        <v>14</v>
      </c>
      <c r="C78" s="201">
        <v>2019</v>
      </c>
      <c r="D78" s="208">
        <v>4.9449370946315536</v>
      </c>
      <c r="E78" s="208">
        <v>4.1689924200984603</v>
      </c>
      <c r="F78" s="208">
        <f t="shared" si="17"/>
        <v>9.1139295147300139</v>
      </c>
      <c r="G78" s="208"/>
      <c r="H78" s="208">
        <f t="shared" si="18"/>
        <v>9.1139295147300139</v>
      </c>
      <c r="I78" s="209">
        <f t="shared" si="15"/>
        <v>9.4730969809050798</v>
      </c>
      <c r="J78" s="208">
        <v>9.2430000000000003</v>
      </c>
      <c r="K78" s="208">
        <v>0.49199999999999999</v>
      </c>
      <c r="L78" s="208">
        <f t="shared" si="19"/>
        <v>9.7349999999999994</v>
      </c>
      <c r="M78" s="209">
        <f t="shared" si="16"/>
        <v>9.4809999999999999</v>
      </c>
    </row>
    <row r="79" spans="1:13">
      <c r="A79" s="200" t="str">
        <f t="shared" si="20"/>
        <v>SWB20</v>
      </c>
      <c r="B79" s="201" t="s">
        <v>14</v>
      </c>
      <c r="C79" s="201">
        <v>2020</v>
      </c>
      <c r="D79" s="208">
        <v>4.9966501149425451</v>
      </c>
      <c r="E79" s="208">
        <v>4.2127491187739592</v>
      </c>
      <c r="F79" s="208">
        <f t="shared" si="17"/>
        <v>9.2093992337165034</v>
      </c>
      <c r="G79" s="208"/>
      <c r="H79" s="208">
        <f t="shared" si="18"/>
        <v>9.2093992337165034</v>
      </c>
      <c r="I79" s="209">
        <f t="shared" si="15"/>
        <v>9.4214429161488393</v>
      </c>
      <c r="J79" s="208">
        <v>9.0289999999999999</v>
      </c>
      <c r="K79" s="208">
        <v>0.48</v>
      </c>
      <c r="L79" s="208">
        <f t="shared" si="19"/>
        <v>9.5090000000000003</v>
      </c>
      <c r="M79" s="209">
        <f t="shared" si="16"/>
        <v>9.6536666666666662</v>
      </c>
    </row>
    <row r="80" spans="1:13">
      <c r="A80" s="200" t="str">
        <f t="shared" si="20"/>
        <v>SWB21</v>
      </c>
      <c r="B80" s="201" t="s">
        <v>14</v>
      </c>
      <c r="C80" s="201">
        <v>2021</v>
      </c>
      <c r="D80" s="208">
        <v>5.2969999999999997</v>
      </c>
      <c r="E80" s="208">
        <v>4.1909999999999998</v>
      </c>
      <c r="F80" s="208">
        <f t="shared" si="17"/>
        <v>9.4879999999999995</v>
      </c>
      <c r="G80" s="208">
        <f>Allowance!$F$19/5</f>
        <v>1.5957999999999999</v>
      </c>
      <c r="H80" s="208">
        <f t="shared" si="18"/>
        <v>11.0838</v>
      </c>
      <c r="I80" s="209">
        <f t="shared" si="15"/>
        <v>9.8023762494821725</v>
      </c>
      <c r="J80" s="208">
        <v>8.8350000000000009</v>
      </c>
      <c r="K80" s="208">
        <v>0.47099999999999997</v>
      </c>
      <c r="L80" s="208">
        <f t="shared" si="19"/>
        <v>9.3060000000000009</v>
      </c>
      <c r="M80" s="209">
        <f t="shared" si="16"/>
        <v>9.5166666666666675</v>
      </c>
    </row>
    <row r="81" spans="1:13">
      <c r="A81" s="200" t="str">
        <f t="shared" si="20"/>
        <v>SWB22</v>
      </c>
      <c r="B81" s="201" t="s">
        <v>14</v>
      </c>
      <c r="C81" s="201">
        <v>2022</v>
      </c>
      <c r="D81" s="208">
        <v>5.2960000000000003</v>
      </c>
      <c r="E81" s="208">
        <v>4.1900000000000004</v>
      </c>
      <c r="F81" s="208">
        <f t="shared" si="17"/>
        <v>9.4860000000000007</v>
      </c>
      <c r="G81" s="208">
        <f>Allowance!$F$19/5</f>
        <v>1.5957999999999999</v>
      </c>
      <c r="H81" s="208">
        <f t="shared" si="18"/>
        <v>11.081800000000001</v>
      </c>
      <c r="I81" s="209">
        <f t="shared" si="15"/>
        <v>10.458333077905502</v>
      </c>
      <c r="J81" s="208">
        <v>8.9369999999999994</v>
      </c>
      <c r="K81" s="208">
        <v>0.47699999999999998</v>
      </c>
      <c r="L81" s="208">
        <f t="shared" si="19"/>
        <v>9.4139999999999997</v>
      </c>
      <c r="M81" s="209">
        <f t="shared" si="16"/>
        <v>9.4096666666666664</v>
      </c>
    </row>
    <row r="82" spans="1:13">
      <c r="A82" s="200" t="str">
        <f t="shared" si="20"/>
        <v>SWB23</v>
      </c>
      <c r="B82" s="201" t="s">
        <v>14</v>
      </c>
      <c r="C82" s="201">
        <v>2023</v>
      </c>
      <c r="D82" s="208">
        <v>5.2960000000000003</v>
      </c>
      <c r="E82" s="208">
        <v>4.1900000000000004</v>
      </c>
      <c r="F82" s="208">
        <f t="shared" si="17"/>
        <v>9.4860000000000007</v>
      </c>
      <c r="G82" s="208">
        <f>Allowance!$F$19/5</f>
        <v>1.5957999999999999</v>
      </c>
      <c r="H82" s="208">
        <f t="shared" si="18"/>
        <v>11.081800000000001</v>
      </c>
      <c r="I82" s="209">
        <f t="shared" si="15"/>
        <v>11.082466666666667</v>
      </c>
      <c r="J82" s="208">
        <v>8.67</v>
      </c>
      <c r="K82" s="208">
        <v>0.46200000000000002</v>
      </c>
      <c r="L82" s="208">
        <f t="shared" si="19"/>
        <v>9.1319999999999997</v>
      </c>
      <c r="M82" s="209">
        <f t="shared" si="16"/>
        <v>9.2839999999999989</v>
      </c>
    </row>
    <row r="83" spans="1:13">
      <c r="A83" s="200" t="str">
        <f t="shared" si="20"/>
        <v>SWB24</v>
      </c>
      <c r="B83" s="201" t="s">
        <v>14</v>
      </c>
      <c r="C83" s="201">
        <v>2024</v>
      </c>
      <c r="D83" s="208">
        <v>5.2960000000000003</v>
      </c>
      <c r="E83" s="208">
        <v>4.1900000000000004</v>
      </c>
      <c r="F83" s="208">
        <f t="shared" si="17"/>
        <v>9.4860000000000007</v>
      </c>
      <c r="G83" s="208">
        <f>Allowance!$F$19/5</f>
        <v>1.5957999999999999</v>
      </c>
      <c r="H83" s="208">
        <f t="shared" si="18"/>
        <v>11.081800000000001</v>
      </c>
      <c r="I83" s="209">
        <f t="shared" si="15"/>
        <v>11.081800000000001</v>
      </c>
      <c r="J83" s="208">
        <v>8.8350000000000009</v>
      </c>
      <c r="K83" s="208">
        <v>0.47099999999999997</v>
      </c>
      <c r="L83" s="208">
        <f t="shared" si="19"/>
        <v>9.3060000000000009</v>
      </c>
      <c r="M83" s="209">
        <f t="shared" si="16"/>
        <v>9.2840000000000007</v>
      </c>
    </row>
    <row r="84" spans="1:13">
      <c r="A84" s="200" t="str">
        <f t="shared" si="20"/>
        <v>SWB25</v>
      </c>
      <c r="B84" s="201" t="s">
        <v>14</v>
      </c>
      <c r="C84" s="201">
        <v>2025</v>
      </c>
      <c r="D84" s="208">
        <v>5.2960000000000003</v>
      </c>
      <c r="E84" s="208">
        <v>4.1900000000000004</v>
      </c>
      <c r="F84" s="208">
        <f t="shared" si="17"/>
        <v>9.4860000000000007</v>
      </c>
      <c r="G84" s="208">
        <f>Allowance!$F$19/5</f>
        <v>1.5957999999999999</v>
      </c>
      <c r="H84" s="208">
        <f t="shared" si="18"/>
        <v>11.081800000000001</v>
      </c>
      <c r="I84" s="209">
        <f t="shared" si="15"/>
        <v>11.081800000000001</v>
      </c>
      <c r="J84" s="208">
        <v>8.6370000000000005</v>
      </c>
      <c r="K84" s="208">
        <v>0.46</v>
      </c>
      <c r="L84" s="208">
        <f t="shared" si="19"/>
        <v>9.0970000000000013</v>
      </c>
      <c r="M84" s="209">
        <f t="shared" si="16"/>
        <v>9.1783333333333346</v>
      </c>
    </row>
    <row r="85" spans="1:13">
      <c r="A85" s="200" t="str">
        <f t="shared" si="20"/>
        <v>TMS12</v>
      </c>
      <c r="B85" s="201" t="s">
        <v>15</v>
      </c>
      <c r="C85" s="201">
        <v>2012</v>
      </c>
      <c r="D85" s="208">
        <v>5.5109226438816705</v>
      </c>
      <c r="E85" s="208">
        <v>15.020908652368036</v>
      </c>
      <c r="F85" s="208">
        <f t="shared" si="17"/>
        <v>20.531831296249706</v>
      </c>
      <c r="G85" s="208"/>
      <c r="H85" s="208">
        <f t="shared" si="18"/>
        <v>20.531831296249706</v>
      </c>
      <c r="I85" s="209"/>
      <c r="J85" s="208">
        <v>24.26</v>
      </c>
      <c r="K85" s="208">
        <v>1.052</v>
      </c>
      <c r="L85" s="208">
        <f t="shared" si="19"/>
        <v>25.312000000000001</v>
      </c>
      <c r="M85" s="209"/>
    </row>
    <row r="86" spans="1:13">
      <c r="A86" s="200" t="str">
        <f t="shared" si="20"/>
        <v>TMS13</v>
      </c>
      <c r="B86" s="201" t="s">
        <v>15</v>
      </c>
      <c r="C86" s="201">
        <v>2013</v>
      </c>
      <c r="D86" s="208">
        <v>10.523648613848888</v>
      </c>
      <c r="E86" s="208">
        <v>15.107771905817758</v>
      </c>
      <c r="F86" s="208">
        <f t="shared" si="17"/>
        <v>25.631420519666648</v>
      </c>
      <c r="G86" s="208"/>
      <c r="H86" s="208">
        <f t="shared" si="18"/>
        <v>25.631420519666648</v>
      </c>
      <c r="I86" s="209"/>
      <c r="J86" s="208">
        <v>24.358000000000001</v>
      </c>
      <c r="K86" s="208">
        <v>1.41</v>
      </c>
      <c r="L86" s="208">
        <f t="shared" si="19"/>
        <v>25.768000000000001</v>
      </c>
      <c r="M86" s="209"/>
    </row>
    <row r="87" spans="1:13">
      <c r="A87" s="200" t="str">
        <f t="shared" si="20"/>
        <v>TMS14</v>
      </c>
      <c r="B87" s="201" t="s">
        <v>15</v>
      </c>
      <c r="C87" s="201">
        <v>2014</v>
      </c>
      <c r="D87" s="208">
        <v>9.2098426720399598</v>
      </c>
      <c r="E87" s="208">
        <v>15.661917884343687</v>
      </c>
      <c r="F87" s="208">
        <f t="shared" si="17"/>
        <v>24.871760556383649</v>
      </c>
      <c r="G87" s="208"/>
      <c r="H87" s="208">
        <f t="shared" si="18"/>
        <v>24.871760556383649</v>
      </c>
      <c r="I87" s="209">
        <f t="shared" si="15"/>
        <v>23.678337457433333</v>
      </c>
      <c r="J87" s="208">
        <v>20.678000000000001</v>
      </c>
      <c r="K87" s="208">
        <v>1.429</v>
      </c>
      <c r="L87" s="208">
        <f t="shared" si="19"/>
        <v>22.106999999999999</v>
      </c>
      <c r="M87" s="209">
        <f t="shared" si="16"/>
        <v>24.395666666666667</v>
      </c>
    </row>
    <row r="88" spans="1:13">
      <c r="A88" s="200" t="str">
        <f t="shared" si="20"/>
        <v>TMS15</v>
      </c>
      <c r="B88" s="201" t="s">
        <v>15</v>
      </c>
      <c r="C88" s="201">
        <v>2015</v>
      </c>
      <c r="D88" s="208">
        <v>12.332253184610874</v>
      </c>
      <c r="E88" s="208">
        <v>22.221759535466401</v>
      </c>
      <c r="F88" s="208">
        <f t="shared" si="17"/>
        <v>34.554012720077274</v>
      </c>
      <c r="G88" s="208"/>
      <c r="H88" s="208">
        <f t="shared" si="18"/>
        <v>34.554012720077274</v>
      </c>
      <c r="I88" s="209">
        <f t="shared" si="15"/>
        <v>28.352397932042521</v>
      </c>
      <c r="J88" s="208">
        <v>28.757999999999999</v>
      </c>
      <c r="K88" s="208">
        <v>2.3969999999999998</v>
      </c>
      <c r="L88" s="208">
        <f t="shared" si="19"/>
        <v>31.154999999999998</v>
      </c>
      <c r="M88" s="209">
        <f t="shared" si="16"/>
        <v>26.343333333333334</v>
      </c>
    </row>
    <row r="89" spans="1:13">
      <c r="A89" s="200" t="str">
        <f t="shared" si="20"/>
        <v>TMS16</v>
      </c>
      <c r="B89" s="201" t="s">
        <v>15</v>
      </c>
      <c r="C89" s="201">
        <v>2016</v>
      </c>
      <c r="D89" s="208">
        <v>19.956448619248864</v>
      </c>
      <c r="E89" s="208">
        <v>24.038135799499834</v>
      </c>
      <c r="F89" s="208">
        <f t="shared" si="17"/>
        <v>43.994584418748701</v>
      </c>
      <c r="G89" s="208"/>
      <c r="H89" s="208">
        <f t="shared" si="18"/>
        <v>43.994584418748701</v>
      </c>
      <c r="I89" s="209">
        <f t="shared" si="15"/>
        <v>34.47345256506987</v>
      </c>
      <c r="J89" s="208">
        <v>33.01</v>
      </c>
      <c r="K89" s="208">
        <v>2.3370000000000002</v>
      </c>
      <c r="L89" s="208">
        <f t="shared" si="19"/>
        <v>35.347000000000001</v>
      </c>
      <c r="M89" s="209">
        <f t="shared" si="16"/>
        <v>29.536333333333335</v>
      </c>
    </row>
    <row r="90" spans="1:13">
      <c r="A90" s="200" t="str">
        <f t="shared" si="20"/>
        <v>TMS17</v>
      </c>
      <c r="B90" s="201" t="s">
        <v>15</v>
      </c>
      <c r="C90" s="201">
        <v>2017</v>
      </c>
      <c r="D90" s="208">
        <v>11.719943962628635</v>
      </c>
      <c r="E90" s="208">
        <v>29.115651102173455</v>
      </c>
      <c r="F90" s="208">
        <f t="shared" si="17"/>
        <v>40.835595064802092</v>
      </c>
      <c r="G90" s="208"/>
      <c r="H90" s="208">
        <f t="shared" si="18"/>
        <v>40.835595064802092</v>
      </c>
      <c r="I90" s="209">
        <f t="shared" si="15"/>
        <v>39.794730734542689</v>
      </c>
      <c r="J90" s="208">
        <v>39.786999999999999</v>
      </c>
      <c r="K90" s="208">
        <v>1.8520000000000001</v>
      </c>
      <c r="L90" s="208">
        <f t="shared" si="19"/>
        <v>41.638999999999996</v>
      </c>
      <c r="M90" s="209">
        <f t="shared" si="16"/>
        <v>36.046999999999997</v>
      </c>
    </row>
    <row r="91" spans="1:13">
      <c r="A91" s="200" t="str">
        <f t="shared" si="20"/>
        <v>TMS18</v>
      </c>
      <c r="B91" s="201" t="s">
        <v>15</v>
      </c>
      <c r="C91" s="201">
        <v>2018</v>
      </c>
      <c r="D91" s="208">
        <v>21.129415672722601</v>
      </c>
      <c r="E91" s="208">
        <v>27.980151380119999</v>
      </c>
      <c r="F91" s="208">
        <f t="shared" si="17"/>
        <v>49.1095670528426</v>
      </c>
      <c r="G91" s="208"/>
      <c r="H91" s="208">
        <f t="shared" si="18"/>
        <v>49.1095670528426</v>
      </c>
      <c r="I91" s="209">
        <f t="shared" si="15"/>
        <v>44.646582178797793</v>
      </c>
      <c r="J91" s="208">
        <v>36.027999999999999</v>
      </c>
      <c r="K91" s="208">
        <v>2.883</v>
      </c>
      <c r="L91" s="208">
        <f t="shared" si="19"/>
        <v>38.911000000000001</v>
      </c>
      <c r="M91" s="209">
        <f t="shared" si="16"/>
        <v>38.632333333333328</v>
      </c>
    </row>
    <row r="92" spans="1:13">
      <c r="A92" s="200" t="str">
        <f t="shared" si="20"/>
        <v>TMS19</v>
      </c>
      <c r="B92" s="201" t="s">
        <v>15</v>
      </c>
      <c r="C92" s="201">
        <v>2019</v>
      </c>
      <c r="D92" s="208">
        <v>22.092414753061981</v>
      </c>
      <c r="E92" s="208">
        <v>20.897201987024676</v>
      </c>
      <c r="F92" s="208">
        <f t="shared" si="17"/>
        <v>42.98961674008666</v>
      </c>
      <c r="G92" s="208"/>
      <c r="H92" s="208">
        <f t="shared" si="18"/>
        <v>42.98961674008666</v>
      </c>
      <c r="I92" s="209">
        <f t="shared" si="15"/>
        <v>44.311592952577115</v>
      </c>
      <c r="J92" s="208">
        <v>44.924999999999997</v>
      </c>
      <c r="K92" s="208">
        <v>1.9</v>
      </c>
      <c r="L92" s="208">
        <f t="shared" si="19"/>
        <v>46.824999999999996</v>
      </c>
      <c r="M92" s="209">
        <f t="shared" si="16"/>
        <v>42.458333333333336</v>
      </c>
    </row>
    <row r="93" spans="1:13">
      <c r="A93" s="200" t="str">
        <f t="shared" si="20"/>
        <v>TMS20</v>
      </c>
      <c r="B93" s="201" t="s">
        <v>15</v>
      </c>
      <c r="C93" s="201">
        <v>2020</v>
      </c>
      <c r="D93" s="208">
        <v>16.003284301680221</v>
      </c>
      <c r="E93" s="208">
        <v>20.678279902000448</v>
      </c>
      <c r="F93" s="208">
        <f t="shared" si="17"/>
        <v>36.681564203680665</v>
      </c>
      <c r="G93" s="208"/>
      <c r="H93" s="208">
        <f t="shared" si="18"/>
        <v>36.681564203680665</v>
      </c>
      <c r="I93" s="209">
        <f t="shared" si="15"/>
        <v>42.92691599886998</v>
      </c>
      <c r="J93" s="208">
        <v>46.661999999999999</v>
      </c>
      <c r="K93" s="208">
        <v>1.9</v>
      </c>
      <c r="L93" s="208">
        <f t="shared" si="19"/>
        <v>48.561999999999998</v>
      </c>
      <c r="M93" s="209">
        <f t="shared" si="16"/>
        <v>44.765999999999998</v>
      </c>
    </row>
    <row r="94" spans="1:13">
      <c r="A94" s="200" t="str">
        <f t="shared" si="20"/>
        <v>TMS21</v>
      </c>
      <c r="B94" s="201" t="s">
        <v>15</v>
      </c>
      <c r="C94" s="201">
        <v>2021</v>
      </c>
      <c r="D94" s="208">
        <v>27.282349191084201</v>
      </c>
      <c r="E94" s="208">
        <v>20.542452937777799</v>
      </c>
      <c r="F94" s="208">
        <f t="shared" si="17"/>
        <v>47.824802128862004</v>
      </c>
      <c r="G94" s="208">
        <f>Allowance!$F$20/5</f>
        <v>0</v>
      </c>
      <c r="H94" s="208">
        <f t="shared" si="18"/>
        <v>47.824802128862004</v>
      </c>
      <c r="I94" s="209">
        <f t="shared" si="15"/>
        <v>42.498661024209774</v>
      </c>
      <c r="J94" s="208">
        <v>45.804000000000002</v>
      </c>
      <c r="K94" s="208">
        <v>1.9</v>
      </c>
      <c r="L94" s="208">
        <f t="shared" si="19"/>
        <v>47.704000000000001</v>
      </c>
      <c r="M94" s="209">
        <f t="shared" si="16"/>
        <v>47.697000000000003</v>
      </c>
    </row>
    <row r="95" spans="1:13">
      <c r="A95" s="200" t="str">
        <f t="shared" si="20"/>
        <v>TMS22</v>
      </c>
      <c r="B95" s="201" t="s">
        <v>15</v>
      </c>
      <c r="C95" s="201">
        <v>2022</v>
      </c>
      <c r="D95" s="208">
        <v>27.851530363805701</v>
      </c>
      <c r="E95" s="208">
        <v>18.653325596748299</v>
      </c>
      <c r="F95" s="208">
        <f t="shared" si="17"/>
        <v>46.504855960553996</v>
      </c>
      <c r="G95" s="208">
        <f>Allowance!$F$20/5</f>
        <v>0</v>
      </c>
      <c r="H95" s="208">
        <f t="shared" si="18"/>
        <v>46.504855960553996</v>
      </c>
      <c r="I95" s="209">
        <f t="shared" si="15"/>
        <v>43.670407431032224</v>
      </c>
      <c r="J95" s="208">
        <v>43.238999999999997</v>
      </c>
      <c r="K95" s="208">
        <v>1.9</v>
      </c>
      <c r="L95" s="208">
        <f t="shared" si="19"/>
        <v>45.138999999999996</v>
      </c>
      <c r="M95" s="209">
        <f t="shared" si="16"/>
        <v>47.134999999999991</v>
      </c>
    </row>
    <row r="96" spans="1:13">
      <c r="A96" s="200" t="str">
        <f t="shared" si="20"/>
        <v>TMS23</v>
      </c>
      <c r="B96" s="201" t="s">
        <v>15</v>
      </c>
      <c r="C96" s="201">
        <v>2023</v>
      </c>
      <c r="D96" s="208">
        <v>36.537845463933401</v>
      </c>
      <c r="E96" s="208">
        <v>18.1723251108066</v>
      </c>
      <c r="F96" s="208">
        <f t="shared" si="17"/>
        <v>54.710170574740005</v>
      </c>
      <c r="G96" s="208">
        <f>Allowance!$F$20/5</f>
        <v>0</v>
      </c>
      <c r="H96" s="208">
        <f t="shared" si="18"/>
        <v>54.710170574740005</v>
      </c>
      <c r="I96" s="209">
        <f t="shared" si="15"/>
        <v>49.679942888052004</v>
      </c>
      <c r="J96" s="208">
        <v>40.055999999999997</v>
      </c>
      <c r="K96" s="208">
        <v>1.9</v>
      </c>
      <c r="L96" s="208">
        <f t="shared" si="19"/>
        <v>41.955999999999996</v>
      </c>
      <c r="M96" s="209">
        <f t="shared" si="16"/>
        <v>44.932999999999993</v>
      </c>
    </row>
    <row r="97" spans="1:13">
      <c r="A97" s="200" t="str">
        <f t="shared" si="20"/>
        <v>TMS24</v>
      </c>
      <c r="B97" s="201" t="s">
        <v>15</v>
      </c>
      <c r="C97" s="201">
        <v>2024</v>
      </c>
      <c r="D97" s="208">
        <v>36.016613549008298</v>
      </c>
      <c r="E97" s="208">
        <v>17.933328715983698</v>
      </c>
      <c r="F97" s="208">
        <f t="shared" si="17"/>
        <v>53.949942264991996</v>
      </c>
      <c r="G97" s="208">
        <f>Allowance!$F$20/5</f>
        <v>0</v>
      </c>
      <c r="H97" s="208">
        <f t="shared" si="18"/>
        <v>53.949942264991996</v>
      </c>
      <c r="I97" s="209">
        <f t="shared" si="15"/>
        <v>51.721656266762004</v>
      </c>
      <c r="J97" s="208">
        <v>38.868000000000002</v>
      </c>
      <c r="K97" s="208">
        <v>1.9</v>
      </c>
      <c r="L97" s="208">
        <f t="shared" si="19"/>
        <v>40.768000000000001</v>
      </c>
      <c r="M97" s="209">
        <f t="shared" si="16"/>
        <v>42.621000000000002</v>
      </c>
    </row>
    <row r="98" spans="1:13">
      <c r="A98" s="200" t="str">
        <f t="shared" si="20"/>
        <v>TMS25</v>
      </c>
      <c r="B98" s="201" t="s">
        <v>15</v>
      </c>
      <c r="C98" s="201">
        <v>2025</v>
      </c>
      <c r="D98" s="208">
        <v>30.092434636762199</v>
      </c>
      <c r="E98" s="208">
        <v>17.252620904193801</v>
      </c>
      <c r="F98" s="208">
        <f t="shared" si="17"/>
        <v>47.345055540955997</v>
      </c>
      <c r="G98" s="208">
        <f>Allowance!$F$20/5</f>
        <v>0</v>
      </c>
      <c r="H98" s="208">
        <f t="shared" si="18"/>
        <v>47.345055540955997</v>
      </c>
      <c r="I98" s="209">
        <f t="shared" si="15"/>
        <v>52.001722793562664</v>
      </c>
      <c r="J98" s="208">
        <v>38.069000000000003</v>
      </c>
      <c r="K98" s="208">
        <v>1.9</v>
      </c>
      <c r="L98" s="208">
        <f t="shared" si="19"/>
        <v>39.969000000000001</v>
      </c>
      <c r="M98" s="209">
        <f t="shared" si="16"/>
        <v>40.897666666666659</v>
      </c>
    </row>
    <row r="99" spans="1:13">
      <c r="A99" s="200" t="str">
        <f t="shared" si="20"/>
        <v>WSH12</v>
      </c>
      <c r="B99" s="201" t="s">
        <v>16</v>
      </c>
      <c r="C99" s="201">
        <v>2012</v>
      </c>
      <c r="D99" s="208">
        <v>2.9770402050013245</v>
      </c>
      <c r="E99" s="208">
        <v>0</v>
      </c>
      <c r="F99" s="208">
        <f t="shared" ref="F99:F138" si="21">D99+E99</f>
        <v>2.9770402050013245</v>
      </c>
      <c r="G99" s="208"/>
      <c r="H99" s="208">
        <f t="shared" ref="H99:H138" si="22">F99+G99</f>
        <v>2.9770402050013245</v>
      </c>
      <c r="I99" s="209"/>
      <c r="J99" s="208">
        <v>6.9560000000000004</v>
      </c>
      <c r="K99" s="208">
        <v>0.61699999999999999</v>
      </c>
      <c r="L99" s="208">
        <f t="shared" ref="L99:L138" si="23">J99+K99</f>
        <v>7.5730000000000004</v>
      </c>
      <c r="M99" s="209"/>
    </row>
    <row r="100" spans="1:13">
      <c r="A100" s="200" t="str">
        <f t="shared" si="20"/>
        <v>WSH13</v>
      </c>
      <c r="B100" s="201" t="s">
        <v>16</v>
      </c>
      <c r="C100" s="201">
        <v>2013</v>
      </c>
      <c r="D100" s="208">
        <v>2.9047585849870581</v>
      </c>
      <c r="E100" s="208">
        <v>0</v>
      </c>
      <c r="F100" s="208">
        <f t="shared" si="21"/>
        <v>2.9047585849870581</v>
      </c>
      <c r="G100" s="208"/>
      <c r="H100" s="208">
        <f t="shared" si="22"/>
        <v>2.9047585849870581</v>
      </c>
      <c r="I100" s="209"/>
      <c r="J100" s="208">
        <v>4.8280000000000003</v>
      </c>
      <c r="K100" s="208">
        <v>0.47099999999999997</v>
      </c>
      <c r="L100" s="208">
        <f t="shared" si="23"/>
        <v>5.2990000000000004</v>
      </c>
      <c r="M100" s="209"/>
    </row>
    <row r="101" spans="1:13">
      <c r="A101" s="200" t="str">
        <f t="shared" si="20"/>
        <v>WSH14</v>
      </c>
      <c r="B101" s="201" t="s">
        <v>16</v>
      </c>
      <c r="C101" s="201">
        <v>2014</v>
      </c>
      <c r="D101" s="208">
        <v>4.9846430020283963</v>
      </c>
      <c r="E101" s="208">
        <v>0</v>
      </c>
      <c r="F101" s="208">
        <f t="shared" si="21"/>
        <v>4.9846430020283963</v>
      </c>
      <c r="G101" s="208"/>
      <c r="H101" s="208">
        <f t="shared" si="22"/>
        <v>4.9846430020283963</v>
      </c>
      <c r="I101" s="209">
        <f t="shared" si="15"/>
        <v>3.6221472640055929</v>
      </c>
      <c r="J101" s="208">
        <v>5.9219999999999997</v>
      </c>
      <c r="K101" s="208">
        <v>0.54300000000000004</v>
      </c>
      <c r="L101" s="208">
        <f t="shared" si="23"/>
        <v>6.4649999999999999</v>
      </c>
      <c r="M101" s="209">
        <f t="shared" si="16"/>
        <v>6.4456666666666669</v>
      </c>
    </row>
    <row r="102" spans="1:13">
      <c r="A102" s="200" t="str">
        <f t="shared" si="20"/>
        <v>WSH15</v>
      </c>
      <c r="B102" s="201" t="s">
        <v>16</v>
      </c>
      <c r="C102" s="201">
        <v>2015</v>
      </c>
      <c r="D102" s="208">
        <v>5.8637224032756752</v>
      </c>
      <c r="E102" s="208">
        <v>0</v>
      </c>
      <c r="F102" s="208">
        <f t="shared" si="21"/>
        <v>5.8637224032756752</v>
      </c>
      <c r="G102" s="208"/>
      <c r="H102" s="208">
        <f t="shared" si="22"/>
        <v>5.8637224032756752</v>
      </c>
      <c r="I102" s="209">
        <f t="shared" si="15"/>
        <v>4.5843746634303768</v>
      </c>
      <c r="J102" s="208">
        <v>6.7830000000000004</v>
      </c>
      <c r="K102" s="208">
        <v>0.64300000000000002</v>
      </c>
      <c r="L102" s="208">
        <f t="shared" si="23"/>
        <v>7.4260000000000002</v>
      </c>
      <c r="M102" s="209">
        <f t="shared" si="16"/>
        <v>6.3966666666666656</v>
      </c>
    </row>
    <row r="103" spans="1:13">
      <c r="A103" s="200" t="str">
        <f t="shared" si="20"/>
        <v>WSH16</v>
      </c>
      <c r="B103" s="201" t="s">
        <v>16</v>
      </c>
      <c r="C103" s="201">
        <v>2016</v>
      </c>
      <c r="D103" s="208">
        <v>6.1177437603993337</v>
      </c>
      <c r="E103" s="208">
        <v>0</v>
      </c>
      <c r="F103" s="208">
        <f t="shared" si="21"/>
        <v>6.1177437603993337</v>
      </c>
      <c r="G103" s="208"/>
      <c r="H103" s="208">
        <f t="shared" si="22"/>
        <v>6.1177437603993337</v>
      </c>
      <c r="I103" s="209">
        <f t="shared" si="15"/>
        <v>5.6553697219011356</v>
      </c>
      <c r="J103" s="208">
        <v>7.24</v>
      </c>
      <c r="K103" s="208">
        <v>0.32300000000000001</v>
      </c>
      <c r="L103" s="208">
        <f t="shared" si="23"/>
        <v>7.5630000000000006</v>
      </c>
      <c r="M103" s="209">
        <f t="shared" si="16"/>
        <v>7.1513333333333335</v>
      </c>
    </row>
    <row r="104" spans="1:13">
      <c r="A104" s="200" t="str">
        <f t="shared" si="20"/>
        <v>WSH17</v>
      </c>
      <c r="B104" s="201" t="s">
        <v>16</v>
      </c>
      <c r="C104" s="201">
        <v>2017</v>
      </c>
      <c r="D104" s="208">
        <v>5.6828659827656951</v>
      </c>
      <c r="E104" s="208">
        <v>0</v>
      </c>
      <c r="F104" s="208">
        <f t="shared" si="21"/>
        <v>5.6828659827656951</v>
      </c>
      <c r="G104" s="208"/>
      <c r="H104" s="208">
        <f t="shared" si="22"/>
        <v>5.6828659827656951</v>
      </c>
      <c r="I104" s="209">
        <f t="shared" si="15"/>
        <v>5.8881107154802343</v>
      </c>
      <c r="J104" s="208">
        <v>6.7080000000000002</v>
      </c>
      <c r="K104" s="208">
        <v>0.20200000000000001</v>
      </c>
      <c r="L104" s="208">
        <f t="shared" si="23"/>
        <v>6.91</v>
      </c>
      <c r="M104" s="209">
        <f t="shared" si="16"/>
        <v>7.299666666666667</v>
      </c>
    </row>
    <row r="105" spans="1:13">
      <c r="A105" s="200" t="str">
        <f t="shared" si="20"/>
        <v>WSH18</v>
      </c>
      <c r="B105" s="201" t="s">
        <v>16</v>
      </c>
      <c r="C105" s="201">
        <v>2018</v>
      </c>
      <c r="D105" s="208">
        <v>6.6529999999999996</v>
      </c>
      <c r="E105" s="208">
        <v>0.99399999999999999</v>
      </c>
      <c r="F105" s="208">
        <f t="shared" si="21"/>
        <v>7.6469999999999994</v>
      </c>
      <c r="G105" s="208"/>
      <c r="H105" s="208">
        <f t="shared" si="22"/>
        <v>7.6469999999999994</v>
      </c>
      <c r="I105" s="209">
        <f t="shared" si="15"/>
        <v>6.4825365810550091</v>
      </c>
      <c r="J105" s="208">
        <v>6.6369999999999996</v>
      </c>
      <c r="K105" s="208">
        <v>0.39100000000000001</v>
      </c>
      <c r="L105" s="208">
        <f t="shared" si="23"/>
        <v>7.0279999999999996</v>
      </c>
      <c r="M105" s="209">
        <f t="shared" si="16"/>
        <v>7.1670000000000007</v>
      </c>
    </row>
    <row r="106" spans="1:13">
      <c r="A106" s="200" t="str">
        <f t="shared" si="20"/>
        <v>WSH19</v>
      </c>
      <c r="B106" s="201" t="s">
        <v>16</v>
      </c>
      <c r="C106" s="201">
        <v>2019</v>
      </c>
      <c r="D106" s="208">
        <v>6.5701785108895345</v>
      </c>
      <c r="E106" s="208">
        <v>0.91520510632328633</v>
      </c>
      <c r="F106" s="208">
        <f t="shared" si="21"/>
        <v>7.485383617212821</v>
      </c>
      <c r="G106" s="208"/>
      <c r="H106" s="208">
        <f t="shared" si="22"/>
        <v>7.485383617212821</v>
      </c>
      <c r="I106" s="209">
        <f t="shared" si="15"/>
        <v>6.9384165333261718</v>
      </c>
      <c r="J106" s="208">
        <v>6.8760000000000003</v>
      </c>
      <c r="K106" s="208">
        <v>0.20699999999999999</v>
      </c>
      <c r="L106" s="208">
        <f t="shared" si="23"/>
        <v>7.0830000000000002</v>
      </c>
      <c r="M106" s="209">
        <f t="shared" si="16"/>
        <v>7.0070000000000006</v>
      </c>
    </row>
    <row r="107" spans="1:13">
      <c r="A107" s="200" t="str">
        <f t="shared" si="20"/>
        <v>WSH20</v>
      </c>
      <c r="B107" s="201" t="s">
        <v>16</v>
      </c>
      <c r="C107" s="201">
        <v>2020</v>
      </c>
      <c r="D107" s="208">
        <v>5.8946389187484707</v>
      </c>
      <c r="E107" s="208">
        <v>0.88033721689406608</v>
      </c>
      <c r="F107" s="208">
        <f t="shared" si="21"/>
        <v>6.7749761356425369</v>
      </c>
      <c r="G107" s="208"/>
      <c r="H107" s="208">
        <f t="shared" si="22"/>
        <v>6.7749761356425369</v>
      </c>
      <c r="I107" s="209">
        <f t="shared" si="15"/>
        <v>7.3024532509517854</v>
      </c>
      <c r="J107" s="208">
        <v>8.3030000000000008</v>
      </c>
      <c r="K107" s="208">
        <v>0.34799999999999998</v>
      </c>
      <c r="L107" s="208">
        <f t="shared" si="23"/>
        <v>8.6510000000000016</v>
      </c>
      <c r="M107" s="209">
        <f t="shared" si="16"/>
        <v>7.5873333333333335</v>
      </c>
    </row>
    <row r="108" spans="1:13">
      <c r="A108" s="200" t="str">
        <f t="shared" si="20"/>
        <v>WSH21</v>
      </c>
      <c r="B108" s="201" t="s">
        <v>16</v>
      </c>
      <c r="C108" s="201">
        <v>2021</v>
      </c>
      <c r="D108" s="208">
        <v>8.5030000000000001</v>
      </c>
      <c r="E108" s="208">
        <v>1.7390000000000001</v>
      </c>
      <c r="F108" s="208">
        <f t="shared" si="21"/>
        <v>10.242000000000001</v>
      </c>
      <c r="G108" s="208">
        <f>Allowance!$F$21/5</f>
        <v>0</v>
      </c>
      <c r="H108" s="208">
        <f t="shared" si="22"/>
        <v>10.242000000000001</v>
      </c>
      <c r="I108" s="209">
        <f t="shared" si="15"/>
        <v>8.1674532509517856</v>
      </c>
      <c r="J108" s="208">
        <v>8.516</v>
      </c>
      <c r="K108" s="208">
        <v>0.34300000000000003</v>
      </c>
      <c r="L108" s="208">
        <f t="shared" si="23"/>
        <v>8.859</v>
      </c>
      <c r="M108" s="209">
        <f t="shared" si="16"/>
        <v>8.1976666666666684</v>
      </c>
    </row>
    <row r="109" spans="1:13">
      <c r="A109" s="200" t="str">
        <f t="shared" si="20"/>
        <v>WSH22</v>
      </c>
      <c r="B109" s="201" t="s">
        <v>16</v>
      </c>
      <c r="C109" s="201">
        <v>2022</v>
      </c>
      <c r="D109" s="208">
        <v>8.5779999999999994</v>
      </c>
      <c r="E109" s="208">
        <v>1.736</v>
      </c>
      <c r="F109" s="208">
        <f t="shared" si="21"/>
        <v>10.314</v>
      </c>
      <c r="G109" s="208">
        <f>Allowance!$F$21/5</f>
        <v>0</v>
      </c>
      <c r="H109" s="208">
        <f t="shared" si="22"/>
        <v>10.314</v>
      </c>
      <c r="I109" s="209">
        <f t="shared" si="15"/>
        <v>9.1103253785475129</v>
      </c>
      <c r="J109" s="208">
        <v>8.6620000000000008</v>
      </c>
      <c r="K109" s="208">
        <v>0.33800000000000002</v>
      </c>
      <c r="L109" s="208">
        <f t="shared" si="23"/>
        <v>9</v>
      </c>
      <c r="M109" s="209">
        <f t="shared" si="16"/>
        <v>8.8366666666666678</v>
      </c>
    </row>
    <row r="110" spans="1:13">
      <c r="A110" s="200" t="str">
        <f t="shared" si="20"/>
        <v>WSH23</v>
      </c>
      <c r="B110" s="201" t="s">
        <v>16</v>
      </c>
      <c r="C110" s="201">
        <v>2023</v>
      </c>
      <c r="D110" s="208">
        <v>8.6519999999999992</v>
      </c>
      <c r="E110" s="208">
        <v>1.734</v>
      </c>
      <c r="F110" s="208">
        <f t="shared" si="21"/>
        <v>10.385999999999999</v>
      </c>
      <c r="G110" s="208">
        <f>Allowance!$F$21/5</f>
        <v>0</v>
      </c>
      <c r="H110" s="208">
        <f t="shared" si="22"/>
        <v>10.385999999999999</v>
      </c>
      <c r="I110" s="209">
        <f t="shared" si="15"/>
        <v>10.314</v>
      </c>
      <c r="J110" s="208">
        <v>8.8040000000000003</v>
      </c>
      <c r="K110" s="208">
        <v>0.33500000000000002</v>
      </c>
      <c r="L110" s="208">
        <f t="shared" si="23"/>
        <v>9.1390000000000011</v>
      </c>
      <c r="M110" s="209">
        <f t="shared" si="16"/>
        <v>8.9993333333333343</v>
      </c>
    </row>
    <row r="111" spans="1:13">
      <c r="A111" s="200" t="str">
        <f t="shared" si="20"/>
        <v>WSH24</v>
      </c>
      <c r="B111" s="201" t="s">
        <v>16</v>
      </c>
      <c r="C111" s="201">
        <v>2024</v>
      </c>
      <c r="D111" s="208">
        <v>8.6370000000000005</v>
      </c>
      <c r="E111" s="208">
        <v>1.7290000000000001</v>
      </c>
      <c r="F111" s="208">
        <f t="shared" si="21"/>
        <v>10.366</v>
      </c>
      <c r="G111" s="208">
        <f>Allowance!$F$21/5</f>
        <v>0</v>
      </c>
      <c r="H111" s="208">
        <f t="shared" si="22"/>
        <v>10.366</v>
      </c>
      <c r="I111" s="209">
        <f t="shared" si="15"/>
        <v>10.355333333333332</v>
      </c>
      <c r="J111" s="208">
        <v>8.8409999999999993</v>
      </c>
      <c r="K111" s="208">
        <v>0.33100000000000002</v>
      </c>
      <c r="L111" s="208">
        <f t="shared" si="23"/>
        <v>9.1719999999999988</v>
      </c>
      <c r="M111" s="209">
        <f t="shared" si="16"/>
        <v>9.1036666666666672</v>
      </c>
    </row>
    <row r="112" spans="1:13">
      <c r="A112" s="200" t="str">
        <f t="shared" si="20"/>
        <v>WSH25</v>
      </c>
      <c r="B112" s="201" t="s">
        <v>16</v>
      </c>
      <c r="C112" s="201">
        <v>2025</v>
      </c>
      <c r="D112" s="208">
        <v>8.6319999999999997</v>
      </c>
      <c r="E112" s="208">
        <v>1.7270000000000001</v>
      </c>
      <c r="F112" s="208">
        <f t="shared" si="21"/>
        <v>10.359</v>
      </c>
      <c r="G112" s="208">
        <f>Allowance!$F$21/5</f>
        <v>0</v>
      </c>
      <c r="H112" s="208">
        <f t="shared" si="22"/>
        <v>10.359</v>
      </c>
      <c r="I112" s="209">
        <f t="shared" si="15"/>
        <v>10.370333333333333</v>
      </c>
      <c r="J112" s="208">
        <v>8.8740000000000006</v>
      </c>
      <c r="K112" s="208">
        <v>0.32900000000000001</v>
      </c>
      <c r="L112" s="208">
        <f t="shared" si="23"/>
        <v>9.2030000000000012</v>
      </c>
      <c r="M112" s="209">
        <f t="shared" si="16"/>
        <v>9.1713333333333349</v>
      </c>
    </row>
    <row r="113" spans="1:13">
      <c r="A113" s="200" t="str">
        <f t="shared" si="20"/>
        <v>WSX12</v>
      </c>
      <c r="B113" s="201" t="s">
        <v>17</v>
      </c>
      <c r="C113" s="201">
        <v>2012</v>
      </c>
      <c r="D113" s="208">
        <v>3.87214138022444</v>
      </c>
      <c r="E113" s="208">
        <v>0</v>
      </c>
      <c r="F113" s="208">
        <f t="shared" si="21"/>
        <v>3.87214138022444</v>
      </c>
      <c r="G113" s="208"/>
      <c r="H113" s="208">
        <f t="shared" si="22"/>
        <v>3.87214138022444</v>
      </c>
      <c r="I113" s="209"/>
      <c r="J113" s="208">
        <v>5.2510000000000003</v>
      </c>
      <c r="K113" s="208">
        <v>0.42899999999999999</v>
      </c>
      <c r="L113" s="208">
        <f t="shared" si="23"/>
        <v>5.6800000000000006</v>
      </c>
      <c r="M113" s="209"/>
    </row>
    <row r="114" spans="1:13">
      <c r="A114" s="200" t="str">
        <f t="shared" si="20"/>
        <v>WSX13</v>
      </c>
      <c r="B114" s="201" t="s">
        <v>17</v>
      </c>
      <c r="C114" s="201">
        <v>2013</v>
      </c>
      <c r="D114" s="208">
        <v>3.0137409836065574</v>
      </c>
      <c r="E114" s="208">
        <v>0</v>
      </c>
      <c r="F114" s="208">
        <f t="shared" si="21"/>
        <v>3.0137409836065574</v>
      </c>
      <c r="G114" s="208"/>
      <c r="H114" s="208">
        <f t="shared" si="22"/>
        <v>3.0137409836065574</v>
      </c>
      <c r="I114" s="209"/>
      <c r="J114" s="208">
        <v>4.5309999999999997</v>
      </c>
      <c r="K114" s="208">
        <v>0.41599999999999998</v>
      </c>
      <c r="L114" s="208">
        <f t="shared" si="23"/>
        <v>4.9470000000000001</v>
      </c>
      <c r="M114" s="209"/>
    </row>
    <row r="115" spans="1:13">
      <c r="A115" s="200" t="str">
        <f t="shared" si="20"/>
        <v>WSX14</v>
      </c>
      <c r="B115" s="201" t="s">
        <v>17</v>
      </c>
      <c r="C115" s="201">
        <v>2014</v>
      </c>
      <c r="D115" s="208">
        <v>2.8897400270453</v>
      </c>
      <c r="E115" s="208">
        <v>0</v>
      </c>
      <c r="F115" s="208">
        <f t="shared" si="21"/>
        <v>2.8897400270453</v>
      </c>
      <c r="G115" s="208"/>
      <c r="H115" s="208">
        <f t="shared" si="22"/>
        <v>2.8897400270453</v>
      </c>
      <c r="I115" s="209">
        <f t="shared" si="15"/>
        <v>3.2585407969587656</v>
      </c>
      <c r="J115" s="208">
        <v>4.7439999999999998</v>
      </c>
      <c r="K115" s="208">
        <v>0.47199999999999998</v>
      </c>
      <c r="L115" s="208">
        <f t="shared" si="23"/>
        <v>5.2159999999999993</v>
      </c>
      <c r="M115" s="209">
        <f t="shared" si="16"/>
        <v>5.2809999999999997</v>
      </c>
    </row>
    <row r="116" spans="1:13">
      <c r="A116" s="200" t="str">
        <f t="shared" si="20"/>
        <v>WSX15</v>
      </c>
      <c r="B116" s="201" t="s">
        <v>17</v>
      </c>
      <c r="C116" s="201">
        <v>2015</v>
      </c>
      <c r="D116" s="208">
        <v>4.0014601821676283</v>
      </c>
      <c r="E116" s="208">
        <v>0</v>
      </c>
      <c r="F116" s="208">
        <f t="shared" si="21"/>
        <v>4.0014601821676283</v>
      </c>
      <c r="G116" s="208"/>
      <c r="H116" s="208">
        <f t="shared" si="22"/>
        <v>4.0014601821676283</v>
      </c>
      <c r="I116" s="209">
        <f t="shared" si="15"/>
        <v>3.3016470642731619</v>
      </c>
      <c r="J116" s="208">
        <v>5.1130000000000004</v>
      </c>
      <c r="K116" s="208">
        <v>0.48599999999999999</v>
      </c>
      <c r="L116" s="208">
        <f t="shared" si="23"/>
        <v>5.5990000000000002</v>
      </c>
      <c r="M116" s="209">
        <f t="shared" si="16"/>
        <v>5.2540000000000004</v>
      </c>
    </row>
    <row r="117" spans="1:13">
      <c r="A117" s="200" t="str">
        <f t="shared" si="20"/>
        <v>WSX16</v>
      </c>
      <c r="B117" s="201" t="s">
        <v>17</v>
      </c>
      <c r="C117" s="201">
        <v>2016</v>
      </c>
      <c r="D117" s="208">
        <v>7.5507618531181322</v>
      </c>
      <c r="E117" s="208">
        <v>0</v>
      </c>
      <c r="F117" s="208">
        <f t="shared" si="21"/>
        <v>7.5507618531181322</v>
      </c>
      <c r="G117" s="208"/>
      <c r="H117" s="208">
        <f t="shared" si="22"/>
        <v>7.5507618531181322</v>
      </c>
      <c r="I117" s="209">
        <f t="shared" si="15"/>
        <v>4.8139873541103535</v>
      </c>
      <c r="J117" s="208">
        <v>4.9980000000000002</v>
      </c>
      <c r="K117" s="208">
        <v>0.439</v>
      </c>
      <c r="L117" s="208">
        <f t="shared" si="23"/>
        <v>5.4370000000000003</v>
      </c>
      <c r="M117" s="209">
        <f t="shared" si="16"/>
        <v>5.4173333333333327</v>
      </c>
    </row>
    <row r="118" spans="1:13">
      <c r="A118" s="200" t="str">
        <f t="shared" si="20"/>
        <v>WSX17</v>
      </c>
      <c r="B118" s="201" t="s">
        <v>17</v>
      </c>
      <c r="C118" s="201">
        <v>2017</v>
      </c>
      <c r="D118" s="208">
        <v>7.586733853098071</v>
      </c>
      <c r="E118" s="208">
        <v>0</v>
      </c>
      <c r="F118" s="208">
        <f t="shared" si="21"/>
        <v>7.586733853098071</v>
      </c>
      <c r="G118" s="208"/>
      <c r="H118" s="208">
        <f t="shared" si="22"/>
        <v>7.586733853098071</v>
      </c>
      <c r="I118" s="209">
        <f t="shared" si="15"/>
        <v>6.3796519627946111</v>
      </c>
      <c r="J118" s="208">
        <v>5.2590000000000003</v>
      </c>
      <c r="K118" s="208">
        <v>0.44900000000000001</v>
      </c>
      <c r="L118" s="208">
        <f t="shared" si="23"/>
        <v>5.7080000000000002</v>
      </c>
      <c r="M118" s="209">
        <f t="shared" si="16"/>
        <v>5.5813333333333333</v>
      </c>
    </row>
    <row r="119" spans="1:13">
      <c r="A119" s="200" t="str">
        <f t="shared" si="20"/>
        <v>WSX18</v>
      </c>
      <c r="B119" s="201" t="s">
        <v>17</v>
      </c>
      <c r="C119" s="201">
        <v>2018</v>
      </c>
      <c r="D119" s="208">
        <v>1.7205885299999999</v>
      </c>
      <c r="E119" s="208">
        <v>0</v>
      </c>
      <c r="F119" s="208">
        <f t="shared" si="21"/>
        <v>1.7205885299999999</v>
      </c>
      <c r="G119" s="208"/>
      <c r="H119" s="208">
        <f t="shared" si="22"/>
        <v>1.7205885299999999</v>
      </c>
      <c r="I119" s="209">
        <f t="shared" si="15"/>
        <v>5.6193614120720676</v>
      </c>
      <c r="J119" s="208">
        <v>4.9109999999999996</v>
      </c>
      <c r="K119" s="208">
        <v>0.28599999999999998</v>
      </c>
      <c r="L119" s="208">
        <f t="shared" si="23"/>
        <v>5.1969999999999992</v>
      </c>
      <c r="M119" s="209">
        <f t="shared" si="16"/>
        <v>5.4473333333333329</v>
      </c>
    </row>
    <row r="120" spans="1:13">
      <c r="A120" s="200" t="str">
        <f t="shared" si="20"/>
        <v>WSX19</v>
      </c>
      <c r="B120" s="201" t="s">
        <v>17</v>
      </c>
      <c r="C120" s="201">
        <v>2019</v>
      </c>
      <c r="D120" s="208">
        <v>4.6869094553891806</v>
      </c>
      <c r="E120" s="208">
        <v>0</v>
      </c>
      <c r="F120" s="208">
        <f t="shared" si="21"/>
        <v>4.6869094553891806</v>
      </c>
      <c r="G120" s="208"/>
      <c r="H120" s="208">
        <f t="shared" si="22"/>
        <v>4.6869094553891806</v>
      </c>
      <c r="I120" s="209">
        <f t="shared" si="15"/>
        <v>4.6647439461624174</v>
      </c>
      <c r="J120" s="208">
        <v>7.1289999999999996</v>
      </c>
      <c r="K120" s="208">
        <v>0.36899999999999999</v>
      </c>
      <c r="L120" s="208">
        <f t="shared" si="23"/>
        <v>7.4979999999999993</v>
      </c>
      <c r="M120" s="209">
        <f t="shared" si="16"/>
        <v>6.1343333333333332</v>
      </c>
    </row>
    <row r="121" spans="1:13">
      <c r="A121" s="200" t="str">
        <f t="shared" si="20"/>
        <v>WSX20</v>
      </c>
      <c r="B121" s="201" t="s">
        <v>17</v>
      </c>
      <c r="C121" s="201">
        <v>2020</v>
      </c>
      <c r="D121" s="208">
        <v>2.4237887358929981</v>
      </c>
      <c r="E121" s="208">
        <v>0</v>
      </c>
      <c r="F121" s="208">
        <f t="shared" si="21"/>
        <v>2.4237887358929981</v>
      </c>
      <c r="G121" s="208"/>
      <c r="H121" s="208">
        <f t="shared" si="22"/>
        <v>2.4237887358929981</v>
      </c>
      <c r="I121" s="209">
        <f t="shared" si="15"/>
        <v>2.9437622404273931</v>
      </c>
      <c r="J121" s="208">
        <v>7.0449999999999999</v>
      </c>
      <c r="K121" s="208">
        <v>0.35899999999999999</v>
      </c>
      <c r="L121" s="208">
        <f t="shared" si="23"/>
        <v>7.4039999999999999</v>
      </c>
      <c r="M121" s="209">
        <f t="shared" si="16"/>
        <v>6.6996666666666655</v>
      </c>
    </row>
    <row r="122" spans="1:13">
      <c r="A122" s="200" t="str">
        <f t="shared" si="20"/>
        <v>WSX21</v>
      </c>
      <c r="B122" s="201" t="s">
        <v>17</v>
      </c>
      <c r="C122" s="201">
        <v>2021</v>
      </c>
      <c r="D122" s="208">
        <v>3.37846153846154</v>
      </c>
      <c r="E122" s="208">
        <v>0</v>
      </c>
      <c r="F122" s="208">
        <f t="shared" si="21"/>
        <v>3.37846153846154</v>
      </c>
      <c r="G122" s="208">
        <f>Allowance!$F$22/5</f>
        <v>0</v>
      </c>
      <c r="H122" s="208">
        <f t="shared" si="22"/>
        <v>3.37846153846154</v>
      </c>
      <c r="I122" s="209">
        <f t="shared" si="15"/>
        <v>3.4963865765812394</v>
      </c>
      <c r="J122" s="208">
        <v>6.9939999999999998</v>
      </c>
      <c r="K122" s="208">
        <v>0.35</v>
      </c>
      <c r="L122" s="208">
        <f t="shared" si="23"/>
        <v>7.3439999999999994</v>
      </c>
      <c r="M122" s="209">
        <f t="shared" si="16"/>
        <v>7.4153333333333329</v>
      </c>
    </row>
    <row r="123" spans="1:13">
      <c r="A123" s="200" t="str">
        <f t="shared" si="20"/>
        <v>WSX22</v>
      </c>
      <c r="B123" s="201" t="s">
        <v>17</v>
      </c>
      <c r="C123" s="201">
        <v>2022</v>
      </c>
      <c r="D123" s="208">
        <v>3.37846153846154</v>
      </c>
      <c r="E123" s="208">
        <v>0</v>
      </c>
      <c r="F123" s="208">
        <f t="shared" si="21"/>
        <v>3.37846153846154</v>
      </c>
      <c r="G123" s="208">
        <f>Allowance!$F$22/5</f>
        <v>0</v>
      </c>
      <c r="H123" s="208">
        <f t="shared" si="22"/>
        <v>3.37846153846154</v>
      </c>
      <c r="I123" s="209">
        <f t="shared" si="15"/>
        <v>3.0602372709386927</v>
      </c>
      <c r="J123" s="208">
        <v>6.5110000000000001</v>
      </c>
      <c r="K123" s="208">
        <v>0.34100000000000003</v>
      </c>
      <c r="L123" s="208">
        <f t="shared" si="23"/>
        <v>6.8520000000000003</v>
      </c>
      <c r="M123" s="209">
        <f t="shared" si="16"/>
        <v>7.2</v>
      </c>
    </row>
    <row r="124" spans="1:13">
      <c r="A124" s="200" t="str">
        <f t="shared" si="20"/>
        <v>WSX23</v>
      </c>
      <c r="B124" s="201" t="s">
        <v>17</v>
      </c>
      <c r="C124" s="201">
        <v>2023</v>
      </c>
      <c r="D124" s="208">
        <v>3.37846153846154</v>
      </c>
      <c r="E124" s="208">
        <v>0</v>
      </c>
      <c r="F124" s="208">
        <f t="shared" si="21"/>
        <v>3.37846153846154</v>
      </c>
      <c r="G124" s="208">
        <f>Allowance!$F$22/5</f>
        <v>0</v>
      </c>
      <c r="H124" s="208">
        <f t="shared" si="22"/>
        <v>3.37846153846154</v>
      </c>
      <c r="I124" s="209">
        <f t="shared" si="15"/>
        <v>3.37846153846154</v>
      </c>
      <c r="J124" s="208">
        <v>6.2439999999999998</v>
      </c>
      <c r="K124" s="208">
        <v>0.33400000000000002</v>
      </c>
      <c r="L124" s="208">
        <f t="shared" si="23"/>
        <v>6.5779999999999994</v>
      </c>
      <c r="M124" s="209">
        <f t="shared" si="16"/>
        <v>6.924666666666667</v>
      </c>
    </row>
    <row r="125" spans="1:13">
      <c r="A125" s="200" t="str">
        <f t="shared" si="20"/>
        <v>WSX24</v>
      </c>
      <c r="B125" s="201" t="s">
        <v>17</v>
      </c>
      <c r="C125" s="201">
        <v>2024</v>
      </c>
      <c r="D125" s="208">
        <v>3.37846153846154</v>
      </c>
      <c r="E125" s="208">
        <v>0</v>
      </c>
      <c r="F125" s="208">
        <f t="shared" si="21"/>
        <v>3.37846153846154</v>
      </c>
      <c r="G125" s="208">
        <f>Allowance!$F$22/5</f>
        <v>0</v>
      </c>
      <c r="H125" s="208">
        <f t="shared" si="22"/>
        <v>3.37846153846154</v>
      </c>
      <c r="I125" s="209">
        <f t="shared" si="15"/>
        <v>3.37846153846154</v>
      </c>
      <c r="J125" s="208">
        <v>6.0750000000000002</v>
      </c>
      <c r="K125" s="208">
        <v>0.32600000000000001</v>
      </c>
      <c r="L125" s="208">
        <f t="shared" si="23"/>
        <v>6.4009999999999998</v>
      </c>
      <c r="M125" s="209">
        <f t="shared" si="16"/>
        <v>6.6103333333333332</v>
      </c>
    </row>
    <row r="126" spans="1:13">
      <c r="A126" s="200" t="str">
        <f t="shared" si="20"/>
        <v>WSX25</v>
      </c>
      <c r="B126" s="201" t="s">
        <v>17</v>
      </c>
      <c r="C126" s="201">
        <v>2025</v>
      </c>
      <c r="D126" s="208">
        <v>3.37846153846154</v>
      </c>
      <c r="E126" s="208">
        <v>0</v>
      </c>
      <c r="F126" s="208">
        <f t="shared" si="21"/>
        <v>3.37846153846154</v>
      </c>
      <c r="G126" s="208">
        <f>Allowance!$F$22/5</f>
        <v>0</v>
      </c>
      <c r="H126" s="208">
        <f t="shared" si="22"/>
        <v>3.37846153846154</v>
      </c>
      <c r="I126" s="209">
        <f t="shared" si="15"/>
        <v>3.37846153846154</v>
      </c>
      <c r="J126" s="208">
        <v>5.8029999999999999</v>
      </c>
      <c r="K126" s="208">
        <v>0.31900000000000001</v>
      </c>
      <c r="L126" s="208">
        <f t="shared" si="23"/>
        <v>6.1219999999999999</v>
      </c>
      <c r="M126" s="209">
        <f t="shared" si="16"/>
        <v>6.367</v>
      </c>
    </row>
    <row r="127" spans="1:13">
      <c r="A127" s="200" t="str">
        <f t="shared" si="20"/>
        <v>YKY12</v>
      </c>
      <c r="B127" s="201" t="s">
        <v>18</v>
      </c>
      <c r="C127" s="201">
        <v>2012</v>
      </c>
      <c r="D127" s="208">
        <v>5.3020629160403567</v>
      </c>
      <c r="E127" s="208">
        <v>0</v>
      </c>
      <c r="F127" s="208">
        <f t="shared" si="21"/>
        <v>5.3020629160403567</v>
      </c>
      <c r="G127" s="208"/>
      <c r="H127" s="208">
        <f t="shared" si="22"/>
        <v>5.3020629160403567</v>
      </c>
      <c r="I127" s="209"/>
      <c r="J127" s="208">
        <v>11.032999999999999</v>
      </c>
      <c r="K127" s="208">
        <v>0.91800000000000004</v>
      </c>
      <c r="L127" s="208">
        <f t="shared" si="23"/>
        <v>11.950999999999999</v>
      </c>
      <c r="M127" s="209"/>
    </row>
    <row r="128" spans="1:13">
      <c r="A128" s="200" t="str">
        <f t="shared" si="20"/>
        <v>YKY13</v>
      </c>
      <c r="B128" s="201" t="s">
        <v>18</v>
      </c>
      <c r="C128" s="201">
        <v>2013</v>
      </c>
      <c r="D128" s="208">
        <v>3.5452594391561694</v>
      </c>
      <c r="E128" s="208">
        <v>0</v>
      </c>
      <c r="F128" s="208">
        <f t="shared" si="21"/>
        <v>3.5452594391561694</v>
      </c>
      <c r="G128" s="208"/>
      <c r="H128" s="208">
        <f t="shared" si="22"/>
        <v>3.5452594391561694</v>
      </c>
      <c r="I128" s="209"/>
      <c r="J128" s="208">
        <v>8.3360000000000003</v>
      </c>
      <c r="K128" s="208">
        <v>0.79900000000000004</v>
      </c>
      <c r="L128" s="208">
        <f t="shared" si="23"/>
        <v>9.1349999999999998</v>
      </c>
      <c r="M128" s="209"/>
    </row>
    <row r="129" spans="1:13">
      <c r="A129" s="200" t="str">
        <f t="shared" si="20"/>
        <v>YKY14</v>
      </c>
      <c r="B129" s="201" t="s">
        <v>18</v>
      </c>
      <c r="C129" s="201">
        <v>2014</v>
      </c>
      <c r="D129" s="208">
        <v>3.9129553685125074</v>
      </c>
      <c r="E129" s="208">
        <v>0</v>
      </c>
      <c r="F129" s="208">
        <f t="shared" si="21"/>
        <v>3.9129553685125074</v>
      </c>
      <c r="G129" s="208"/>
      <c r="H129" s="208">
        <f t="shared" si="22"/>
        <v>3.9129553685125074</v>
      </c>
      <c r="I129" s="209">
        <f t="shared" si="15"/>
        <v>4.2534259079030114</v>
      </c>
      <c r="J129" s="208">
        <v>9.7490000000000006</v>
      </c>
      <c r="K129" s="208">
        <v>0.70799999999999996</v>
      </c>
      <c r="L129" s="208">
        <f t="shared" si="23"/>
        <v>10.457000000000001</v>
      </c>
      <c r="M129" s="209">
        <f t="shared" si="16"/>
        <v>10.514333333333333</v>
      </c>
    </row>
    <row r="130" spans="1:13">
      <c r="A130" s="200" t="str">
        <f t="shared" si="20"/>
        <v>YKY15</v>
      </c>
      <c r="B130" s="201" t="s">
        <v>18</v>
      </c>
      <c r="C130" s="201">
        <v>2015</v>
      </c>
      <c r="D130" s="208">
        <v>5.6271398060249025</v>
      </c>
      <c r="E130" s="208">
        <v>0</v>
      </c>
      <c r="F130" s="208">
        <f t="shared" si="21"/>
        <v>5.6271398060249025</v>
      </c>
      <c r="G130" s="208"/>
      <c r="H130" s="208">
        <f t="shared" si="22"/>
        <v>5.6271398060249025</v>
      </c>
      <c r="I130" s="209">
        <f t="shared" ref="I130:I193" si="24">AVERAGE(H128:H130)</f>
        <v>4.3617848712311931</v>
      </c>
      <c r="J130" s="208">
        <v>12.776999999999999</v>
      </c>
      <c r="K130" s="208">
        <v>0.88</v>
      </c>
      <c r="L130" s="208">
        <f t="shared" si="23"/>
        <v>13.657</v>
      </c>
      <c r="M130" s="209">
        <f t="shared" ref="M130:M193" si="25">AVERAGE(L128:L130)</f>
        <v>11.082999999999998</v>
      </c>
    </row>
    <row r="131" spans="1:13">
      <c r="A131" s="200" t="str">
        <f t="shared" si="20"/>
        <v>YKY16</v>
      </c>
      <c r="B131" s="201" t="s">
        <v>18</v>
      </c>
      <c r="C131" s="201">
        <v>2016</v>
      </c>
      <c r="D131" s="208">
        <v>6.3434888485008294</v>
      </c>
      <c r="E131" s="208">
        <v>0</v>
      </c>
      <c r="F131" s="208">
        <f t="shared" si="21"/>
        <v>6.3434888485008294</v>
      </c>
      <c r="G131" s="208"/>
      <c r="H131" s="208">
        <f t="shared" si="22"/>
        <v>6.3434888485008294</v>
      </c>
      <c r="I131" s="209">
        <f t="shared" si="24"/>
        <v>5.2945280076794132</v>
      </c>
      <c r="J131" s="208">
        <v>12.909000000000001</v>
      </c>
      <c r="K131" s="208">
        <v>0.97899999999999998</v>
      </c>
      <c r="L131" s="208">
        <f t="shared" si="23"/>
        <v>13.888</v>
      </c>
      <c r="M131" s="209">
        <f t="shared" si="25"/>
        <v>12.667333333333334</v>
      </c>
    </row>
    <row r="132" spans="1:13">
      <c r="A132" s="200" t="str">
        <f t="shared" si="20"/>
        <v>YKY17</v>
      </c>
      <c r="B132" s="201" t="s">
        <v>18</v>
      </c>
      <c r="C132" s="201">
        <v>2017</v>
      </c>
      <c r="D132" s="208">
        <v>6.3339985652129664</v>
      </c>
      <c r="E132" s="208">
        <v>0</v>
      </c>
      <c r="F132" s="208">
        <f t="shared" si="21"/>
        <v>6.3339985652129664</v>
      </c>
      <c r="G132" s="208"/>
      <c r="H132" s="208">
        <f t="shared" si="22"/>
        <v>6.3339985652129664</v>
      </c>
      <c r="I132" s="209">
        <f t="shared" si="24"/>
        <v>6.1015424065795658</v>
      </c>
      <c r="J132" s="208">
        <v>14.391999999999999</v>
      </c>
      <c r="K132" s="208">
        <v>0.78</v>
      </c>
      <c r="L132" s="208">
        <f t="shared" si="23"/>
        <v>15.171999999999999</v>
      </c>
      <c r="M132" s="209">
        <f t="shared" si="25"/>
        <v>14.238999999999999</v>
      </c>
    </row>
    <row r="133" spans="1:13">
      <c r="A133" s="200" t="str">
        <f t="shared" si="20"/>
        <v>YKY18</v>
      </c>
      <c r="B133" s="201" t="s">
        <v>18</v>
      </c>
      <c r="C133" s="201">
        <v>2018</v>
      </c>
      <c r="D133" s="208">
        <v>7.484</v>
      </c>
      <c r="E133" s="208">
        <v>8.1910000000000007</v>
      </c>
      <c r="F133" s="208">
        <f t="shared" si="21"/>
        <v>15.675000000000001</v>
      </c>
      <c r="G133" s="208"/>
      <c r="H133" s="208">
        <f t="shared" si="22"/>
        <v>15.675000000000001</v>
      </c>
      <c r="I133" s="209">
        <f t="shared" si="24"/>
        <v>9.4508291379045986</v>
      </c>
      <c r="J133" s="208">
        <v>13.882</v>
      </c>
      <c r="K133" s="208">
        <v>0.9</v>
      </c>
      <c r="L133" s="208">
        <f t="shared" si="23"/>
        <v>14.782</v>
      </c>
      <c r="M133" s="209">
        <f t="shared" si="25"/>
        <v>14.613999999999999</v>
      </c>
    </row>
    <row r="134" spans="1:13">
      <c r="A134" s="200" t="str">
        <f t="shared" si="20"/>
        <v>YKY19</v>
      </c>
      <c r="B134" s="201" t="s">
        <v>18</v>
      </c>
      <c r="C134" s="201">
        <v>2019</v>
      </c>
      <c r="D134" s="208">
        <v>12.192837818862664</v>
      </c>
      <c r="E134" s="208">
        <v>6.6944513612606498</v>
      </c>
      <c r="F134" s="208">
        <f t="shared" si="21"/>
        <v>18.887289180123314</v>
      </c>
      <c r="G134" s="208"/>
      <c r="H134" s="208">
        <f t="shared" si="22"/>
        <v>18.887289180123314</v>
      </c>
      <c r="I134" s="209">
        <f t="shared" si="24"/>
        <v>13.632095915112094</v>
      </c>
      <c r="J134" s="208">
        <v>23.780110674924401</v>
      </c>
      <c r="K134" s="208">
        <v>0.84099999999999997</v>
      </c>
      <c r="L134" s="208">
        <f t="shared" si="23"/>
        <v>24.621110674924402</v>
      </c>
      <c r="M134" s="209">
        <f t="shared" si="25"/>
        <v>18.191703558308134</v>
      </c>
    </row>
    <row r="135" spans="1:13">
      <c r="A135" s="200" t="str">
        <f t="shared" si="20"/>
        <v>YKY20</v>
      </c>
      <c r="B135" s="201" t="s">
        <v>18</v>
      </c>
      <c r="C135" s="201">
        <v>2020</v>
      </c>
      <c r="D135" s="208">
        <v>7.6101477975418446</v>
      </c>
      <c r="E135" s="208">
        <v>6.5513529277044453</v>
      </c>
      <c r="F135" s="208">
        <f t="shared" si="21"/>
        <v>14.16150072524629</v>
      </c>
      <c r="G135" s="208"/>
      <c r="H135" s="208">
        <f t="shared" si="22"/>
        <v>14.16150072524629</v>
      </c>
      <c r="I135" s="209">
        <f t="shared" si="24"/>
        <v>16.241263301789868</v>
      </c>
      <c r="J135" s="208">
        <v>23.1280709844327</v>
      </c>
      <c r="K135" s="208">
        <v>0.84099999999999997</v>
      </c>
      <c r="L135" s="208">
        <f t="shared" si="23"/>
        <v>23.969070984432701</v>
      </c>
      <c r="M135" s="209">
        <f t="shared" si="25"/>
        <v>21.124060553119037</v>
      </c>
    </row>
    <row r="136" spans="1:13">
      <c r="A136" s="200" t="str">
        <f t="shared" si="20"/>
        <v>YKY21</v>
      </c>
      <c r="B136" s="201" t="s">
        <v>18</v>
      </c>
      <c r="C136" s="201">
        <v>2021</v>
      </c>
      <c r="D136" s="208">
        <v>1.635</v>
      </c>
      <c r="E136" s="208">
        <v>5.931</v>
      </c>
      <c r="F136" s="208">
        <f t="shared" si="21"/>
        <v>7.5659999999999998</v>
      </c>
      <c r="G136" s="208">
        <f>Allowance!$F$23/5</f>
        <v>0</v>
      </c>
      <c r="H136" s="208">
        <f t="shared" si="22"/>
        <v>7.5659999999999998</v>
      </c>
      <c r="I136" s="209">
        <f t="shared" si="24"/>
        <v>13.538263301789868</v>
      </c>
      <c r="J136" s="208">
        <v>22.804195086403301</v>
      </c>
      <c r="K136" s="208">
        <v>0.84099999999999997</v>
      </c>
      <c r="L136" s="208">
        <f t="shared" si="23"/>
        <v>23.645195086403302</v>
      </c>
      <c r="M136" s="209">
        <f t="shared" si="25"/>
        <v>24.078458915253467</v>
      </c>
    </row>
    <row r="137" spans="1:13">
      <c r="A137" s="200" t="str">
        <f t="shared" ref="A137:A184" si="26">B137&amp;RIGHT(C137,2)</f>
        <v>YKY22</v>
      </c>
      <c r="B137" s="201" t="s">
        <v>18</v>
      </c>
      <c r="C137" s="201">
        <v>2022</v>
      </c>
      <c r="D137" s="208">
        <v>2.988</v>
      </c>
      <c r="E137" s="208">
        <v>5.9720000000000004</v>
      </c>
      <c r="F137" s="208">
        <f t="shared" si="21"/>
        <v>8.9600000000000009</v>
      </c>
      <c r="G137" s="208">
        <f>Allowance!$F$23/5</f>
        <v>0</v>
      </c>
      <c r="H137" s="208">
        <f t="shared" si="22"/>
        <v>8.9600000000000009</v>
      </c>
      <c r="I137" s="209">
        <f t="shared" si="24"/>
        <v>10.229166908415431</v>
      </c>
      <c r="J137" s="208">
        <v>20.624959703924599</v>
      </c>
      <c r="K137" s="208">
        <v>0.84099999999999997</v>
      </c>
      <c r="L137" s="208">
        <f t="shared" si="23"/>
        <v>21.4659597039246</v>
      </c>
      <c r="M137" s="209">
        <f t="shared" si="25"/>
        <v>23.026741924920202</v>
      </c>
    </row>
    <row r="138" spans="1:13">
      <c r="A138" s="200" t="str">
        <f t="shared" si="26"/>
        <v>YKY23</v>
      </c>
      <c r="B138" s="201" t="s">
        <v>18</v>
      </c>
      <c r="C138" s="201">
        <v>2023</v>
      </c>
      <c r="D138" s="208">
        <v>2.3889999999999998</v>
      </c>
      <c r="E138" s="208">
        <v>6.0270000000000001</v>
      </c>
      <c r="F138" s="208">
        <f t="shared" si="21"/>
        <v>8.4160000000000004</v>
      </c>
      <c r="G138" s="208">
        <f>Allowance!$F$23/5</f>
        <v>0</v>
      </c>
      <c r="H138" s="208">
        <f t="shared" si="22"/>
        <v>8.4160000000000004</v>
      </c>
      <c r="I138" s="209">
        <f t="shared" si="24"/>
        <v>8.3140000000000001</v>
      </c>
      <c r="J138" s="208">
        <v>20.7255543195127</v>
      </c>
      <c r="K138" s="208">
        <v>0.84099999999999997</v>
      </c>
      <c r="L138" s="208">
        <f t="shared" si="23"/>
        <v>21.566554319512701</v>
      </c>
      <c r="M138" s="209">
        <f t="shared" si="25"/>
        <v>22.225903036613534</v>
      </c>
    </row>
    <row r="139" spans="1:13">
      <c r="A139" s="200" t="str">
        <f t="shared" si="26"/>
        <v>YKY24</v>
      </c>
      <c r="B139" s="201" t="s">
        <v>18</v>
      </c>
      <c r="C139" s="201">
        <v>2024</v>
      </c>
      <c r="D139" s="208">
        <v>2.153</v>
      </c>
      <c r="E139" s="208">
        <v>6.0789999999999997</v>
      </c>
      <c r="F139" s="208">
        <f t="shared" ref="F139:F169" si="27">D139+E139</f>
        <v>8.2319999999999993</v>
      </c>
      <c r="G139" s="208">
        <f>Allowance!$F$23/5</f>
        <v>0</v>
      </c>
      <c r="H139" s="208">
        <f t="shared" ref="H139:H169" si="28">F139+G139</f>
        <v>8.2319999999999993</v>
      </c>
      <c r="I139" s="209">
        <f t="shared" si="24"/>
        <v>8.5359999999999996</v>
      </c>
      <c r="J139" s="208">
        <v>20.6895303787974</v>
      </c>
      <c r="K139" s="208">
        <v>0.84099999999999997</v>
      </c>
      <c r="L139" s="208">
        <f t="shared" ref="L139:L169" si="29">J139+K139</f>
        <v>21.530530378797401</v>
      </c>
      <c r="M139" s="209">
        <f t="shared" si="25"/>
        <v>21.521014800744904</v>
      </c>
    </row>
    <row r="140" spans="1:13">
      <c r="A140" s="200" t="str">
        <f t="shared" si="26"/>
        <v>YKY25</v>
      </c>
      <c r="B140" s="201" t="s">
        <v>18</v>
      </c>
      <c r="C140" s="201">
        <v>2025</v>
      </c>
      <c r="D140" s="208">
        <v>1.59</v>
      </c>
      <c r="E140" s="208">
        <v>6.1349999999999998</v>
      </c>
      <c r="F140" s="208">
        <f t="shared" si="27"/>
        <v>7.7249999999999996</v>
      </c>
      <c r="G140" s="208">
        <f>Allowance!$F$23/5</f>
        <v>0</v>
      </c>
      <c r="H140" s="208">
        <f t="shared" si="28"/>
        <v>7.7249999999999996</v>
      </c>
      <c r="I140" s="209">
        <f t="shared" si="24"/>
        <v>8.1243333333333325</v>
      </c>
      <c r="J140" s="208">
        <v>20.7322150254228</v>
      </c>
      <c r="K140" s="208">
        <v>0.84099999999999997</v>
      </c>
      <c r="L140" s="208">
        <f t="shared" si="29"/>
        <v>21.573215025422801</v>
      </c>
      <c r="M140" s="209">
        <f t="shared" si="25"/>
        <v>21.556766574577633</v>
      </c>
    </row>
    <row r="141" spans="1:13">
      <c r="A141" s="200" t="str">
        <f t="shared" si="26"/>
        <v>AFW12</v>
      </c>
      <c r="B141" s="201" t="s">
        <v>19</v>
      </c>
      <c r="C141" s="201">
        <v>2012</v>
      </c>
      <c r="D141" s="208">
        <v>6.3309069541397873</v>
      </c>
      <c r="E141" s="208">
        <v>0</v>
      </c>
      <c r="F141" s="208">
        <f t="shared" si="27"/>
        <v>6.3309069541397873</v>
      </c>
      <c r="G141" s="208"/>
      <c r="H141" s="208">
        <f t="shared" si="28"/>
        <v>6.3309069541397873</v>
      </c>
      <c r="I141" s="209"/>
      <c r="J141" s="208">
        <v>10.163</v>
      </c>
      <c r="K141" s="208">
        <v>1.0759999999999998</v>
      </c>
      <c r="L141" s="208">
        <f t="shared" si="29"/>
        <v>11.239000000000001</v>
      </c>
      <c r="M141" s="209"/>
    </row>
    <row r="142" spans="1:13">
      <c r="A142" s="200" t="str">
        <f t="shared" si="26"/>
        <v>AFW13</v>
      </c>
      <c r="B142" s="201" t="s">
        <v>19</v>
      </c>
      <c r="C142" s="201">
        <v>2013</v>
      </c>
      <c r="D142" s="208">
        <v>9.3649330457290745</v>
      </c>
      <c r="E142" s="208">
        <v>0</v>
      </c>
      <c r="F142" s="208">
        <f t="shared" si="27"/>
        <v>9.3649330457290745</v>
      </c>
      <c r="G142" s="208"/>
      <c r="H142" s="208">
        <f t="shared" si="28"/>
        <v>9.3649330457290745</v>
      </c>
      <c r="I142" s="209"/>
      <c r="J142" s="208">
        <v>9.2780000000000005</v>
      </c>
      <c r="K142" s="208">
        <v>0.80700000000000005</v>
      </c>
      <c r="L142" s="208">
        <f t="shared" si="29"/>
        <v>10.085000000000001</v>
      </c>
      <c r="M142" s="209"/>
    </row>
    <row r="143" spans="1:13">
      <c r="A143" s="200" t="str">
        <f t="shared" si="26"/>
        <v>AFW14</v>
      </c>
      <c r="B143" s="201" t="s">
        <v>19</v>
      </c>
      <c r="C143" s="201">
        <v>2014</v>
      </c>
      <c r="D143" s="208">
        <v>7.6122559161595644</v>
      </c>
      <c r="E143" s="208">
        <v>0</v>
      </c>
      <c r="F143" s="208">
        <f t="shared" si="27"/>
        <v>7.6122559161595644</v>
      </c>
      <c r="G143" s="208"/>
      <c r="H143" s="208">
        <f t="shared" si="28"/>
        <v>7.6122559161595644</v>
      </c>
      <c r="I143" s="209">
        <f t="shared" si="24"/>
        <v>7.7693653053428093</v>
      </c>
      <c r="J143" s="208">
        <v>10.534000000000001</v>
      </c>
      <c r="K143" s="208">
        <v>0.88600000000000001</v>
      </c>
      <c r="L143" s="208">
        <f t="shared" si="29"/>
        <v>11.42</v>
      </c>
      <c r="M143" s="209">
        <f t="shared" si="25"/>
        <v>10.914666666666667</v>
      </c>
    </row>
    <row r="144" spans="1:13">
      <c r="A144" s="200" t="str">
        <f t="shared" si="26"/>
        <v>AFW15</v>
      </c>
      <c r="B144" s="201" t="s">
        <v>19</v>
      </c>
      <c r="C144" s="201">
        <v>2015</v>
      </c>
      <c r="D144" s="208">
        <v>8.267315617949361</v>
      </c>
      <c r="E144" s="208">
        <v>0</v>
      </c>
      <c r="F144" s="208">
        <f t="shared" si="27"/>
        <v>8.267315617949361</v>
      </c>
      <c r="G144" s="208"/>
      <c r="H144" s="208">
        <f t="shared" si="28"/>
        <v>8.267315617949361</v>
      </c>
      <c r="I144" s="209">
        <f t="shared" si="24"/>
        <v>8.4148348599459997</v>
      </c>
      <c r="J144" s="208">
        <v>10.545999999999999</v>
      </c>
      <c r="K144" s="208">
        <v>0.68100000000000005</v>
      </c>
      <c r="L144" s="208">
        <f t="shared" si="29"/>
        <v>11.227</v>
      </c>
      <c r="M144" s="209">
        <f t="shared" si="25"/>
        <v>10.910666666666666</v>
      </c>
    </row>
    <row r="145" spans="1:13">
      <c r="A145" s="200" t="str">
        <f t="shared" si="26"/>
        <v>AFW16</v>
      </c>
      <c r="B145" s="201" t="s">
        <v>19</v>
      </c>
      <c r="C145" s="201">
        <v>2016</v>
      </c>
      <c r="D145" s="208">
        <v>4.1315579034941754</v>
      </c>
      <c r="E145" s="208">
        <v>0</v>
      </c>
      <c r="F145" s="208">
        <f t="shared" si="27"/>
        <v>4.1315579034941754</v>
      </c>
      <c r="G145" s="208"/>
      <c r="H145" s="208">
        <f t="shared" si="28"/>
        <v>4.1315579034941754</v>
      </c>
      <c r="I145" s="209">
        <f t="shared" si="24"/>
        <v>6.6703764792010345</v>
      </c>
      <c r="J145" s="208">
        <v>12.55</v>
      </c>
      <c r="K145" s="208">
        <v>0.94699999999999995</v>
      </c>
      <c r="L145" s="208">
        <f t="shared" si="29"/>
        <v>13.497</v>
      </c>
      <c r="M145" s="209">
        <f t="shared" si="25"/>
        <v>12.048</v>
      </c>
    </row>
    <row r="146" spans="1:13">
      <c r="A146" s="200" t="str">
        <f t="shared" si="26"/>
        <v>AFW17</v>
      </c>
      <c r="B146" s="201" t="s">
        <v>19</v>
      </c>
      <c r="C146" s="201">
        <v>2017</v>
      </c>
      <c r="D146" s="208">
        <v>5.6407858842839556</v>
      </c>
      <c r="E146" s="208">
        <v>0</v>
      </c>
      <c r="F146" s="208">
        <f t="shared" si="27"/>
        <v>5.6407858842839556</v>
      </c>
      <c r="G146" s="208"/>
      <c r="H146" s="208">
        <f t="shared" si="28"/>
        <v>5.6407858842839556</v>
      </c>
      <c r="I146" s="209">
        <f t="shared" si="24"/>
        <v>6.0132198019091634</v>
      </c>
      <c r="J146" s="208">
        <v>24.036999999999999</v>
      </c>
      <c r="K146" s="208">
        <v>1.0940000000000001</v>
      </c>
      <c r="L146" s="208">
        <f t="shared" si="29"/>
        <v>25.131</v>
      </c>
      <c r="M146" s="209">
        <f t="shared" si="25"/>
        <v>16.618333333333336</v>
      </c>
    </row>
    <row r="147" spans="1:13">
      <c r="A147" s="200" t="str">
        <f t="shared" si="26"/>
        <v>AFW18</v>
      </c>
      <c r="B147" s="201" t="s">
        <v>19</v>
      </c>
      <c r="C147" s="201">
        <v>2018</v>
      </c>
      <c r="D147" s="208">
        <v>6.657</v>
      </c>
      <c r="E147" s="208">
        <v>0</v>
      </c>
      <c r="F147" s="208">
        <f t="shared" si="27"/>
        <v>6.657</v>
      </c>
      <c r="G147" s="208"/>
      <c r="H147" s="208">
        <f t="shared" si="28"/>
        <v>6.657</v>
      </c>
      <c r="I147" s="209">
        <f t="shared" si="24"/>
        <v>5.4764479292593764</v>
      </c>
      <c r="J147" s="208">
        <v>13.946999999999999</v>
      </c>
      <c r="K147" s="208">
        <v>0.754</v>
      </c>
      <c r="L147" s="208">
        <f t="shared" si="29"/>
        <v>14.700999999999999</v>
      </c>
      <c r="M147" s="209">
        <f t="shared" si="25"/>
        <v>17.776333333333334</v>
      </c>
    </row>
    <row r="148" spans="1:13">
      <c r="A148" s="200" t="str">
        <f t="shared" si="26"/>
        <v>AFW19</v>
      </c>
      <c r="B148" s="201" t="s">
        <v>19</v>
      </c>
      <c r="C148" s="201">
        <v>2019</v>
      </c>
      <c r="D148" s="208">
        <v>12.666448786803091</v>
      </c>
      <c r="E148" s="208">
        <v>0</v>
      </c>
      <c r="F148" s="208">
        <f t="shared" si="27"/>
        <v>12.666448786803091</v>
      </c>
      <c r="G148" s="208"/>
      <c r="H148" s="208">
        <f t="shared" si="28"/>
        <v>12.666448786803091</v>
      </c>
      <c r="I148" s="209">
        <f t="shared" si="24"/>
        <v>8.3214115570290161</v>
      </c>
      <c r="J148" s="208">
        <v>16.7237679700538</v>
      </c>
      <c r="K148" s="208">
        <v>-0.32486550408276599</v>
      </c>
      <c r="L148" s="208">
        <f t="shared" si="29"/>
        <v>16.398902465971034</v>
      </c>
      <c r="M148" s="209">
        <f t="shared" si="25"/>
        <v>18.743634155323679</v>
      </c>
    </row>
    <row r="149" spans="1:13">
      <c r="A149" s="200" t="str">
        <f t="shared" si="26"/>
        <v>AFW20</v>
      </c>
      <c r="B149" s="201" t="s">
        <v>19</v>
      </c>
      <c r="C149" s="201">
        <v>2020</v>
      </c>
      <c r="D149" s="208">
        <v>13.161946549275036</v>
      </c>
      <c r="E149" s="208">
        <v>0</v>
      </c>
      <c r="F149" s="208">
        <f t="shared" si="27"/>
        <v>13.161946549275036</v>
      </c>
      <c r="G149" s="208"/>
      <c r="H149" s="208">
        <f t="shared" si="28"/>
        <v>13.161946549275036</v>
      </c>
      <c r="I149" s="209">
        <f t="shared" si="24"/>
        <v>10.828465112026043</v>
      </c>
      <c r="J149" s="208">
        <v>16.7237679700538</v>
      </c>
      <c r="K149" s="208">
        <v>-0.31393556800775002</v>
      </c>
      <c r="L149" s="208">
        <f t="shared" si="29"/>
        <v>16.40983240204605</v>
      </c>
      <c r="M149" s="209">
        <f t="shared" si="25"/>
        <v>15.836578289339029</v>
      </c>
    </row>
    <row r="150" spans="1:13">
      <c r="A150" s="200" t="str">
        <f t="shared" si="26"/>
        <v>AFW21</v>
      </c>
      <c r="B150" s="201" t="s">
        <v>19</v>
      </c>
      <c r="C150" s="201">
        <v>2021</v>
      </c>
      <c r="D150" s="208">
        <v>10.641</v>
      </c>
      <c r="E150" s="208">
        <v>0</v>
      </c>
      <c r="F150" s="208">
        <f t="shared" si="27"/>
        <v>10.641</v>
      </c>
      <c r="G150" s="208">
        <f>Allowance!$F$24/5</f>
        <v>0</v>
      </c>
      <c r="H150" s="208">
        <f t="shared" si="28"/>
        <v>10.641</v>
      </c>
      <c r="I150" s="209">
        <f t="shared" si="24"/>
        <v>12.156465112026043</v>
      </c>
      <c r="J150" s="208">
        <v>23.428767970053698</v>
      </c>
      <c r="K150" s="208">
        <v>-7.8730242990347801</v>
      </c>
      <c r="L150" s="208">
        <f t="shared" si="29"/>
        <v>15.555743671018918</v>
      </c>
      <c r="M150" s="209">
        <f t="shared" si="25"/>
        <v>16.121492846345333</v>
      </c>
    </row>
    <row r="151" spans="1:13">
      <c r="A151" s="200" t="str">
        <f t="shared" si="26"/>
        <v>AFW22</v>
      </c>
      <c r="B151" s="201" t="s">
        <v>19</v>
      </c>
      <c r="C151" s="201">
        <v>2022</v>
      </c>
      <c r="D151" s="208">
        <v>10.798</v>
      </c>
      <c r="E151" s="208">
        <v>0</v>
      </c>
      <c r="F151" s="208">
        <f t="shared" si="27"/>
        <v>10.798</v>
      </c>
      <c r="G151" s="208">
        <f>Allowance!$F$24/5</f>
        <v>0</v>
      </c>
      <c r="H151" s="208">
        <f t="shared" si="28"/>
        <v>10.798</v>
      </c>
      <c r="I151" s="209">
        <f t="shared" si="24"/>
        <v>11.533648849758345</v>
      </c>
      <c r="J151" s="208">
        <v>16.7237679700538</v>
      </c>
      <c r="K151" s="208">
        <v>-0.29191933495542299</v>
      </c>
      <c r="L151" s="208">
        <f t="shared" si="29"/>
        <v>16.431848635098376</v>
      </c>
      <c r="M151" s="209">
        <f t="shared" si="25"/>
        <v>16.132474902721114</v>
      </c>
    </row>
    <row r="152" spans="1:13">
      <c r="A152" s="200" t="str">
        <f t="shared" si="26"/>
        <v>AFW23</v>
      </c>
      <c r="B152" s="201" t="s">
        <v>19</v>
      </c>
      <c r="C152" s="201">
        <v>2023</v>
      </c>
      <c r="D152" s="208">
        <v>10.798999999999999</v>
      </c>
      <c r="E152" s="208">
        <v>0</v>
      </c>
      <c r="F152" s="208">
        <f t="shared" si="27"/>
        <v>10.798999999999999</v>
      </c>
      <c r="G152" s="208">
        <f>Allowance!$F$24/5</f>
        <v>0</v>
      </c>
      <c r="H152" s="208">
        <f t="shared" si="28"/>
        <v>10.798999999999999</v>
      </c>
      <c r="I152" s="209">
        <f t="shared" si="24"/>
        <v>10.746</v>
      </c>
      <c r="J152" s="208">
        <v>16.7237679700538</v>
      </c>
      <c r="K152" s="208">
        <v>-0.28269697677743</v>
      </c>
      <c r="L152" s="208">
        <f t="shared" si="29"/>
        <v>16.441070993276369</v>
      </c>
      <c r="M152" s="209">
        <f t="shared" si="25"/>
        <v>16.142887766464554</v>
      </c>
    </row>
    <row r="153" spans="1:13">
      <c r="A153" s="200" t="str">
        <f t="shared" si="26"/>
        <v>AFW24</v>
      </c>
      <c r="B153" s="201" t="s">
        <v>19</v>
      </c>
      <c r="C153" s="201">
        <v>2024</v>
      </c>
      <c r="D153" s="208">
        <v>10.801</v>
      </c>
      <c r="E153" s="208">
        <v>0</v>
      </c>
      <c r="F153" s="208">
        <f t="shared" si="27"/>
        <v>10.801</v>
      </c>
      <c r="G153" s="208">
        <f>Allowance!$F$24/5</f>
        <v>0</v>
      </c>
      <c r="H153" s="208">
        <f t="shared" si="28"/>
        <v>10.801</v>
      </c>
      <c r="I153" s="209">
        <f t="shared" si="24"/>
        <v>10.799333333333335</v>
      </c>
      <c r="J153" s="208">
        <v>16.7237679700543</v>
      </c>
      <c r="K153" s="208">
        <v>-0.27386823522630299</v>
      </c>
      <c r="L153" s="208">
        <f t="shared" si="29"/>
        <v>16.449899734827998</v>
      </c>
      <c r="M153" s="209">
        <f t="shared" si="25"/>
        <v>16.440939787734248</v>
      </c>
    </row>
    <row r="154" spans="1:13">
      <c r="A154" s="200" t="str">
        <f t="shared" si="26"/>
        <v>AFW25</v>
      </c>
      <c r="B154" s="201" t="s">
        <v>19</v>
      </c>
      <c r="C154" s="201">
        <v>2025</v>
      </c>
      <c r="D154" s="208">
        <v>10.803000000000001</v>
      </c>
      <c r="E154" s="208">
        <v>0</v>
      </c>
      <c r="F154" s="208">
        <f t="shared" si="27"/>
        <v>10.803000000000001</v>
      </c>
      <c r="G154" s="208">
        <f>Allowance!$F$24/5</f>
        <v>0</v>
      </c>
      <c r="H154" s="208">
        <f t="shared" si="28"/>
        <v>10.803000000000001</v>
      </c>
      <c r="I154" s="209">
        <f t="shared" si="24"/>
        <v>10.801000000000002</v>
      </c>
      <c r="J154" s="208">
        <v>16.723767970053601</v>
      </c>
      <c r="K154" s="208">
        <v>-0.26539985255777798</v>
      </c>
      <c r="L154" s="208">
        <f t="shared" si="29"/>
        <v>16.458368117495823</v>
      </c>
      <c r="M154" s="209">
        <f t="shared" si="25"/>
        <v>16.449779615200061</v>
      </c>
    </row>
    <row r="155" spans="1:13">
      <c r="A155" s="200" t="str">
        <f t="shared" si="26"/>
        <v>BRL12</v>
      </c>
      <c r="B155" s="201" t="s">
        <v>20</v>
      </c>
      <c r="C155" s="201">
        <v>2012</v>
      </c>
      <c r="D155" s="208">
        <v>4.1888040834309432</v>
      </c>
      <c r="E155" s="208">
        <v>2.19686560042414</v>
      </c>
      <c r="F155" s="208">
        <f t="shared" si="27"/>
        <v>6.3856696838550828</v>
      </c>
      <c r="G155" s="208"/>
      <c r="H155" s="208">
        <f t="shared" si="28"/>
        <v>6.3856696838550828</v>
      </c>
      <c r="I155" s="209"/>
      <c r="J155" s="208">
        <v>3.42</v>
      </c>
      <c r="K155" s="208">
        <v>0.23699999999999999</v>
      </c>
      <c r="L155" s="208">
        <f t="shared" si="29"/>
        <v>3.657</v>
      </c>
      <c r="M155" s="209"/>
    </row>
    <row r="156" spans="1:13">
      <c r="A156" s="200" t="str">
        <f t="shared" si="26"/>
        <v>BRL13</v>
      </c>
      <c r="B156" s="201" t="s">
        <v>20</v>
      </c>
      <c r="C156" s="201">
        <v>2013</v>
      </c>
      <c r="D156" s="208">
        <v>2.6778646871837792</v>
      </c>
      <c r="E156" s="208">
        <v>1.9519718723037101</v>
      </c>
      <c r="F156" s="208">
        <f t="shared" si="27"/>
        <v>4.6298365594874893</v>
      </c>
      <c r="G156" s="208"/>
      <c r="H156" s="208">
        <f t="shared" si="28"/>
        <v>4.6298365594874893</v>
      </c>
      <c r="I156" s="209"/>
      <c r="J156" s="208">
        <v>2.9129999999999998</v>
      </c>
      <c r="K156" s="208">
        <v>0.24099999999999999</v>
      </c>
      <c r="L156" s="208">
        <f t="shared" si="29"/>
        <v>3.1539999999999999</v>
      </c>
      <c r="M156" s="209"/>
    </row>
    <row r="157" spans="1:13">
      <c r="A157" s="200" t="str">
        <f t="shared" si="26"/>
        <v>BRL14</v>
      </c>
      <c r="B157" s="201" t="s">
        <v>20</v>
      </c>
      <c r="C157" s="201">
        <v>2014</v>
      </c>
      <c r="D157" s="208">
        <v>1.5601367331913449</v>
      </c>
      <c r="E157" s="208">
        <v>1.8570860378634206</v>
      </c>
      <c r="F157" s="208">
        <f t="shared" si="27"/>
        <v>3.4172227710547656</v>
      </c>
      <c r="G157" s="208"/>
      <c r="H157" s="208">
        <f t="shared" si="28"/>
        <v>3.4172227710547656</v>
      </c>
      <c r="I157" s="209">
        <f t="shared" si="24"/>
        <v>4.8109096714657786</v>
      </c>
      <c r="J157" s="208">
        <v>3.0470000000000002</v>
      </c>
      <c r="K157" s="208">
        <v>0.20699999999999999</v>
      </c>
      <c r="L157" s="208">
        <f t="shared" si="29"/>
        <v>3.254</v>
      </c>
      <c r="M157" s="209">
        <f t="shared" si="25"/>
        <v>3.355</v>
      </c>
    </row>
    <row r="158" spans="1:13">
      <c r="A158" s="200" t="str">
        <f t="shared" si="26"/>
        <v>BRL15</v>
      </c>
      <c r="B158" s="201" t="s">
        <v>20</v>
      </c>
      <c r="C158" s="201">
        <v>2015</v>
      </c>
      <c r="D158" s="208">
        <v>2.1955998747539072</v>
      </c>
      <c r="E158" s="208">
        <v>2.3837374446394257</v>
      </c>
      <c r="F158" s="208">
        <f t="shared" si="27"/>
        <v>4.5793373193933329</v>
      </c>
      <c r="G158" s="208"/>
      <c r="H158" s="208">
        <f t="shared" si="28"/>
        <v>4.5793373193933329</v>
      </c>
      <c r="I158" s="209">
        <f t="shared" si="24"/>
        <v>4.2087988833118617</v>
      </c>
      <c r="J158" s="208">
        <v>3.4689999999999999</v>
      </c>
      <c r="K158" s="208">
        <v>0.29399999999999998</v>
      </c>
      <c r="L158" s="208">
        <f t="shared" si="29"/>
        <v>3.7629999999999999</v>
      </c>
      <c r="M158" s="209">
        <f t="shared" si="25"/>
        <v>3.390333333333333</v>
      </c>
    </row>
    <row r="159" spans="1:13">
      <c r="A159" s="200" t="str">
        <f t="shared" si="26"/>
        <v>BRL16</v>
      </c>
      <c r="B159" s="201" t="s">
        <v>20</v>
      </c>
      <c r="C159" s="201">
        <v>2016</v>
      </c>
      <c r="D159" s="208">
        <v>4.1053572508519132</v>
      </c>
      <c r="E159" s="208">
        <v>2.8112489184692175</v>
      </c>
      <c r="F159" s="208">
        <f t="shared" si="27"/>
        <v>6.9166061693211311</v>
      </c>
      <c r="G159" s="208"/>
      <c r="H159" s="208">
        <f t="shared" si="28"/>
        <v>6.9166061693211311</v>
      </c>
      <c r="I159" s="209">
        <f t="shared" si="24"/>
        <v>4.9710554199230765</v>
      </c>
      <c r="J159" s="208">
        <v>2.117</v>
      </c>
      <c r="K159" s="208">
        <v>0.19900000000000001</v>
      </c>
      <c r="L159" s="208">
        <f t="shared" si="29"/>
        <v>2.3159999999999998</v>
      </c>
      <c r="M159" s="209">
        <f t="shared" si="25"/>
        <v>3.1109999999999993</v>
      </c>
    </row>
    <row r="160" spans="1:13">
      <c r="A160" s="200" t="str">
        <f t="shared" si="26"/>
        <v>BRL17</v>
      </c>
      <c r="B160" s="201" t="s">
        <v>20</v>
      </c>
      <c r="C160" s="201">
        <v>2017</v>
      </c>
      <c r="D160" s="208">
        <v>3.2173916168929009</v>
      </c>
      <c r="E160" s="208">
        <v>2.2066393106278208</v>
      </c>
      <c r="F160" s="208">
        <f t="shared" si="27"/>
        <v>5.4240309275207217</v>
      </c>
      <c r="G160" s="208"/>
      <c r="H160" s="208">
        <f t="shared" si="28"/>
        <v>5.4240309275207217</v>
      </c>
      <c r="I160" s="209">
        <f t="shared" si="24"/>
        <v>5.6399914720783952</v>
      </c>
      <c r="J160" s="208">
        <v>4.0960000000000001</v>
      </c>
      <c r="K160" s="208">
        <v>0.23400000000000001</v>
      </c>
      <c r="L160" s="208">
        <f t="shared" si="29"/>
        <v>4.33</v>
      </c>
      <c r="M160" s="209">
        <f t="shared" si="25"/>
        <v>3.4696666666666665</v>
      </c>
    </row>
    <row r="161" spans="1:13">
      <c r="A161" s="200" t="str">
        <f t="shared" si="26"/>
        <v>BRL18</v>
      </c>
      <c r="B161" s="201" t="s">
        <v>20</v>
      </c>
      <c r="C161" s="201">
        <v>2018</v>
      </c>
      <c r="D161" s="208">
        <v>4.24</v>
      </c>
      <c r="E161" s="208">
        <v>2.3860000000000001</v>
      </c>
      <c r="F161" s="208">
        <f t="shared" si="27"/>
        <v>6.6260000000000003</v>
      </c>
      <c r="G161" s="208"/>
      <c r="H161" s="208">
        <f t="shared" si="28"/>
        <v>6.6260000000000003</v>
      </c>
      <c r="I161" s="209">
        <f t="shared" si="24"/>
        <v>6.3222123656139511</v>
      </c>
      <c r="J161" s="208">
        <v>4.9119999999999999</v>
      </c>
      <c r="K161" s="208">
        <v>0.25700000000000001</v>
      </c>
      <c r="L161" s="208">
        <f t="shared" si="29"/>
        <v>5.1689999999999996</v>
      </c>
      <c r="M161" s="209">
        <f t="shared" si="25"/>
        <v>3.938333333333333</v>
      </c>
    </row>
    <row r="162" spans="1:13">
      <c r="A162" s="200" t="str">
        <f t="shared" si="26"/>
        <v>BRL19</v>
      </c>
      <c r="B162" s="201" t="s">
        <v>20</v>
      </c>
      <c r="C162" s="201">
        <v>2019</v>
      </c>
      <c r="D162" s="208">
        <v>4.1631223595681419</v>
      </c>
      <c r="E162" s="208">
        <v>2.77867626349554</v>
      </c>
      <c r="F162" s="208">
        <f t="shared" si="27"/>
        <v>6.9417986230636819</v>
      </c>
      <c r="G162" s="208"/>
      <c r="H162" s="208">
        <f t="shared" si="28"/>
        <v>6.9417986230636819</v>
      </c>
      <c r="I162" s="209">
        <f t="shared" si="24"/>
        <v>6.3306098501948016</v>
      </c>
      <c r="J162" s="208">
        <v>5.6340000000000003</v>
      </c>
      <c r="K162" s="208">
        <v>0.25700000000000001</v>
      </c>
      <c r="L162" s="208">
        <f t="shared" si="29"/>
        <v>5.891</v>
      </c>
      <c r="M162" s="209">
        <f t="shared" si="25"/>
        <v>5.13</v>
      </c>
    </row>
    <row r="163" spans="1:13">
      <c r="A163" s="200" t="str">
        <f t="shared" si="26"/>
        <v>BRL20</v>
      </c>
      <c r="B163" s="201" t="s">
        <v>20</v>
      </c>
      <c r="C163" s="201">
        <v>2020</v>
      </c>
      <c r="D163" s="208">
        <v>4.4485848186846955</v>
      </c>
      <c r="E163" s="208">
        <v>2.8718833743085432</v>
      </c>
      <c r="F163" s="208">
        <f t="shared" si="27"/>
        <v>7.3204681929932391</v>
      </c>
      <c r="G163" s="208"/>
      <c r="H163" s="208">
        <f t="shared" si="28"/>
        <v>7.3204681929932391</v>
      </c>
      <c r="I163" s="209">
        <f t="shared" si="24"/>
        <v>6.9627556053523065</v>
      </c>
      <c r="J163" s="208">
        <v>5.8079999999999998</v>
      </c>
      <c r="K163" s="208">
        <v>0.25700000000000001</v>
      </c>
      <c r="L163" s="208">
        <f t="shared" si="29"/>
        <v>6.0649999999999995</v>
      </c>
      <c r="M163" s="209">
        <f t="shared" si="25"/>
        <v>5.708333333333333</v>
      </c>
    </row>
    <row r="164" spans="1:13">
      <c r="A164" s="200" t="str">
        <f t="shared" si="26"/>
        <v>BRL21</v>
      </c>
      <c r="B164" s="201" t="s">
        <v>20</v>
      </c>
      <c r="C164" s="201">
        <v>2021</v>
      </c>
      <c r="D164" s="208">
        <v>3.76</v>
      </c>
      <c r="E164" s="208">
        <v>2.3029999999999999</v>
      </c>
      <c r="F164" s="208">
        <f t="shared" si="27"/>
        <v>6.0629999999999997</v>
      </c>
      <c r="G164" s="208">
        <f>Allowance!$F$25/5</f>
        <v>0</v>
      </c>
      <c r="H164" s="208">
        <f t="shared" si="28"/>
        <v>6.0629999999999997</v>
      </c>
      <c r="I164" s="209">
        <f t="shared" si="24"/>
        <v>6.7750889386856405</v>
      </c>
      <c r="J164" s="208">
        <v>6.3929999999999998</v>
      </c>
      <c r="K164" s="208">
        <v>0.25700000000000001</v>
      </c>
      <c r="L164" s="208">
        <f t="shared" si="29"/>
        <v>6.6499999999999995</v>
      </c>
      <c r="M164" s="209">
        <f t="shared" si="25"/>
        <v>6.2019999999999991</v>
      </c>
    </row>
    <row r="165" spans="1:13">
      <c r="A165" s="200" t="str">
        <f t="shared" si="26"/>
        <v>BRL22</v>
      </c>
      <c r="B165" s="201" t="s">
        <v>20</v>
      </c>
      <c r="C165" s="201">
        <v>2022</v>
      </c>
      <c r="D165" s="208">
        <v>3.411</v>
      </c>
      <c r="E165" s="208">
        <v>1.8839999999999999</v>
      </c>
      <c r="F165" s="208">
        <f t="shared" si="27"/>
        <v>5.2949999999999999</v>
      </c>
      <c r="G165" s="208">
        <f>Allowance!$F$25/5</f>
        <v>0</v>
      </c>
      <c r="H165" s="208">
        <f t="shared" si="28"/>
        <v>5.2949999999999999</v>
      </c>
      <c r="I165" s="209">
        <f t="shared" si="24"/>
        <v>6.2261560643310787</v>
      </c>
      <c r="J165" s="208">
        <v>5.5030000000000001</v>
      </c>
      <c r="K165" s="208">
        <v>0.25700000000000001</v>
      </c>
      <c r="L165" s="208">
        <f t="shared" si="29"/>
        <v>5.76</v>
      </c>
      <c r="M165" s="209">
        <f t="shared" si="25"/>
        <v>6.1583333333333341</v>
      </c>
    </row>
    <row r="166" spans="1:13">
      <c r="A166" s="200" t="str">
        <f t="shared" si="26"/>
        <v>BRL23</v>
      </c>
      <c r="B166" s="201" t="s">
        <v>20</v>
      </c>
      <c r="C166" s="201">
        <v>2023</v>
      </c>
      <c r="D166" s="208">
        <v>3.548</v>
      </c>
      <c r="E166" s="208">
        <v>1.6870000000000001</v>
      </c>
      <c r="F166" s="208">
        <f t="shared" si="27"/>
        <v>5.2350000000000003</v>
      </c>
      <c r="G166" s="208">
        <f>Allowance!$F$25/5</f>
        <v>0</v>
      </c>
      <c r="H166" s="208">
        <f t="shared" si="28"/>
        <v>5.2350000000000003</v>
      </c>
      <c r="I166" s="209">
        <f t="shared" si="24"/>
        <v>5.5309999999999997</v>
      </c>
      <c r="J166" s="208">
        <v>5.4340000000000002</v>
      </c>
      <c r="K166" s="208">
        <v>0.25700000000000001</v>
      </c>
      <c r="L166" s="208">
        <f t="shared" si="29"/>
        <v>5.6909999999999998</v>
      </c>
      <c r="M166" s="209">
        <f t="shared" si="25"/>
        <v>6.0336666666666661</v>
      </c>
    </row>
    <row r="167" spans="1:13">
      <c r="A167" s="200" t="str">
        <f t="shared" si="26"/>
        <v>BRL24</v>
      </c>
      <c r="B167" s="201" t="s">
        <v>20</v>
      </c>
      <c r="C167" s="201">
        <v>2024</v>
      </c>
      <c r="D167" s="208">
        <v>3.0550000000000002</v>
      </c>
      <c r="E167" s="208">
        <v>2.085</v>
      </c>
      <c r="F167" s="208">
        <f t="shared" si="27"/>
        <v>5.1400000000000006</v>
      </c>
      <c r="G167" s="208">
        <f>Allowance!$F$25/5</f>
        <v>0</v>
      </c>
      <c r="H167" s="208">
        <f t="shared" si="28"/>
        <v>5.1400000000000006</v>
      </c>
      <c r="I167" s="209">
        <f t="shared" si="24"/>
        <v>5.2233333333333336</v>
      </c>
      <c r="J167" s="208">
        <v>5.3209999999999997</v>
      </c>
      <c r="K167" s="208">
        <v>0.25700000000000001</v>
      </c>
      <c r="L167" s="208">
        <f t="shared" si="29"/>
        <v>5.5779999999999994</v>
      </c>
      <c r="M167" s="209">
        <f t="shared" si="25"/>
        <v>5.676333333333333</v>
      </c>
    </row>
    <row r="168" spans="1:13">
      <c r="A168" s="200" t="str">
        <f t="shared" si="26"/>
        <v>BRL25</v>
      </c>
      <c r="B168" s="201" t="s">
        <v>20</v>
      </c>
      <c r="C168" s="201">
        <v>2025</v>
      </c>
      <c r="D168" s="208">
        <v>3.008</v>
      </c>
      <c r="E168" s="208">
        <v>2.028</v>
      </c>
      <c r="F168" s="208">
        <f t="shared" si="27"/>
        <v>5.0359999999999996</v>
      </c>
      <c r="G168" s="208">
        <f>Allowance!$F$25/5</f>
        <v>0</v>
      </c>
      <c r="H168" s="208">
        <f t="shared" si="28"/>
        <v>5.0359999999999996</v>
      </c>
      <c r="I168" s="209">
        <f t="shared" si="24"/>
        <v>5.1369999999999996</v>
      </c>
      <c r="J168" s="208">
        <v>5.2030000000000003</v>
      </c>
      <c r="K168" s="208">
        <v>0.25700000000000001</v>
      </c>
      <c r="L168" s="208">
        <f t="shared" si="29"/>
        <v>5.46</v>
      </c>
      <c r="M168" s="209">
        <f t="shared" si="25"/>
        <v>5.5763333333333334</v>
      </c>
    </row>
    <row r="169" spans="1:13">
      <c r="A169" s="200" t="str">
        <f t="shared" si="26"/>
        <v>BWH12</v>
      </c>
      <c r="B169" s="201" t="s">
        <v>21</v>
      </c>
      <c r="C169" s="201">
        <v>2012</v>
      </c>
      <c r="D169" s="208">
        <v>1.2862935406909952</v>
      </c>
      <c r="E169" s="208">
        <v>0</v>
      </c>
      <c r="F169" s="208">
        <f t="shared" si="27"/>
        <v>1.2862935406909952</v>
      </c>
      <c r="G169" s="208"/>
      <c r="H169" s="208">
        <f t="shared" si="28"/>
        <v>1.2862935406909952</v>
      </c>
      <c r="I169" s="209"/>
      <c r="J169" s="208">
        <v>1.123</v>
      </c>
      <c r="K169" s="208">
        <v>0.112</v>
      </c>
      <c r="L169" s="208">
        <f t="shared" si="29"/>
        <v>1.2350000000000001</v>
      </c>
      <c r="M169" s="209"/>
    </row>
    <row r="170" spans="1:13">
      <c r="A170" s="200" t="str">
        <f t="shared" si="26"/>
        <v>BWH13</v>
      </c>
      <c r="B170" s="201" t="s">
        <v>21</v>
      </c>
      <c r="C170" s="201">
        <v>2013</v>
      </c>
      <c r="D170" s="208">
        <v>1.5160422778257119</v>
      </c>
      <c r="E170" s="208">
        <v>0</v>
      </c>
      <c r="F170" s="208">
        <f t="shared" ref="F170:F194" si="30">D170+E170</f>
        <v>1.5160422778257119</v>
      </c>
      <c r="G170" s="208"/>
      <c r="H170" s="208">
        <f t="shared" ref="H170:H194" si="31">F170+G170</f>
        <v>1.5160422778257119</v>
      </c>
      <c r="I170" s="209"/>
      <c r="J170" s="208">
        <v>0.78900000000000003</v>
      </c>
      <c r="K170" s="208">
        <v>6.9000000000000006E-2</v>
      </c>
      <c r="L170" s="208">
        <f t="shared" ref="L170:L194" si="32">J170+K170</f>
        <v>0.8580000000000001</v>
      </c>
      <c r="M170" s="209"/>
    </row>
    <row r="171" spans="1:13">
      <c r="A171" s="200" t="str">
        <f t="shared" si="26"/>
        <v>BWH14</v>
      </c>
      <c r="B171" s="201" t="s">
        <v>21</v>
      </c>
      <c r="C171" s="201">
        <v>2014</v>
      </c>
      <c r="D171" s="208">
        <v>0.97029310344827557</v>
      </c>
      <c r="E171" s="208">
        <v>0</v>
      </c>
      <c r="F171" s="208">
        <f t="shared" si="30"/>
        <v>0.97029310344827557</v>
      </c>
      <c r="G171" s="208"/>
      <c r="H171" s="208">
        <f t="shared" si="31"/>
        <v>0.97029310344827557</v>
      </c>
      <c r="I171" s="209">
        <f t="shared" si="24"/>
        <v>1.2575429739883275</v>
      </c>
      <c r="J171" s="208">
        <v>0.88500000000000001</v>
      </c>
      <c r="K171" s="208">
        <v>7.5999999999999998E-2</v>
      </c>
      <c r="L171" s="208">
        <f t="shared" si="32"/>
        <v>0.96099999999999997</v>
      </c>
      <c r="M171" s="209">
        <f t="shared" si="25"/>
        <v>1.018</v>
      </c>
    </row>
    <row r="172" spans="1:13">
      <c r="A172" s="200" t="str">
        <f t="shared" si="26"/>
        <v>BWH15</v>
      </c>
      <c r="B172" s="201" t="s">
        <v>21</v>
      </c>
      <c r="C172" s="201">
        <v>2015</v>
      </c>
      <c r="D172" s="208">
        <v>1.1840309183588202</v>
      </c>
      <c r="E172" s="208">
        <v>0</v>
      </c>
      <c r="F172" s="208">
        <f t="shared" si="30"/>
        <v>1.1840309183588202</v>
      </c>
      <c r="G172" s="208"/>
      <c r="H172" s="208">
        <f t="shared" si="31"/>
        <v>1.1840309183588202</v>
      </c>
      <c r="I172" s="209">
        <f t="shared" si="24"/>
        <v>1.223455433210936</v>
      </c>
      <c r="J172" s="208">
        <v>0.85699999999999998</v>
      </c>
      <c r="K172" s="208">
        <v>7.0999999999999994E-2</v>
      </c>
      <c r="L172" s="208">
        <f t="shared" si="32"/>
        <v>0.92799999999999994</v>
      </c>
      <c r="M172" s="209">
        <f t="shared" si="25"/>
        <v>0.91566666666666663</v>
      </c>
    </row>
    <row r="173" spans="1:13">
      <c r="A173" s="200" t="str">
        <f t="shared" si="26"/>
        <v>BWH16</v>
      </c>
      <c r="B173" s="201" t="s">
        <v>21</v>
      </c>
      <c r="C173" s="201">
        <v>2016</v>
      </c>
      <c r="D173" s="208">
        <v>1.6043470881863557</v>
      </c>
      <c r="E173" s="208">
        <v>2.6010815307820203E-2</v>
      </c>
      <c r="F173" s="208">
        <f t="shared" si="30"/>
        <v>1.630357903494176</v>
      </c>
      <c r="G173" s="208"/>
      <c r="H173" s="208">
        <f t="shared" si="31"/>
        <v>1.630357903494176</v>
      </c>
      <c r="I173" s="209">
        <f t="shared" si="24"/>
        <v>1.2615606417670906</v>
      </c>
      <c r="J173" s="208">
        <v>0.78400000000000003</v>
      </c>
      <c r="K173" s="208">
        <v>4.4999999999999998E-2</v>
      </c>
      <c r="L173" s="208">
        <f t="shared" si="32"/>
        <v>0.82900000000000007</v>
      </c>
      <c r="M173" s="209">
        <f t="shared" si="25"/>
        <v>0.90600000000000003</v>
      </c>
    </row>
    <row r="174" spans="1:13">
      <c r="A174" s="200" t="str">
        <f t="shared" si="26"/>
        <v>DVW12</v>
      </c>
      <c r="B174" s="201" t="s">
        <v>22</v>
      </c>
      <c r="C174" s="201">
        <v>2012</v>
      </c>
      <c r="D174" s="208">
        <v>0.44841737147182181</v>
      </c>
      <c r="E174" s="208">
        <v>0.1745999823274719</v>
      </c>
      <c r="F174" s="208">
        <f t="shared" si="30"/>
        <v>0.62301735379929368</v>
      </c>
      <c r="G174" s="208"/>
      <c r="H174" s="208">
        <f t="shared" si="31"/>
        <v>0.62301735379929368</v>
      </c>
      <c r="I174" s="209"/>
      <c r="J174" s="208">
        <v>0.91400000000000003</v>
      </c>
      <c r="K174" s="208">
        <v>1.7000000000000001E-2</v>
      </c>
      <c r="L174" s="208">
        <f t="shared" si="32"/>
        <v>0.93100000000000005</v>
      </c>
      <c r="M174" s="209"/>
    </row>
    <row r="175" spans="1:13">
      <c r="A175" s="200" t="str">
        <f t="shared" si="26"/>
        <v>DVW13</v>
      </c>
      <c r="B175" s="201" t="s">
        <v>22</v>
      </c>
      <c r="C175" s="201">
        <v>2013</v>
      </c>
      <c r="D175" s="208">
        <v>0.52203370719908726</v>
      </c>
      <c r="E175" s="208">
        <v>0.20285832614322691</v>
      </c>
      <c r="F175" s="208">
        <f t="shared" si="30"/>
        <v>0.72489203334231411</v>
      </c>
      <c r="G175" s="208"/>
      <c r="H175" s="208">
        <f t="shared" si="31"/>
        <v>0.72489203334231411</v>
      </c>
      <c r="I175" s="209"/>
      <c r="J175" s="208">
        <v>0.66800000000000004</v>
      </c>
      <c r="K175" s="208">
        <v>1.4999999999999999E-2</v>
      </c>
      <c r="L175" s="208">
        <f t="shared" si="32"/>
        <v>0.68300000000000005</v>
      </c>
      <c r="M175" s="209"/>
    </row>
    <row r="176" spans="1:13">
      <c r="A176" s="200" t="str">
        <f t="shared" si="26"/>
        <v>DVW14</v>
      </c>
      <c r="B176" s="201" t="s">
        <v>22</v>
      </c>
      <c r="C176" s="201">
        <v>2014</v>
      </c>
      <c r="D176" s="208">
        <v>0.55625243452553919</v>
      </c>
      <c r="E176" s="208">
        <v>0.21667765382014867</v>
      </c>
      <c r="F176" s="208">
        <f t="shared" si="30"/>
        <v>0.77293008834568788</v>
      </c>
      <c r="G176" s="208"/>
      <c r="H176" s="208">
        <f t="shared" si="31"/>
        <v>0.77293008834568788</v>
      </c>
      <c r="I176" s="209">
        <f>AVERAGE(H174:H176)</f>
        <v>0.70694649182909852</v>
      </c>
      <c r="J176" s="208">
        <v>0.75600000000000001</v>
      </c>
      <c r="K176" s="208">
        <v>3.7999999999999999E-2</v>
      </c>
      <c r="L176" s="208">
        <f t="shared" si="32"/>
        <v>0.79400000000000004</v>
      </c>
      <c r="M176" s="209">
        <f t="shared" si="25"/>
        <v>0.80266666666666675</v>
      </c>
    </row>
    <row r="177" spans="1:13">
      <c r="A177" s="200" t="str">
        <f t="shared" si="26"/>
        <v>DVW15</v>
      </c>
      <c r="B177" s="201" t="s">
        <v>22</v>
      </c>
      <c r="C177" s="201">
        <v>2015</v>
      </c>
      <c r="D177" s="208">
        <v>0.75537243156567113</v>
      </c>
      <c r="E177" s="208">
        <v>0.29365638840143737</v>
      </c>
      <c r="F177" s="208">
        <f t="shared" si="30"/>
        <v>1.0490288199671085</v>
      </c>
      <c r="G177" s="208"/>
      <c r="H177" s="208">
        <f t="shared" si="31"/>
        <v>1.0490288199671085</v>
      </c>
      <c r="I177" s="209">
        <f t="shared" si="24"/>
        <v>0.84895031388503683</v>
      </c>
      <c r="J177" s="208">
        <v>0.88700000000000001</v>
      </c>
      <c r="K177" s="208">
        <v>5.2999999999999999E-2</v>
      </c>
      <c r="L177" s="208">
        <f t="shared" si="32"/>
        <v>0.94000000000000006</v>
      </c>
      <c r="M177" s="209">
        <f t="shared" si="25"/>
        <v>0.80566666666666675</v>
      </c>
    </row>
    <row r="178" spans="1:13">
      <c r="A178" s="200" t="str">
        <f t="shared" si="26"/>
        <v>DVW16</v>
      </c>
      <c r="B178" s="201" t="s">
        <v>22</v>
      </c>
      <c r="C178" s="201">
        <v>2016</v>
      </c>
      <c r="D178" s="208">
        <v>0.72657420500112624</v>
      </c>
      <c r="E178" s="208">
        <v>0.28299767054908481</v>
      </c>
      <c r="F178" s="208">
        <f t="shared" si="30"/>
        <v>1.009571875550211</v>
      </c>
      <c r="G178" s="208"/>
      <c r="H178" s="208">
        <f t="shared" si="31"/>
        <v>1.009571875550211</v>
      </c>
      <c r="I178" s="209">
        <f t="shared" si="24"/>
        <v>0.94384359462100242</v>
      </c>
      <c r="J178" s="208">
        <v>0.95499999999999996</v>
      </c>
      <c r="K178" s="208">
        <v>6.4000000000000001E-2</v>
      </c>
      <c r="L178" s="208">
        <f t="shared" si="32"/>
        <v>1.0189999999999999</v>
      </c>
      <c r="M178" s="209">
        <f t="shared" si="25"/>
        <v>0.91766666666666674</v>
      </c>
    </row>
    <row r="179" spans="1:13">
      <c r="A179" s="200" t="str">
        <f t="shared" si="26"/>
        <v>DVW17</v>
      </c>
      <c r="B179" s="201" t="s">
        <v>22</v>
      </c>
      <c r="C179" s="201">
        <v>2017</v>
      </c>
      <c r="D179" s="208">
        <v>0.57398582418054989</v>
      </c>
      <c r="E179" s="208">
        <v>0.22374296265900695</v>
      </c>
      <c r="F179" s="208">
        <f t="shared" si="30"/>
        <v>0.79772878683955684</v>
      </c>
      <c r="G179" s="208"/>
      <c r="H179" s="208">
        <f t="shared" si="31"/>
        <v>0.79772878683955684</v>
      </c>
      <c r="I179" s="209">
        <f t="shared" si="24"/>
        <v>0.95210982745229211</v>
      </c>
      <c r="J179" s="208">
        <v>0.69499999999999995</v>
      </c>
      <c r="K179" s="208">
        <v>4.7E-2</v>
      </c>
      <c r="L179" s="208">
        <f t="shared" si="32"/>
        <v>0.74199999999999999</v>
      </c>
      <c r="M179" s="209">
        <f t="shared" si="25"/>
        <v>0.90033333333333332</v>
      </c>
    </row>
    <row r="180" spans="1:13">
      <c r="A180" s="200" t="str">
        <f t="shared" si="26"/>
        <v>DVW18</v>
      </c>
      <c r="B180" s="201" t="s">
        <v>22</v>
      </c>
      <c r="C180" s="201">
        <v>2018</v>
      </c>
      <c r="D180" s="208">
        <v>3.2000000000000001E-2</v>
      </c>
      <c r="E180" s="208">
        <v>0</v>
      </c>
      <c r="F180" s="208">
        <f t="shared" si="30"/>
        <v>3.2000000000000001E-2</v>
      </c>
      <c r="G180" s="208"/>
      <c r="H180" s="208">
        <f t="shared" si="31"/>
        <v>3.2000000000000001E-2</v>
      </c>
      <c r="I180" s="209">
        <f t="shared" si="24"/>
        <v>0.61310022079658932</v>
      </c>
      <c r="J180" s="208">
        <v>0.379</v>
      </c>
      <c r="K180" s="208">
        <v>0.03</v>
      </c>
      <c r="L180" s="208">
        <f t="shared" si="32"/>
        <v>0.40900000000000003</v>
      </c>
      <c r="M180" s="209">
        <f t="shared" si="25"/>
        <v>0.72333333333333327</v>
      </c>
    </row>
    <row r="181" spans="1:13">
      <c r="A181" s="200" t="str">
        <f t="shared" si="26"/>
        <v>PRT12</v>
      </c>
      <c r="B181" s="201" t="s">
        <v>23</v>
      </c>
      <c r="C181" s="201">
        <v>2012</v>
      </c>
      <c r="D181" s="208">
        <v>1.0199733144826364</v>
      </c>
      <c r="E181" s="208">
        <v>0</v>
      </c>
      <c r="F181" s="208">
        <f t="shared" si="30"/>
        <v>1.0199733144826364</v>
      </c>
      <c r="G181" s="208"/>
      <c r="H181" s="208">
        <f t="shared" si="31"/>
        <v>1.0199733144826364</v>
      </c>
      <c r="I181" s="209"/>
      <c r="J181" s="208">
        <v>1.641</v>
      </c>
      <c r="K181" s="208">
        <v>0.152</v>
      </c>
      <c r="L181" s="208">
        <f t="shared" si="32"/>
        <v>1.7929999999999999</v>
      </c>
      <c r="M181" s="209"/>
    </row>
    <row r="182" spans="1:13">
      <c r="A182" s="200" t="str">
        <f t="shared" si="26"/>
        <v>PRT13</v>
      </c>
      <c r="B182" s="201" t="s">
        <v>23</v>
      </c>
      <c r="C182" s="201">
        <v>2013</v>
      </c>
      <c r="D182" s="208">
        <v>0.97976255392579814</v>
      </c>
      <c r="E182" s="208">
        <v>0</v>
      </c>
      <c r="F182" s="208">
        <f t="shared" si="30"/>
        <v>0.97976255392579814</v>
      </c>
      <c r="G182" s="208"/>
      <c r="H182" s="208">
        <f t="shared" si="31"/>
        <v>0.97976255392579814</v>
      </c>
      <c r="I182" s="209"/>
      <c r="J182" s="208">
        <v>1.359</v>
      </c>
      <c r="K182" s="208">
        <v>0.14899999999999999</v>
      </c>
      <c r="L182" s="208">
        <f t="shared" si="32"/>
        <v>1.508</v>
      </c>
      <c r="M182" s="209"/>
    </row>
    <row r="183" spans="1:13">
      <c r="A183" s="200" t="str">
        <f t="shared" si="26"/>
        <v>PRT14</v>
      </c>
      <c r="B183" s="201" t="s">
        <v>23</v>
      </c>
      <c r="C183" s="201">
        <v>2014</v>
      </c>
      <c r="D183" s="208">
        <v>1.1076984448951992</v>
      </c>
      <c r="E183" s="208">
        <v>0</v>
      </c>
      <c r="F183" s="208">
        <f t="shared" si="30"/>
        <v>1.1076984448951992</v>
      </c>
      <c r="G183" s="208"/>
      <c r="H183" s="208">
        <f t="shared" si="31"/>
        <v>1.1076984448951992</v>
      </c>
      <c r="I183" s="209">
        <f t="shared" si="24"/>
        <v>1.035811437767878</v>
      </c>
      <c r="J183" s="208">
        <v>1.554</v>
      </c>
      <c r="K183" s="208">
        <v>0.13900000000000001</v>
      </c>
      <c r="L183" s="208">
        <f t="shared" si="32"/>
        <v>1.6930000000000001</v>
      </c>
      <c r="M183" s="209">
        <f t="shared" si="25"/>
        <v>1.6646666666666665</v>
      </c>
    </row>
    <row r="184" spans="1:13">
      <c r="A184" s="200" t="str">
        <f t="shared" si="26"/>
        <v>PRT15</v>
      </c>
      <c r="B184" s="201" t="s">
        <v>23</v>
      </c>
      <c r="C184" s="201">
        <v>2015</v>
      </c>
      <c r="D184" s="208">
        <v>1.3710931728921203</v>
      </c>
      <c r="E184" s="208">
        <v>0</v>
      </c>
      <c r="F184" s="208">
        <f t="shared" si="30"/>
        <v>1.3710931728921203</v>
      </c>
      <c r="G184" s="208"/>
      <c r="H184" s="208">
        <f t="shared" si="31"/>
        <v>1.3710931728921203</v>
      </c>
      <c r="I184" s="209">
        <f t="shared" si="24"/>
        <v>1.1528513905710394</v>
      </c>
      <c r="J184" s="208">
        <v>2.2290000000000001</v>
      </c>
      <c r="K184" s="208">
        <v>0.215</v>
      </c>
      <c r="L184" s="208">
        <f t="shared" si="32"/>
        <v>2.444</v>
      </c>
      <c r="M184" s="209">
        <f t="shared" si="25"/>
        <v>1.8816666666666666</v>
      </c>
    </row>
    <row r="185" spans="1:13">
      <c r="A185" s="200" t="str">
        <f t="shared" ref="A185:A248" si="33">B185&amp;RIGHT(C185,2)</f>
        <v>PRT16</v>
      </c>
      <c r="B185" s="201" t="s">
        <v>23</v>
      </c>
      <c r="C185" s="201">
        <v>2016</v>
      </c>
      <c r="D185" s="208">
        <v>1.3359154742096504</v>
      </c>
      <c r="E185" s="208">
        <v>0</v>
      </c>
      <c r="F185" s="208">
        <f t="shared" si="30"/>
        <v>1.3359154742096504</v>
      </c>
      <c r="G185" s="208"/>
      <c r="H185" s="208">
        <f t="shared" si="31"/>
        <v>1.3359154742096504</v>
      </c>
      <c r="I185" s="209">
        <f t="shared" si="24"/>
        <v>1.2715690306656564</v>
      </c>
      <c r="J185" s="208">
        <v>2.1520000000000001</v>
      </c>
      <c r="K185" s="208">
        <v>0.19900000000000001</v>
      </c>
      <c r="L185" s="208">
        <f t="shared" si="32"/>
        <v>2.351</v>
      </c>
      <c r="M185" s="209">
        <f t="shared" si="25"/>
        <v>2.162666666666667</v>
      </c>
    </row>
    <row r="186" spans="1:13">
      <c r="A186" s="200" t="str">
        <f t="shared" si="33"/>
        <v>PRT17</v>
      </c>
      <c r="B186" s="201" t="s">
        <v>23</v>
      </c>
      <c r="C186" s="201">
        <v>2017</v>
      </c>
      <c r="D186" s="208">
        <v>1.3896695937628232</v>
      </c>
      <c r="E186" s="208">
        <v>0</v>
      </c>
      <c r="F186" s="208">
        <f t="shared" si="30"/>
        <v>1.3896695937628232</v>
      </c>
      <c r="G186" s="208"/>
      <c r="H186" s="208">
        <f t="shared" si="31"/>
        <v>1.3896695937628232</v>
      </c>
      <c r="I186" s="209">
        <f t="shared" si="24"/>
        <v>1.3655594136215312</v>
      </c>
      <c r="J186" s="208">
        <v>2.1160000000000001</v>
      </c>
      <c r="K186" s="208">
        <v>0.33900000000000002</v>
      </c>
      <c r="L186" s="208">
        <f t="shared" si="32"/>
        <v>2.4550000000000001</v>
      </c>
      <c r="M186" s="209">
        <f t="shared" si="25"/>
        <v>2.4166666666666665</v>
      </c>
    </row>
    <row r="187" spans="1:13">
      <c r="A187" s="200" t="str">
        <f t="shared" si="33"/>
        <v>PRT18</v>
      </c>
      <c r="B187" s="201" t="s">
        <v>23</v>
      </c>
      <c r="C187" s="201">
        <v>2018</v>
      </c>
      <c r="D187" s="208">
        <v>1.2350000000000001</v>
      </c>
      <c r="E187" s="208">
        <v>0</v>
      </c>
      <c r="F187" s="208">
        <f t="shared" si="30"/>
        <v>1.2350000000000001</v>
      </c>
      <c r="G187" s="208"/>
      <c r="H187" s="208">
        <f t="shared" si="31"/>
        <v>1.2350000000000001</v>
      </c>
      <c r="I187" s="209">
        <f t="shared" si="24"/>
        <v>1.3201950226574912</v>
      </c>
      <c r="J187" s="208">
        <v>1.982</v>
      </c>
      <c r="K187" s="208">
        <v>0.14199999999999999</v>
      </c>
      <c r="L187" s="208">
        <f t="shared" si="32"/>
        <v>2.1240000000000001</v>
      </c>
      <c r="M187" s="209">
        <f t="shared" si="25"/>
        <v>2.31</v>
      </c>
    </row>
    <row r="188" spans="1:13">
      <c r="A188" s="200" t="str">
        <f t="shared" si="33"/>
        <v>PRT19</v>
      </c>
      <c r="B188" s="201" t="s">
        <v>23</v>
      </c>
      <c r="C188" s="201">
        <v>2019</v>
      </c>
      <c r="D188" s="208">
        <v>0.7539215686274533</v>
      </c>
      <c r="E188" s="208">
        <v>0</v>
      </c>
      <c r="F188" s="208">
        <f t="shared" si="30"/>
        <v>0.7539215686274533</v>
      </c>
      <c r="G188" s="208"/>
      <c r="H188" s="208">
        <f t="shared" si="31"/>
        <v>0.7539215686274533</v>
      </c>
      <c r="I188" s="209">
        <f t="shared" si="24"/>
        <v>1.1261970541300921</v>
      </c>
      <c r="J188" s="208">
        <v>2.5</v>
      </c>
      <c r="K188" s="208">
        <v>0</v>
      </c>
      <c r="L188" s="208">
        <f t="shared" si="32"/>
        <v>2.5</v>
      </c>
      <c r="M188" s="209">
        <f t="shared" si="25"/>
        <v>2.359666666666667</v>
      </c>
    </row>
    <row r="189" spans="1:13">
      <c r="A189" s="200" t="str">
        <f t="shared" si="33"/>
        <v>PRT20</v>
      </c>
      <c r="B189" s="201" t="s">
        <v>23</v>
      </c>
      <c r="C189" s="201">
        <v>2020</v>
      </c>
      <c r="D189" s="208">
        <v>0.76220684352172485</v>
      </c>
      <c r="E189" s="208">
        <v>0</v>
      </c>
      <c r="F189" s="208">
        <f t="shared" si="30"/>
        <v>0.76220684352172485</v>
      </c>
      <c r="G189" s="208"/>
      <c r="H189" s="208">
        <f t="shared" si="31"/>
        <v>0.76220684352172485</v>
      </c>
      <c r="I189" s="209">
        <f t="shared" si="24"/>
        <v>0.91704280404972616</v>
      </c>
      <c r="J189" s="208">
        <v>2.5</v>
      </c>
      <c r="K189" s="208">
        <v>0</v>
      </c>
      <c r="L189" s="208">
        <f t="shared" si="32"/>
        <v>2.5</v>
      </c>
      <c r="M189" s="209">
        <f t="shared" si="25"/>
        <v>2.3746666666666667</v>
      </c>
    </row>
    <row r="190" spans="1:13">
      <c r="A190" s="200" t="str">
        <f t="shared" si="33"/>
        <v>PRT21</v>
      </c>
      <c r="B190" s="201" t="s">
        <v>23</v>
      </c>
      <c r="C190" s="201">
        <v>2021</v>
      </c>
      <c r="D190" s="208">
        <v>0.98399999999999999</v>
      </c>
      <c r="E190" s="208">
        <v>0</v>
      </c>
      <c r="F190" s="208">
        <f t="shared" si="30"/>
        <v>0.98399999999999999</v>
      </c>
      <c r="G190" s="210">
        <f>Allowance!$F$26/5</f>
        <v>4.8999999999999995E-2</v>
      </c>
      <c r="H190" s="208">
        <f t="shared" si="31"/>
        <v>1.0329999999999999</v>
      </c>
      <c r="I190" s="209">
        <f t="shared" si="24"/>
        <v>0.84970947071639269</v>
      </c>
      <c r="J190" s="208">
        <v>1.8919999999999999</v>
      </c>
      <c r="K190" s="208">
        <v>2.4E-2</v>
      </c>
      <c r="L190" s="208">
        <f t="shared" si="32"/>
        <v>1.9159999999999999</v>
      </c>
      <c r="M190" s="209">
        <f t="shared" si="25"/>
        <v>2.3053333333333335</v>
      </c>
    </row>
    <row r="191" spans="1:13">
      <c r="A191" s="200" t="str">
        <f t="shared" si="33"/>
        <v>PRT22</v>
      </c>
      <c r="B191" s="201" t="s">
        <v>23</v>
      </c>
      <c r="C191" s="201">
        <v>2022</v>
      </c>
      <c r="D191" s="208">
        <v>0.98399999999999999</v>
      </c>
      <c r="E191" s="208">
        <v>0</v>
      </c>
      <c r="F191" s="208">
        <f t="shared" si="30"/>
        <v>0.98399999999999999</v>
      </c>
      <c r="G191" s="210">
        <f>Allowance!$F$26/5</f>
        <v>4.8999999999999995E-2</v>
      </c>
      <c r="H191" s="208">
        <f t="shared" si="31"/>
        <v>1.0329999999999999</v>
      </c>
      <c r="I191" s="209">
        <f t="shared" si="24"/>
        <v>0.94273561450724153</v>
      </c>
      <c r="J191" s="208">
        <v>1.86</v>
      </c>
      <c r="K191" s="208">
        <v>2.4E-2</v>
      </c>
      <c r="L191" s="208">
        <f t="shared" si="32"/>
        <v>1.8840000000000001</v>
      </c>
      <c r="M191" s="209">
        <f t="shared" si="25"/>
        <v>2.1</v>
      </c>
    </row>
    <row r="192" spans="1:13">
      <c r="A192" s="200" t="str">
        <f t="shared" si="33"/>
        <v>PRT23</v>
      </c>
      <c r="B192" s="201" t="s">
        <v>23</v>
      </c>
      <c r="C192" s="201">
        <v>2023</v>
      </c>
      <c r="D192" s="208">
        <v>0.98399999999999999</v>
      </c>
      <c r="E192" s="208">
        <v>0</v>
      </c>
      <c r="F192" s="208">
        <f t="shared" si="30"/>
        <v>0.98399999999999999</v>
      </c>
      <c r="G192" s="210">
        <f>Allowance!$F$26/5</f>
        <v>4.8999999999999995E-2</v>
      </c>
      <c r="H192" s="208">
        <f t="shared" si="31"/>
        <v>1.0329999999999999</v>
      </c>
      <c r="I192" s="209">
        <f t="shared" si="24"/>
        <v>1.0329999999999999</v>
      </c>
      <c r="J192" s="208">
        <v>1.873</v>
      </c>
      <c r="K192" s="208">
        <v>2.4E-2</v>
      </c>
      <c r="L192" s="208">
        <f t="shared" si="32"/>
        <v>1.897</v>
      </c>
      <c r="M192" s="209">
        <f t="shared" si="25"/>
        <v>1.899</v>
      </c>
    </row>
    <row r="193" spans="1:13">
      <c r="A193" s="200" t="str">
        <f t="shared" si="33"/>
        <v>PRT24</v>
      </c>
      <c r="B193" s="201" t="s">
        <v>23</v>
      </c>
      <c r="C193" s="201">
        <v>2024</v>
      </c>
      <c r="D193" s="208">
        <v>0.98399999999999999</v>
      </c>
      <c r="E193" s="208">
        <v>0</v>
      </c>
      <c r="F193" s="208">
        <f t="shared" si="30"/>
        <v>0.98399999999999999</v>
      </c>
      <c r="G193" s="210">
        <f>Allowance!$F$26/5</f>
        <v>4.8999999999999995E-2</v>
      </c>
      <c r="H193" s="208">
        <f t="shared" si="31"/>
        <v>1.0329999999999999</v>
      </c>
      <c r="I193" s="209">
        <f t="shared" si="24"/>
        <v>1.0329999999999999</v>
      </c>
      <c r="J193" s="208">
        <v>1.91</v>
      </c>
      <c r="K193" s="208">
        <v>2.4E-2</v>
      </c>
      <c r="L193" s="208">
        <f t="shared" si="32"/>
        <v>1.9339999999999999</v>
      </c>
      <c r="M193" s="209">
        <f t="shared" si="25"/>
        <v>1.905</v>
      </c>
    </row>
    <row r="194" spans="1:13">
      <c r="A194" s="200" t="str">
        <f t="shared" si="33"/>
        <v>PRT25</v>
      </c>
      <c r="B194" s="201" t="s">
        <v>23</v>
      </c>
      <c r="C194" s="201">
        <v>2025</v>
      </c>
      <c r="D194" s="208">
        <v>0.98399999999999999</v>
      </c>
      <c r="E194" s="208">
        <v>0</v>
      </c>
      <c r="F194" s="208">
        <f t="shared" si="30"/>
        <v>0.98399999999999999</v>
      </c>
      <c r="G194" s="210">
        <f>Allowance!$F$26/5</f>
        <v>4.8999999999999995E-2</v>
      </c>
      <c r="H194" s="208">
        <f t="shared" si="31"/>
        <v>1.0329999999999999</v>
      </c>
      <c r="I194" s="209">
        <f t="shared" ref="I194:I252" si="34">AVERAGE(H192:H194)</f>
        <v>1.0329999999999999</v>
      </c>
      <c r="J194" s="208">
        <v>1.974</v>
      </c>
      <c r="K194" s="208">
        <v>2.4E-2</v>
      </c>
      <c r="L194" s="208">
        <f t="shared" si="32"/>
        <v>1.998</v>
      </c>
      <c r="M194" s="209">
        <f t="shared" ref="M194:M252" si="35">AVERAGE(L192:L194)</f>
        <v>1.9429999999999998</v>
      </c>
    </row>
    <row r="195" spans="1:13">
      <c r="A195" s="200" t="str">
        <f t="shared" si="33"/>
        <v>SES12</v>
      </c>
      <c r="B195" s="201" t="s">
        <v>24</v>
      </c>
      <c r="C195" s="201">
        <v>2012</v>
      </c>
      <c r="D195" s="208">
        <v>0.98019104002827517</v>
      </c>
      <c r="E195" s="208">
        <v>0</v>
      </c>
      <c r="F195" s="208">
        <f t="shared" ref="F195:F226" si="36">D195+E195</f>
        <v>0.98019104002827517</v>
      </c>
      <c r="G195" s="208"/>
      <c r="H195" s="208">
        <f t="shared" ref="H195:H226" si="37">F195+G195</f>
        <v>0.98019104002827517</v>
      </c>
      <c r="I195" s="209"/>
      <c r="J195" s="208">
        <v>1.369</v>
      </c>
      <c r="K195" s="208">
        <v>6.0999999999999999E-2</v>
      </c>
      <c r="L195" s="208">
        <f t="shared" ref="L195:L226" si="38">J195+K195</f>
        <v>1.43</v>
      </c>
      <c r="M195" s="209"/>
    </row>
    <row r="196" spans="1:13">
      <c r="A196" s="200" t="str">
        <f t="shared" si="33"/>
        <v>SES13</v>
      </c>
      <c r="B196" s="201" t="s">
        <v>24</v>
      </c>
      <c r="C196" s="201">
        <v>2013</v>
      </c>
      <c r="D196" s="208">
        <v>0.53412165660051758</v>
      </c>
      <c r="E196" s="208">
        <v>0</v>
      </c>
      <c r="F196" s="208">
        <f t="shared" si="36"/>
        <v>0.53412165660051758</v>
      </c>
      <c r="G196" s="208"/>
      <c r="H196" s="208">
        <f t="shared" si="37"/>
        <v>0.53412165660051758</v>
      </c>
      <c r="I196" s="209"/>
      <c r="J196" s="208">
        <v>1.8009999999999999</v>
      </c>
      <c r="K196" s="208">
        <v>8.5999999999999993E-2</v>
      </c>
      <c r="L196" s="208">
        <f t="shared" si="38"/>
        <v>1.887</v>
      </c>
      <c r="M196" s="209"/>
    </row>
    <row r="197" spans="1:13">
      <c r="A197" s="200" t="str">
        <f t="shared" si="33"/>
        <v>SES14</v>
      </c>
      <c r="B197" s="201" t="s">
        <v>24</v>
      </c>
      <c r="C197" s="201">
        <v>2014</v>
      </c>
      <c r="D197" s="208">
        <v>0.89419168356997958</v>
      </c>
      <c r="E197" s="208">
        <v>0</v>
      </c>
      <c r="F197" s="208">
        <f t="shared" si="36"/>
        <v>0.89419168356997958</v>
      </c>
      <c r="G197" s="208"/>
      <c r="H197" s="208">
        <f t="shared" si="37"/>
        <v>0.89419168356997958</v>
      </c>
      <c r="I197" s="209">
        <f t="shared" si="34"/>
        <v>0.80283479339959074</v>
      </c>
      <c r="J197" s="208">
        <v>1.89</v>
      </c>
      <c r="K197" s="208">
        <v>9.6000000000000002E-2</v>
      </c>
      <c r="L197" s="208">
        <f t="shared" si="38"/>
        <v>1.986</v>
      </c>
      <c r="M197" s="209">
        <f t="shared" si="35"/>
        <v>1.7676666666666667</v>
      </c>
    </row>
    <row r="198" spans="1:13">
      <c r="A198" s="200" t="str">
        <f t="shared" si="33"/>
        <v>SES15</v>
      </c>
      <c r="B198" s="201" t="s">
        <v>24</v>
      </c>
      <c r="C198" s="201">
        <v>2015</v>
      </c>
      <c r="D198" s="208">
        <v>0.72421308598646272</v>
      </c>
      <c r="E198" s="208">
        <v>0</v>
      </c>
      <c r="F198" s="208">
        <f t="shared" si="36"/>
        <v>0.72421308598646272</v>
      </c>
      <c r="G198" s="208"/>
      <c r="H198" s="208">
        <f t="shared" si="37"/>
        <v>0.72421308598646272</v>
      </c>
      <c r="I198" s="209">
        <f t="shared" si="34"/>
        <v>0.71750880871898659</v>
      </c>
      <c r="J198" s="208">
        <v>1.97</v>
      </c>
      <c r="K198" s="208">
        <v>0.14499999999999999</v>
      </c>
      <c r="L198" s="208">
        <f t="shared" si="38"/>
        <v>2.1149999999999998</v>
      </c>
      <c r="M198" s="209">
        <f t="shared" si="35"/>
        <v>1.9959999999999998</v>
      </c>
    </row>
    <row r="199" spans="1:13">
      <c r="A199" s="200" t="str">
        <f t="shared" si="33"/>
        <v>SES16</v>
      </c>
      <c r="B199" s="201" t="s">
        <v>24</v>
      </c>
      <c r="C199" s="201">
        <v>2016</v>
      </c>
      <c r="D199" s="208">
        <v>1.1028585690515806</v>
      </c>
      <c r="E199" s="208">
        <v>0</v>
      </c>
      <c r="F199" s="208">
        <f t="shared" si="36"/>
        <v>1.1028585690515806</v>
      </c>
      <c r="G199" s="208"/>
      <c r="H199" s="208">
        <f t="shared" si="37"/>
        <v>1.1028585690515806</v>
      </c>
      <c r="I199" s="209">
        <f t="shared" si="34"/>
        <v>0.90708777953600761</v>
      </c>
      <c r="J199" s="208">
        <v>1.804</v>
      </c>
      <c r="K199" s="208">
        <v>8.6999999999999994E-2</v>
      </c>
      <c r="L199" s="208">
        <f t="shared" si="38"/>
        <v>1.891</v>
      </c>
      <c r="M199" s="209">
        <f t="shared" si="35"/>
        <v>1.9973333333333334</v>
      </c>
    </row>
    <row r="200" spans="1:13">
      <c r="A200" s="200" t="str">
        <f t="shared" si="33"/>
        <v>SES17</v>
      </c>
      <c r="B200" s="201" t="s">
        <v>24</v>
      </c>
      <c r="C200" s="201">
        <v>2017</v>
      </c>
      <c r="D200" s="208">
        <v>0.90626163315551911</v>
      </c>
      <c r="E200" s="208">
        <v>0</v>
      </c>
      <c r="F200" s="208">
        <f t="shared" si="36"/>
        <v>0.90626163315551911</v>
      </c>
      <c r="G200" s="208"/>
      <c r="H200" s="208">
        <f t="shared" si="37"/>
        <v>0.90626163315551911</v>
      </c>
      <c r="I200" s="209">
        <f t="shared" si="34"/>
        <v>0.91111109606452079</v>
      </c>
      <c r="J200" s="208">
        <v>1.7709999999999999</v>
      </c>
      <c r="K200" s="208">
        <v>0.14399999999999999</v>
      </c>
      <c r="L200" s="208">
        <f t="shared" si="38"/>
        <v>1.9149999999999998</v>
      </c>
      <c r="M200" s="209">
        <f t="shared" si="35"/>
        <v>1.9736666666666667</v>
      </c>
    </row>
    <row r="201" spans="1:13">
      <c r="A201" s="200" t="str">
        <f t="shared" si="33"/>
        <v>SES18</v>
      </c>
      <c r="B201" s="201" t="s">
        <v>24</v>
      </c>
      <c r="C201" s="201">
        <v>2018</v>
      </c>
      <c r="D201" s="208">
        <v>1.278</v>
      </c>
      <c r="E201" s="208">
        <v>0</v>
      </c>
      <c r="F201" s="208">
        <f t="shared" si="36"/>
        <v>1.278</v>
      </c>
      <c r="G201" s="208"/>
      <c r="H201" s="208">
        <f t="shared" si="37"/>
        <v>1.278</v>
      </c>
      <c r="I201" s="209">
        <f t="shared" si="34"/>
        <v>1.0957067340690332</v>
      </c>
      <c r="J201" s="208">
        <v>2.141</v>
      </c>
      <c r="K201" s="208">
        <v>2.1000000000000001E-2</v>
      </c>
      <c r="L201" s="208">
        <f t="shared" si="38"/>
        <v>2.1619999999999999</v>
      </c>
      <c r="M201" s="209">
        <f t="shared" si="35"/>
        <v>1.9893333333333334</v>
      </c>
    </row>
    <row r="202" spans="1:13">
      <c r="A202" s="200" t="str">
        <f t="shared" si="33"/>
        <v>SES19</v>
      </c>
      <c r="B202" s="201" t="s">
        <v>24</v>
      </c>
      <c r="C202" s="201">
        <v>2019</v>
      </c>
      <c r="D202" s="208">
        <v>1.7582441615246427</v>
      </c>
      <c r="E202" s="208">
        <v>0</v>
      </c>
      <c r="F202" s="208">
        <f t="shared" si="36"/>
        <v>1.7582441615246427</v>
      </c>
      <c r="G202" s="208"/>
      <c r="H202" s="208">
        <f t="shared" si="37"/>
        <v>1.7582441615246427</v>
      </c>
      <c r="I202" s="209">
        <f t="shared" si="34"/>
        <v>1.3141685982267208</v>
      </c>
      <c r="J202" s="208">
        <v>2.25</v>
      </c>
      <c r="K202" s="208">
        <v>0</v>
      </c>
      <c r="L202" s="208">
        <f t="shared" si="38"/>
        <v>2.25</v>
      </c>
      <c r="M202" s="209">
        <f t="shared" si="35"/>
        <v>2.109</v>
      </c>
    </row>
    <row r="203" spans="1:13">
      <c r="A203" s="200" t="str">
        <f t="shared" si="33"/>
        <v>SES20</v>
      </c>
      <c r="B203" s="201" t="s">
        <v>24</v>
      </c>
      <c r="C203" s="201">
        <v>2020</v>
      </c>
      <c r="D203" s="208">
        <v>0.88692318296699646</v>
      </c>
      <c r="E203" s="208">
        <v>0</v>
      </c>
      <c r="F203" s="208">
        <f t="shared" si="36"/>
        <v>0.88692318296699646</v>
      </c>
      <c r="G203" s="208"/>
      <c r="H203" s="208">
        <f t="shared" si="37"/>
        <v>0.88692318296699646</v>
      </c>
      <c r="I203" s="209">
        <f t="shared" si="34"/>
        <v>1.3077224481638796</v>
      </c>
      <c r="J203" s="208">
        <v>2.3580000000000001</v>
      </c>
      <c r="K203" s="208">
        <v>0</v>
      </c>
      <c r="L203" s="208">
        <f t="shared" si="38"/>
        <v>2.3580000000000001</v>
      </c>
      <c r="M203" s="209">
        <f t="shared" si="35"/>
        <v>2.2566666666666664</v>
      </c>
    </row>
    <row r="204" spans="1:13">
      <c r="A204" s="200" t="str">
        <f t="shared" si="33"/>
        <v>SES21</v>
      </c>
      <c r="B204" s="201" t="s">
        <v>24</v>
      </c>
      <c r="C204" s="201">
        <v>2021</v>
      </c>
      <c r="D204" s="208">
        <v>1.141</v>
      </c>
      <c r="E204" s="208">
        <v>0</v>
      </c>
      <c r="F204" s="208">
        <f t="shared" si="36"/>
        <v>1.141</v>
      </c>
      <c r="G204" s="208">
        <f>Allowance!$F$27/5</f>
        <v>0.7400000000000001</v>
      </c>
      <c r="H204" s="208">
        <f t="shared" si="37"/>
        <v>1.8810000000000002</v>
      </c>
      <c r="I204" s="209">
        <f t="shared" si="34"/>
        <v>1.5087224481638799</v>
      </c>
      <c r="J204" s="208">
        <v>2.407</v>
      </c>
      <c r="K204" s="208">
        <v>0</v>
      </c>
      <c r="L204" s="208">
        <f t="shared" si="38"/>
        <v>2.407</v>
      </c>
      <c r="M204" s="209">
        <f t="shared" si="35"/>
        <v>2.3383333333333334</v>
      </c>
    </row>
    <row r="205" spans="1:13">
      <c r="A205" s="200" t="str">
        <f t="shared" si="33"/>
        <v>SES22</v>
      </c>
      <c r="B205" s="201" t="s">
        <v>24</v>
      </c>
      <c r="C205" s="201">
        <v>2022</v>
      </c>
      <c r="D205" s="208">
        <v>1.1399999999999999</v>
      </c>
      <c r="E205" s="208">
        <v>0</v>
      </c>
      <c r="F205" s="208">
        <f t="shared" si="36"/>
        <v>1.1399999999999999</v>
      </c>
      <c r="G205" s="208">
        <f>Allowance!$F$27/5</f>
        <v>0.7400000000000001</v>
      </c>
      <c r="H205" s="208">
        <f t="shared" si="37"/>
        <v>1.88</v>
      </c>
      <c r="I205" s="209">
        <f t="shared" si="34"/>
        <v>1.5493077276556655</v>
      </c>
      <c r="J205" s="208">
        <v>2.4489999999999998</v>
      </c>
      <c r="K205" s="208">
        <v>0</v>
      </c>
      <c r="L205" s="208">
        <f t="shared" si="38"/>
        <v>2.4489999999999998</v>
      </c>
      <c r="M205" s="209">
        <f t="shared" si="35"/>
        <v>2.404666666666667</v>
      </c>
    </row>
    <row r="206" spans="1:13">
      <c r="A206" s="200" t="str">
        <f t="shared" si="33"/>
        <v>SES23</v>
      </c>
      <c r="B206" s="201" t="s">
        <v>24</v>
      </c>
      <c r="C206" s="201">
        <v>2023</v>
      </c>
      <c r="D206" s="208">
        <v>1.1399999999999999</v>
      </c>
      <c r="E206" s="208">
        <v>0</v>
      </c>
      <c r="F206" s="208">
        <f t="shared" si="36"/>
        <v>1.1399999999999999</v>
      </c>
      <c r="G206" s="208">
        <f>Allowance!$F$27/5</f>
        <v>0.7400000000000001</v>
      </c>
      <c r="H206" s="208">
        <f t="shared" si="37"/>
        <v>1.88</v>
      </c>
      <c r="I206" s="209">
        <f t="shared" si="34"/>
        <v>1.8803333333333334</v>
      </c>
      <c r="J206" s="208">
        <v>2.5409999999999999</v>
      </c>
      <c r="K206" s="208">
        <v>0</v>
      </c>
      <c r="L206" s="208">
        <f t="shared" si="38"/>
        <v>2.5409999999999999</v>
      </c>
      <c r="M206" s="209">
        <f t="shared" si="35"/>
        <v>2.4656666666666669</v>
      </c>
    </row>
    <row r="207" spans="1:13">
      <c r="A207" s="200" t="str">
        <f t="shared" si="33"/>
        <v>SES24</v>
      </c>
      <c r="B207" s="201" t="s">
        <v>24</v>
      </c>
      <c r="C207" s="201">
        <v>2024</v>
      </c>
      <c r="D207" s="208">
        <v>1.1399999999999999</v>
      </c>
      <c r="E207" s="208">
        <v>0</v>
      </c>
      <c r="F207" s="208">
        <f t="shared" si="36"/>
        <v>1.1399999999999999</v>
      </c>
      <c r="G207" s="208">
        <f>Allowance!$F$27/5</f>
        <v>0.7400000000000001</v>
      </c>
      <c r="H207" s="208">
        <f t="shared" si="37"/>
        <v>1.88</v>
      </c>
      <c r="I207" s="209">
        <f t="shared" si="34"/>
        <v>1.88</v>
      </c>
      <c r="J207" s="208">
        <v>2.62</v>
      </c>
      <c r="K207" s="208">
        <v>0</v>
      </c>
      <c r="L207" s="208">
        <f t="shared" si="38"/>
        <v>2.62</v>
      </c>
      <c r="M207" s="209">
        <f t="shared" si="35"/>
        <v>2.5366666666666666</v>
      </c>
    </row>
    <row r="208" spans="1:13">
      <c r="A208" s="200" t="str">
        <f t="shared" si="33"/>
        <v>SES25</v>
      </c>
      <c r="B208" s="201" t="s">
        <v>24</v>
      </c>
      <c r="C208" s="201">
        <v>2025</v>
      </c>
      <c r="D208" s="208">
        <v>1.1399999999999999</v>
      </c>
      <c r="E208" s="208">
        <v>0</v>
      </c>
      <c r="F208" s="208">
        <f t="shared" si="36"/>
        <v>1.1399999999999999</v>
      </c>
      <c r="G208" s="208">
        <f>Allowance!$F$27/5</f>
        <v>0.7400000000000001</v>
      </c>
      <c r="H208" s="208">
        <f t="shared" si="37"/>
        <v>1.88</v>
      </c>
      <c r="I208" s="209">
        <f t="shared" si="34"/>
        <v>1.88</v>
      </c>
      <c r="J208" s="208">
        <v>2.6120000000000001</v>
      </c>
      <c r="K208" s="208">
        <v>0</v>
      </c>
      <c r="L208" s="208">
        <f t="shared" si="38"/>
        <v>2.6120000000000001</v>
      </c>
      <c r="M208" s="209">
        <f t="shared" si="35"/>
        <v>2.5909999999999997</v>
      </c>
    </row>
    <row r="209" spans="1:13">
      <c r="A209" s="200" t="str">
        <f t="shared" si="33"/>
        <v>SEW12</v>
      </c>
      <c r="B209" s="201" t="s">
        <v>25</v>
      </c>
      <c r="C209" s="201">
        <v>2012</v>
      </c>
      <c r="D209" s="208">
        <v>3.8069426526464594</v>
      </c>
      <c r="E209" s="208">
        <v>0</v>
      </c>
      <c r="F209" s="208">
        <f t="shared" si="36"/>
        <v>3.8069426526464594</v>
      </c>
      <c r="G209" s="208"/>
      <c r="H209" s="208">
        <f t="shared" si="37"/>
        <v>3.8069426526464594</v>
      </c>
      <c r="I209" s="209"/>
      <c r="J209" s="208">
        <v>5.891</v>
      </c>
      <c r="K209" s="208">
        <v>0.28799999999999998</v>
      </c>
      <c r="L209" s="208">
        <f t="shared" si="38"/>
        <v>6.1790000000000003</v>
      </c>
      <c r="M209" s="209"/>
    </row>
    <row r="210" spans="1:13">
      <c r="A210" s="200" t="str">
        <f t="shared" si="33"/>
        <v>SEW13</v>
      </c>
      <c r="B210" s="201" t="s">
        <v>25</v>
      </c>
      <c r="C210" s="201">
        <v>2013</v>
      </c>
      <c r="D210" s="208">
        <v>1.7199796376186369</v>
      </c>
      <c r="E210" s="208">
        <v>0</v>
      </c>
      <c r="F210" s="208">
        <f t="shared" si="36"/>
        <v>1.7199796376186369</v>
      </c>
      <c r="G210" s="208"/>
      <c r="H210" s="208">
        <f t="shared" si="37"/>
        <v>1.7199796376186369</v>
      </c>
      <c r="I210" s="209"/>
      <c r="J210" s="208">
        <v>7.2590000000000003</v>
      </c>
      <c r="K210" s="208">
        <v>0.433</v>
      </c>
      <c r="L210" s="208">
        <f t="shared" si="38"/>
        <v>7.6920000000000002</v>
      </c>
      <c r="M210" s="209"/>
    </row>
    <row r="211" spans="1:13">
      <c r="A211" s="200" t="str">
        <f t="shared" si="33"/>
        <v>SEW14</v>
      </c>
      <c r="B211" s="201" t="s">
        <v>25</v>
      </c>
      <c r="C211" s="201">
        <v>2014</v>
      </c>
      <c r="D211" s="208">
        <v>0.59929868154158195</v>
      </c>
      <c r="E211" s="208">
        <v>0</v>
      </c>
      <c r="F211" s="208">
        <f t="shared" si="36"/>
        <v>0.59929868154158195</v>
      </c>
      <c r="G211" s="208"/>
      <c r="H211" s="208">
        <f t="shared" si="37"/>
        <v>0.59929868154158195</v>
      </c>
      <c r="I211" s="209">
        <f t="shared" si="34"/>
        <v>2.0420736572688925</v>
      </c>
      <c r="J211" s="208">
        <v>6.7809999999999997</v>
      </c>
      <c r="K211" s="208">
        <v>0.28100000000000003</v>
      </c>
      <c r="L211" s="208">
        <f t="shared" si="38"/>
        <v>7.0619999999999994</v>
      </c>
      <c r="M211" s="209">
        <f t="shared" si="35"/>
        <v>6.9776666666666669</v>
      </c>
    </row>
    <row r="212" spans="1:13">
      <c r="A212" s="200" t="str">
        <f t="shared" si="33"/>
        <v>SEW15</v>
      </c>
      <c r="B212" s="201" t="s">
        <v>25</v>
      </c>
      <c r="C212" s="201">
        <v>2015</v>
      </c>
      <c r="D212" s="208">
        <v>6.2754683713545596</v>
      </c>
      <c r="E212" s="208">
        <v>0</v>
      </c>
      <c r="F212" s="208">
        <f t="shared" si="36"/>
        <v>6.2754683713545596</v>
      </c>
      <c r="G212" s="208"/>
      <c r="H212" s="208">
        <f t="shared" si="37"/>
        <v>6.2754683713545596</v>
      </c>
      <c r="I212" s="209">
        <f t="shared" si="34"/>
        <v>2.8649155635049262</v>
      </c>
      <c r="J212" s="208">
        <v>6.7779999999999996</v>
      </c>
      <c r="K212" s="208">
        <v>0.38900000000000001</v>
      </c>
      <c r="L212" s="208">
        <f t="shared" si="38"/>
        <v>7.1669999999999998</v>
      </c>
      <c r="M212" s="209">
        <f t="shared" si="35"/>
        <v>7.3069999999999995</v>
      </c>
    </row>
    <row r="213" spans="1:13">
      <c r="A213" s="200" t="str">
        <f t="shared" si="33"/>
        <v>SEW16</v>
      </c>
      <c r="B213" s="201" t="s">
        <v>25</v>
      </c>
      <c r="C213" s="201">
        <v>2016</v>
      </c>
      <c r="D213" s="208">
        <v>7.0551735440931767</v>
      </c>
      <c r="E213" s="208">
        <v>0</v>
      </c>
      <c r="F213" s="208">
        <f t="shared" si="36"/>
        <v>7.0551735440931767</v>
      </c>
      <c r="G213" s="208"/>
      <c r="H213" s="208">
        <f t="shared" si="37"/>
        <v>7.0551735440931767</v>
      </c>
      <c r="I213" s="209">
        <f t="shared" si="34"/>
        <v>4.6433135323297732</v>
      </c>
      <c r="J213" s="208">
        <v>8.4890000000000008</v>
      </c>
      <c r="K213" s="208">
        <v>0.57499999999999996</v>
      </c>
      <c r="L213" s="208">
        <f t="shared" si="38"/>
        <v>9.0640000000000001</v>
      </c>
      <c r="M213" s="209">
        <f t="shared" si="35"/>
        <v>7.7643333333333331</v>
      </c>
    </row>
    <row r="214" spans="1:13">
      <c r="A214" s="200" t="str">
        <f t="shared" si="33"/>
        <v>SEW17</v>
      </c>
      <c r="B214" s="201" t="s">
        <v>25</v>
      </c>
      <c r="C214" s="201">
        <v>2017</v>
      </c>
      <c r="D214" s="208">
        <v>9.5408925728354514</v>
      </c>
      <c r="E214" s="208">
        <v>0</v>
      </c>
      <c r="F214" s="208">
        <f t="shared" si="36"/>
        <v>9.5408925728354514</v>
      </c>
      <c r="G214" s="208"/>
      <c r="H214" s="208">
        <f t="shared" si="37"/>
        <v>9.5408925728354514</v>
      </c>
      <c r="I214" s="209">
        <f t="shared" si="34"/>
        <v>7.6238448294277292</v>
      </c>
      <c r="J214" s="208">
        <v>9.0210000000000008</v>
      </c>
      <c r="K214" s="208">
        <v>0.24099999999999999</v>
      </c>
      <c r="L214" s="208">
        <f t="shared" si="38"/>
        <v>9.2620000000000005</v>
      </c>
      <c r="M214" s="209">
        <f t="shared" si="35"/>
        <v>8.4976666666666674</v>
      </c>
    </row>
    <row r="215" spans="1:13">
      <c r="A215" s="200" t="str">
        <f t="shared" si="33"/>
        <v>SEW18</v>
      </c>
      <c r="B215" s="201" t="s">
        <v>25</v>
      </c>
      <c r="C215" s="201">
        <v>2018</v>
      </c>
      <c r="D215" s="208">
        <v>11.313000000000001</v>
      </c>
      <c r="E215" s="208">
        <v>4.1740000000000004</v>
      </c>
      <c r="F215" s="208">
        <f t="shared" si="36"/>
        <v>15.487000000000002</v>
      </c>
      <c r="G215" s="208"/>
      <c r="H215" s="208">
        <f t="shared" si="37"/>
        <v>15.487000000000002</v>
      </c>
      <c r="I215" s="209">
        <f t="shared" si="34"/>
        <v>10.694355372309545</v>
      </c>
      <c r="J215" s="208">
        <v>7.3869999999999996</v>
      </c>
      <c r="K215" s="208">
        <v>0.128</v>
      </c>
      <c r="L215" s="208">
        <f t="shared" si="38"/>
        <v>7.5149999999999997</v>
      </c>
      <c r="M215" s="209">
        <f t="shared" si="35"/>
        <v>8.613666666666667</v>
      </c>
    </row>
    <row r="216" spans="1:13">
      <c r="A216" s="200" t="str">
        <f t="shared" si="33"/>
        <v>SEW19</v>
      </c>
      <c r="B216" s="201" t="s">
        <v>25</v>
      </c>
      <c r="C216" s="201">
        <v>2019</v>
      </c>
      <c r="D216" s="208">
        <v>10.640572787572662</v>
      </c>
      <c r="E216" s="208">
        <v>4.6133113570363546</v>
      </c>
      <c r="F216" s="208">
        <f t="shared" si="36"/>
        <v>15.253884144609017</v>
      </c>
      <c r="G216" s="208"/>
      <c r="H216" s="208">
        <f t="shared" si="37"/>
        <v>15.253884144609017</v>
      </c>
      <c r="I216" s="209">
        <f t="shared" si="34"/>
        <v>13.427258905814824</v>
      </c>
      <c r="J216" s="208">
        <v>8</v>
      </c>
      <c r="K216" s="208">
        <v>0.5</v>
      </c>
      <c r="L216" s="208">
        <f t="shared" si="38"/>
        <v>8.5</v>
      </c>
      <c r="M216" s="209">
        <f t="shared" si="35"/>
        <v>8.4256666666666664</v>
      </c>
    </row>
    <row r="217" spans="1:13">
      <c r="A217" s="200" t="str">
        <f t="shared" si="33"/>
        <v>SEW20</v>
      </c>
      <c r="B217" s="201" t="s">
        <v>25</v>
      </c>
      <c r="C217" s="201">
        <v>2020</v>
      </c>
      <c r="D217" s="208">
        <v>10.760346026048985</v>
      </c>
      <c r="E217" s="208">
        <v>4.538506679020939</v>
      </c>
      <c r="F217" s="208">
        <f t="shared" si="36"/>
        <v>15.298852705069924</v>
      </c>
      <c r="G217" s="208"/>
      <c r="H217" s="208">
        <f t="shared" si="37"/>
        <v>15.298852705069924</v>
      </c>
      <c r="I217" s="209">
        <f t="shared" si="34"/>
        <v>15.346578949892981</v>
      </c>
      <c r="J217" s="208">
        <v>8.2249999999999996</v>
      </c>
      <c r="K217" s="208">
        <v>0.52500000000000002</v>
      </c>
      <c r="L217" s="208">
        <f t="shared" si="38"/>
        <v>8.75</v>
      </c>
      <c r="M217" s="209">
        <f t="shared" si="35"/>
        <v>8.2550000000000008</v>
      </c>
    </row>
    <row r="218" spans="1:13">
      <c r="A218" s="200" t="str">
        <f t="shared" si="33"/>
        <v>SEW21</v>
      </c>
      <c r="B218" s="201" t="s">
        <v>25</v>
      </c>
      <c r="C218" s="201">
        <v>2021</v>
      </c>
      <c r="D218" s="208">
        <v>10.8452305812273</v>
      </c>
      <c r="E218" s="208">
        <v>6.2439381105895704</v>
      </c>
      <c r="F218" s="208">
        <f t="shared" si="36"/>
        <v>17.089168691816869</v>
      </c>
      <c r="G218" s="208">
        <f>Allowance!$F$28/5</f>
        <v>11.654</v>
      </c>
      <c r="H218" s="208">
        <f t="shared" si="37"/>
        <v>28.743168691816869</v>
      </c>
      <c r="I218" s="209">
        <f t="shared" si="34"/>
        <v>19.765301847165272</v>
      </c>
      <c r="J218" s="208">
        <v>8.4600000000000009</v>
      </c>
      <c r="K218" s="208">
        <v>0.54</v>
      </c>
      <c r="L218" s="208">
        <f t="shared" si="38"/>
        <v>9</v>
      </c>
      <c r="M218" s="209">
        <f t="shared" si="35"/>
        <v>8.75</v>
      </c>
    </row>
    <row r="219" spans="1:13">
      <c r="A219" s="200" t="str">
        <f t="shared" si="33"/>
        <v>SEW22</v>
      </c>
      <c r="B219" s="201" t="s">
        <v>25</v>
      </c>
      <c r="C219" s="201">
        <v>2022</v>
      </c>
      <c r="D219" s="208">
        <v>10.7459462244334</v>
      </c>
      <c r="E219" s="208">
        <v>6.1735213169802696</v>
      </c>
      <c r="F219" s="208">
        <f t="shared" si="36"/>
        <v>16.91946754141367</v>
      </c>
      <c r="G219" s="208">
        <f>Allowance!$F$28/5</f>
        <v>11.654</v>
      </c>
      <c r="H219" s="208">
        <f t="shared" si="37"/>
        <v>28.57346754141367</v>
      </c>
      <c r="I219" s="209">
        <f t="shared" si="34"/>
        <v>24.205162979433492</v>
      </c>
      <c r="J219" s="208">
        <v>8.5869999999999997</v>
      </c>
      <c r="K219" s="208">
        <v>0.54800000000000004</v>
      </c>
      <c r="L219" s="208">
        <f t="shared" si="38"/>
        <v>9.1349999999999998</v>
      </c>
      <c r="M219" s="209">
        <f t="shared" si="35"/>
        <v>8.961666666666666</v>
      </c>
    </row>
    <row r="220" spans="1:13">
      <c r="A220" s="200" t="str">
        <f t="shared" si="33"/>
        <v>SEW23</v>
      </c>
      <c r="B220" s="201" t="s">
        <v>25</v>
      </c>
      <c r="C220" s="201">
        <v>2023</v>
      </c>
      <c r="D220" s="208">
        <v>10.645024307639501</v>
      </c>
      <c r="E220" s="208">
        <v>6.1039297010672602</v>
      </c>
      <c r="F220" s="208">
        <f t="shared" si="36"/>
        <v>16.748954008706761</v>
      </c>
      <c r="G220" s="208">
        <f>Allowance!$F$28/5</f>
        <v>11.654</v>
      </c>
      <c r="H220" s="208">
        <f t="shared" si="37"/>
        <v>28.402954008706761</v>
      </c>
      <c r="I220" s="209">
        <f t="shared" si="34"/>
        <v>28.573196747312434</v>
      </c>
      <c r="J220" s="208">
        <v>8.7159999999999993</v>
      </c>
      <c r="K220" s="208">
        <v>0.55600000000000005</v>
      </c>
      <c r="L220" s="208">
        <f t="shared" si="38"/>
        <v>9.2719999999999985</v>
      </c>
      <c r="M220" s="209">
        <f t="shared" si="35"/>
        <v>9.1356666666666655</v>
      </c>
    </row>
    <row r="221" spans="1:13">
      <c r="A221" s="200" t="str">
        <f t="shared" si="33"/>
        <v>SEW24</v>
      </c>
      <c r="B221" s="201" t="s">
        <v>25</v>
      </c>
      <c r="C221" s="201">
        <v>2024</v>
      </c>
      <c r="D221" s="208">
        <v>10.5543157208553</v>
      </c>
      <c r="E221" s="208">
        <v>6.0351347734459502</v>
      </c>
      <c r="F221" s="208">
        <f t="shared" si="36"/>
        <v>16.58945049430125</v>
      </c>
      <c r="G221" s="208">
        <f>Allowance!$F$28/5</f>
        <v>11.654</v>
      </c>
      <c r="H221" s="208">
        <f t="shared" si="37"/>
        <v>28.24345049430125</v>
      </c>
      <c r="I221" s="209">
        <f t="shared" si="34"/>
        <v>28.406624014807232</v>
      </c>
      <c r="J221" s="208">
        <v>8.8460000000000001</v>
      </c>
      <c r="K221" s="208">
        <v>0.56499999999999995</v>
      </c>
      <c r="L221" s="208">
        <f t="shared" si="38"/>
        <v>9.4109999999999996</v>
      </c>
      <c r="M221" s="209">
        <f t="shared" si="35"/>
        <v>9.2726666666666659</v>
      </c>
    </row>
    <row r="222" spans="1:13">
      <c r="A222" s="200" t="str">
        <f t="shared" si="33"/>
        <v>SEW25</v>
      </c>
      <c r="B222" s="201" t="s">
        <v>25</v>
      </c>
      <c r="C222" s="201">
        <v>2025</v>
      </c>
      <c r="D222" s="208">
        <v>10.428214314532999</v>
      </c>
      <c r="E222" s="208">
        <v>5.9671097621065696</v>
      </c>
      <c r="F222" s="208">
        <f t="shared" si="36"/>
        <v>16.395324076639568</v>
      </c>
      <c r="G222" s="208">
        <f>Allowance!$F$28/5</f>
        <v>11.654</v>
      </c>
      <c r="H222" s="208">
        <f t="shared" si="37"/>
        <v>28.049324076639568</v>
      </c>
      <c r="I222" s="209">
        <f t="shared" si="34"/>
        <v>28.231909526549192</v>
      </c>
      <c r="J222" s="208">
        <v>8.9789999999999992</v>
      </c>
      <c r="K222" s="208">
        <v>0.57299999999999995</v>
      </c>
      <c r="L222" s="208">
        <f t="shared" si="38"/>
        <v>9.5519999999999996</v>
      </c>
      <c r="M222" s="209">
        <f t="shared" si="35"/>
        <v>9.4116666666666671</v>
      </c>
    </row>
    <row r="223" spans="1:13">
      <c r="A223" s="200" t="str">
        <f t="shared" si="33"/>
        <v>SSC12</v>
      </c>
      <c r="B223" s="201" t="s">
        <v>26</v>
      </c>
      <c r="C223" s="201">
        <v>2012</v>
      </c>
      <c r="D223" s="208">
        <v>4.4738309122759654</v>
      </c>
      <c r="E223" s="208">
        <v>0.57605888314851894</v>
      </c>
      <c r="F223" s="208">
        <f t="shared" si="36"/>
        <v>5.0498897954244839</v>
      </c>
      <c r="G223" s="208"/>
      <c r="H223" s="208">
        <f t="shared" si="37"/>
        <v>5.0498897954244839</v>
      </c>
      <c r="I223" s="209"/>
      <c r="J223" s="208">
        <v>3.6139999999999999</v>
      </c>
      <c r="K223" s="208">
        <v>0.28200000000000003</v>
      </c>
      <c r="L223" s="208">
        <f t="shared" si="38"/>
        <v>3.8959999999999999</v>
      </c>
      <c r="M223" s="209"/>
    </row>
    <row r="224" spans="1:13">
      <c r="A224" s="200" t="str">
        <f t="shared" si="33"/>
        <v>SSC13</v>
      </c>
      <c r="B224" s="201" t="s">
        <v>26</v>
      </c>
      <c r="C224" s="201">
        <v>2013</v>
      </c>
      <c r="D224" s="208">
        <v>3.0654943645557355</v>
      </c>
      <c r="E224" s="208">
        <v>1.6789577067844619</v>
      </c>
      <c r="F224" s="208">
        <f t="shared" si="36"/>
        <v>4.7444520713401976</v>
      </c>
      <c r="G224" s="208"/>
      <c r="H224" s="208">
        <f t="shared" si="37"/>
        <v>4.7444520713401976</v>
      </c>
      <c r="I224" s="209"/>
      <c r="J224" s="208">
        <v>3.226</v>
      </c>
      <c r="K224" s="208">
        <v>0.20600000000000002</v>
      </c>
      <c r="L224" s="208">
        <f t="shared" si="38"/>
        <v>3.4319999999999999</v>
      </c>
      <c r="M224" s="209"/>
    </row>
    <row r="225" spans="1:13">
      <c r="A225" s="200" t="str">
        <f t="shared" si="33"/>
        <v>SSC14</v>
      </c>
      <c r="B225" s="201" t="s">
        <v>26</v>
      </c>
      <c r="C225" s="201">
        <v>2014</v>
      </c>
      <c r="D225" s="208">
        <v>4.1354686906017557</v>
      </c>
      <c r="E225" s="208">
        <v>2.2935013307488119</v>
      </c>
      <c r="F225" s="208">
        <f t="shared" si="36"/>
        <v>6.4289700213505672</v>
      </c>
      <c r="G225" s="208"/>
      <c r="H225" s="208">
        <f t="shared" si="37"/>
        <v>6.4289700213505672</v>
      </c>
      <c r="I225" s="209">
        <f t="shared" si="34"/>
        <v>5.4077706293717496</v>
      </c>
      <c r="J225" s="208">
        <v>4.4870000000000001</v>
      </c>
      <c r="K225" s="208">
        <v>0.33699999999999997</v>
      </c>
      <c r="L225" s="208">
        <f t="shared" si="38"/>
        <v>4.8239999999999998</v>
      </c>
      <c r="M225" s="209">
        <f t="shared" si="35"/>
        <v>4.0506666666666664</v>
      </c>
    </row>
    <row r="226" spans="1:13">
      <c r="A226" s="200" t="str">
        <f t="shared" si="33"/>
        <v>SSC15</v>
      </c>
      <c r="B226" s="201" t="s">
        <v>26</v>
      </c>
      <c r="C226" s="201">
        <v>2015</v>
      </c>
      <c r="D226" s="208">
        <v>4.4044822459714226</v>
      </c>
      <c r="E226" s="208">
        <v>2.6724814110303301</v>
      </c>
      <c r="F226" s="208">
        <f t="shared" si="36"/>
        <v>7.0769636570017527</v>
      </c>
      <c r="G226" s="208"/>
      <c r="H226" s="208">
        <f t="shared" si="37"/>
        <v>7.0769636570017527</v>
      </c>
      <c r="I226" s="209">
        <f t="shared" si="34"/>
        <v>6.0834619165641719</v>
      </c>
      <c r="J226" s="208">
        <v>4.0549999999999997</v>
      </c>
      <c r="K226" s="208">
        <v>0.35899999999999999</v>
      </c>
      <c r="L226" s="208">
        <f t="shared" si="38"/>
        <v>4.4139999999999997</v>
      </c>
      <c r="M226" s="209">
        <f t="shared" si="35"/>
        <v>4.2233333333333336</v>
      </c>
    </row>
    <row r="227" spans="1:13">
      <c r="A227" s="200" t="str">
        <f t="shared" si="33"/>
        <v>SSC16</v>
      </c>
      <c r="B227" s="201" t="s">
        <v>26</v>
      </c>
      <c r="C227" s="201">
        <v>2016</v>
      </c>
      <c r="D227" s="208">
        <v>4.4548299713544077</v>
      </c>
      <c r="E227" s="208">
        <v>3.2483083879783723</v>
      </c>
      <c r="F227" s="208">
        <f t="shared" ref="F227:F252" si="39">D227+E227</f>
        <v>7.7031383593327796</v>
      </c>
      <c r="G227" s="208"/>
      <c r="H227" s="208">
        <f t="shared" ref="H227:H252" si="40">F227+G227</f>
        <v>7.7031383593327796</v>
      </c>
      <c r="I227" s="209">
        <f t="shared" si="34"/>
        <v>7.0696906792283665</v>
      </c>
      <c r="J227" s="208">
        <v>3.9329999999999998</v>
      </c>
      <c r="K227" s="208">
        <v>0.24299999999999999</v>
      </c>
      <c r="L227" s="208">
        <f t="shared" ref="L227:L252" si="41">J227+K227</f>
        <v>4.1760000000000002</v>
      </c>
      <c r="M227" s="209">
        <f t="shared" si="35"/>
        <v>4.4713333333333329</v>
      </c>
    </row>
    <row r="228" spans="1:13">
      <c r="A228" s="200" t="str">
        <f t="shared" si="33"/>
        <v>SSC17</v>
      </c>
      <c r="B228" s="201" t="s">
        <v>26</v>
      </c>
      <c r="C228" s="201">
        <v>2017</v>
      </c>
      <c r="D228" s="208">
        <v>6.0556056027687273</v>
      </c>
      <c r="E228" s="208">
        <v>3.3633793974878161</v>
      </c>
      <c r="F228" s="208">
        <f t="shared" si="39"/>
        <v>9.4189850002565443</v>
      </c>
      <c r="G228" s="208"/>
      <c r="H228" s="208">
        <f t="shared" si="40"/>
        <v>9.4189850002565443</v>
      </c>
      <c r="I228" s="209">
        <f t="shared" si="34"/>
        <v>8.0663623388636925</v>
      </c>
      <c r="J228" s="208">
        <v>4.0110000000000001</v>
      </c>
      <c r="K228" s="208">
        <v>0.247</v>
      </c>
      <c r="L228" s="208">
        <f t="shared" si="41"/>
        <v>4.258</v>
      </c>
      <c r="M228" s="209">
        <f t="shared" si="35"/>
        <v>4.2826666666666666</v>
      </c>
    </row>
    <row r="229" spans="1:13">
      <c r="A229" s="200" t="str">
        <f t="shared" si="33"/>
        <v>SSC18</v>
      </c>
      <c r="B229" s="201" t="s">
        <v>26</v>
      </c>
      <c r="C229" s="201">
        <v>2018</v>
      </c>
      <c r="D229" s="208">
        <v>8.1801304219999995</v>
      </c>
      <c r="E229" s="208">
        <v>3.9685457100000101</v>
      </c>
      <c r="F229" s="208">
        <f t="shared" si="39"/>
        <v>12.148676132000009</v>
      </c>
      <c r="G229" s="208"/>
      <c r="H229" s="208">
        <f t="shared" si="40"/>
        <v>12.148676132000009</v>
      </c>
      <c r="I229" s="209">
        <f t="shared" si="34"/>
        <v>9.7569331638631116</v>
      </c>
      <c r="J229" s="208">
        <v>6.6559999999999997</v>
      </c>
      <c r="K229" s="208">
        <v>0.23599999999999999</v>
      </c>
      <c r="L229" s="208">
        <f t="shared" si="41"/>
        <v>6.8919999999999995</v>
      </c>
      <c r="M229" s="209">
        <f t="shared" si="35"/>
        <v>5.1086666666666671</v>
      </c>
    </row>
    <row r="230" spans="1:13">
      <c r="A230" s="200" t="str">
        <f t="shared" si="33"/>
        <v>SSC19</v>
      </c>
      <c r="B230" s="201" t="s">
        <v>26</v>
      </c>
      <c r="C230" s="201">
        <v>2019</v>
      </c>
      <c r="D230" s="208">
        <v>4.3037228202000488</v>
      </c>
      <c r="E230" s="208">
        <v>3.1149060746523545</v>
      </c>
      <c r="F230" s="208">
        <f t="shared" si="39"/>
        <v>7.4186288948524037</v>
      </c>
      <c r="G230" s="208"/>
      <c r="H230" s="208">
        <f t="shared" si="40"/>
        <v>7.4186288948524037</v>
      </c>
      <c r="I230" s="209">
        <f t="shared" si="34"/>
        <v>9.6620966757029851</v>
      </c>
      <c r="J230" s="208">
        <v>8.5767017925770404</v>
      </c>
      <c r="K230" s="208">
        <v>0.44800000000000001</v>
      </c>
      <c r="L230" s="208">
        <f t="shared" si="41"/>
        <v>9.0247017925770407</v>
      </c>
      <c r="M230" s="209">
        <f t="shared" si="35"/>
        <v>6.7249005975256795</v>
      </c>
    </row>
    <row r="231" spans="1:13">
      <c r="A231" s="200" t="str">
        <f t="shared" si="33"/>
        <v>SSC20</v>
      </c>
      <c r="B231" s="201" t="s">
        <v>26</v>
      </c>
      <c r="C231" s="201">
        <v>2020</v>
      </c>
      <c r="D231" s="208">
        <v>3.6750229904054095</v>
      </c>
      <c r="E231" s="208">
        <v>2.2629259491568976</v>
      </c>
      <c r="F231" s="208">
        <f t="shared" si="39"/>
        <v>5.9379489395623075</v>
      </c>
      <c r="G231" s="208"/>
      <c r="H231" s="208">
        <f t="shared" si="40"/>
        <v>5.9379489395623075</v>
      </c>
      <c r="I231" s="209">
        <f t="shared" si="34"/>
        <v>8.5017513221382401</v>
      </c>
      <c r="J231" s="208">
        <v>8.6970369829793892</v>
      </c>
      <c r="K231" s="208">
        <v>0.44801092222700101</v>
      </c>
      <c r="L231" s="208">
        <f t="shared" si="41"/>
        <v>9.1450479052063898</v>
      </c>
      <c r="M231" s="209">
        <f t="shared" si="35"/>
        <v>8.3539165659278094</v>
      </c>
    </row>
    <row r="232" spans="1:13">
      <c r="A232" s="200" t="str">
        <f t="shared" si="33"/>
        <v>SSC21</v>
      </c>
      <c r="B232" s="201" t="s">
        <v>26</v>
      </c>
      <c r="C232" s="201">
        <v>2021</v>
      </c>
      <c r="D232" s="208">
        <v>8.5626992295724893</v>
      </c>
      <c r="E232" s="208">
        <v>6.08060773763171</v>
      </c>
      <c r="F232" s="208">
        <f t="shared" si="39"/>
        <v>14.6433069672042</v>
      </c>
      <c r="G232" s="208">
        <f>Allowance!$F$29/5</f>
        <v>9.8714468711343303E-2</v>
      </c>
      <c r="H232" s="208">
        <f t="shared" si="40"/>
        <v>14.742021435915543</v>
      </c>
      <c r="I232" s="209">
        <f t="shared" si="34"/>
        <v>9.3661997567767514</v>
      </c>
      <c r="J232" s="208">
        <v>8.5027044824981104</v>
      </c>
      <c r="K232" s="208">
        <v>0.44801092222689998</v>
      </c>
      <c r="L232" s="208">
        <f t="shared" si="41"/>
        <v>8.9507154047250097</v>
      </c>
      <c r="M232" s="209">
        <f t="shared" si="35"/>
        <v>9.0401550341694801</v>
      </c>
    </row>
    <row r="233" spans="1:13">
      <c r="A233" s="200" t="str">
        <f t="shared" si="33"/>
        <v>SSC22</v>
      </c>
      <c r="B233" s="201" t="s">
        <v>26</v>
      </c>
      <c r="C233" s="201">
        <v>2022</v>
      </c>
      <c r="D233" s="208">
        <v>9.7533789037196197</v>
      </c>
      <c r="E233" s="208">
        <v>5.7488457087667904</v>
      </c>
      <c r="F233" s="208">
        <f t="shared" si="39"/>
        <v>15.50222461248641</v>
      </c>
      <c r="G233" s="208">
        <f>Allowance!$F$29/5</f>
        <v>9.8714468711343303E-2</v>
      </c>
      <c r="H233" s="208">
        <f t="shared" si="40"/>
        <v>15.600939081197753</v>
      </c>
      <c r="I233" s="209">
        <f t="shared" si="34"/>
        <v>12.093636485558534</v>
      </c>
      <c r="J233" s="208">
        <v>8.0313682527891395</v>
      </c>
      <c r="K233" s="208">
        <v>0.44801092222700101</v>
      </c>
      <c r="L233" s="208">
        <f t="shared" si="41"/>
        <v>8.47937917501614</v>
      </c>
      <c r="M233" s="209">
        <f t="shared" si="35"/>
        <v>8.8583808283158465</v>
      </c>
    </row>
    <row r="234" spans="1:13">
      <c r="A234" s="200" t="str">
        <f t="shared" si="33"/>
        <v>SSC23</v>
      </c>
      <c r="B234" s="201" t="s">
        <v>26</v>
      </c>
      <c r="C234" s="201">
        <v>2023</v>
      </c>
      <c r="D234" s="208">
        <v>10.5716072265303</v>
      </c>
      <c r="E234" s="208">
        <v>5.5412400219924196</v>
      </c>
      <c r="F234" s="208">
        <f t="shared" si="39"/>
        <v>16.112847248522719</v>
      </c>
      <c r="G234" s="208">
        <f>Allowance!$F$29/5</f>
        <v>9.8714468711343303E-2</v>
      </c>
      <c r="H234" s="208">
        <f t="shared" si="40"/>
        <v>16.211561717234062</v>
      </c>
      <c r="I234" s="209">
        <f t="shared" si="34"/>
        <v>15.518174078115786</v>
      </c>
      <c r="J234" s="208">
        <v>7.6466855400800702</v>
      </c>
      <c r="K234" s="208">
        <v>0.44801092222689998</v>
      </c>
      <c r="L234" s="208">
        <f t="shared" si="41"/>
        <v>8.0946964623069704</v>
      </c>
      <c r="M234" s="209">
        <f t="shared" si="35"/>
        <v>8.5082636806827079</v>
      </c>
    </row>
    <row r="235" spans="1:13">
      <c r="A235" s="200" t="str">
        <f t="shared" si="33"/>
        <v>SSC24</v>
      </c>
      <c r="B235" s="201" t="s">
        <v>26</v>
      </c>
      <c r="C235" s="201">
        <v>2024</v>
      </c>
      <c r="D235" s="208">
        <v>9.1142790444338093</v>
      </c>
      <c r="E235" s="208">
        <v>5.3733236576896202</v>
      </c>
      <c r="F235" s="208">
        <f t="shared" si="39"/>
        <v>14.487602702123429</v>
      </c>
      <c r="G235" s="208">
        <f>Allowance!$F$29/5</f>
        <v>9.8714468711343303E-2</v>
      </c>
      <c r="H235" s="208">
        <f t="shared" si="40"/>
        <v>14.586317170834771</v>
      </c>
      <c r="I235" s="209">
        <f t="shared" si="34"/>
        <v>15.466272656422197</v>
      </c>
      <c r="J235" s="208">
        <v>7.41354789927881</v>
      </c>
      <c r="K235" s="208">
        <v>0.44801092222689998</v>
      </c>
      <c r="L235" s="208">
        <f t="shared" si="41"/>
        <v>7.8615588215057102</v>
      </c>
      <c r="M235" s="209">
        <f t="shared" si="35"/>
        <v>8.1452114862762741</v>
      </c>
    </row>
    <row r="236" spans="1:13">
      <c r="A236" s="200" t="str">
        <f t="shared" si="33"/>
        <v>SSC25</v>
      </c>
      <c r="B236" s="201" t="s">
        <v>26</v>
      </c>
      <c r="C236" s="201">
        <v>2025</v>
      </c>
      <c r="D236" s="208">
        <v>8.9881227023432508</v>
      </c>
      <c r="E236" s="208">
        <v>5.2145663678033296</v>
      </c>
      <c r="F236" s="208">
        <f t="shared" si="39"/>
        <v>14.20268907014658</v>
      </c>
      <c r="G236" s="208">
        <f>Allowance!$F$29/5</f>
        <v>9.8714468711343303E-2</v>
      </c>
      <c r="H236" s="208">
        <f t="shared" si="40"/>
        <v>14.301403538857922</v>
      </c>
      <c r="I236" s="209">
        <f t="shared" si="34"/>
        <v>15.033094142308919</v>
      </c>
      <c r="J236" s="208">
        <v>7.21462655933178</v>
      </c>
      <c r="K236" s="208">
        <v>0.44801092222699901</v>
      </c>
      <c r="L236" s="208">
        <f t="shared" si="41"/>
        <v>7.6626374815587788</v>
      </c>
      <c r="M236" s="209">
        <f t="shared" si="35"/>
        <v>7.8729642551238195</v>
      </c>
    </row>
    <row r="237" spans="1:13">
      <c r="A237" s="200" t="str">
        <f t="shared" si="33"/>
        <v>SVE18</v>
      </c>
      <c r="B237" s="201" t="s">
        <v>27</v>
      </c>
      <c r="C237" s="201">
        <v>2018</v>
      </c>
      <c r="D237" s="208">
        <v>31.231999999999999</v>
      </c>
      <c r="E237" s="208">
        <v>15.022</v>
      </c>
      <c r="F237" s="208">
        <f t="shared" si="39"/>
        <v>46.253999999999998</v>
      </c>
      <c r="G237" s="208"/>
      <c r="H237" s="208">
        <f t="shared" si="40"/>
        <v>46.253999999999998</v>
      </c>
      <c r="I237" s="209"/>
      <c r="J237" s="208">
        <v>22.11</v>
      </c>
      <c r="K237" s="208">
        <v>1.0620000000000001</v>
      </c>
      <c r="L237" s="208">
        <f t="shared" si="41"/>
        <v>23.172000000000001</v>
      </c>
      <c r="M237" s="209"/>
    </row>
    <row r="238" spans="1:13">
      <c r="A238" s="200" t="str">
        <f t="shared" si="33"/>
        <v>SVE19</v>
      </c>
      <c r="B238" s="201" t="s">
        <v>27</v>
      </c>
      <c r="C238" s="201">
        <v>2019</v>
      </c>
      <c r="D238" s="208">
        <v>36.276708728849592</v>
      </c>
      <c r="E238" s="208">
        <v>13.529536868380172</v>
      </c>
      <c r="F238" s="208">
        <f t="shared" si="39"/>
        <v>49.806245597229761</v>
      </c>
      <c r="G238" s="208"/>
      <c r="H238" s="208">
        <f t="shared" si="40"/>
        <v>49.806245597229761</v>
      </c>
      <c r="I238" s="209"/>
      <c r="J238" s="208">
        <v>22.11</v>
      </c>
      <c r="K238" s="208">
        <v>1.0620000000000001</v>
      </c>
      <c r="L238" s="208">
        <f t="shared" si="41"/>
        <v>23.172000000000001</v>
      </c>
      <c r="M238" s="209"/>
    </row>
    <row r="239" spans="1:13">
      <c r="A239" s="200" t="str">
        <f t="shared" si="33"/>
        <v>SVE20</v>
      </c>
      <c r="B239" s="201" t="s">
        <v>27</v>
      </c>
      <c r="C239" s="201">
        <v>2020</v>
      </c>
      <c r="D239" s="208">
        <v>36.901762620203812</v>
      </c>
      <c r="E239" s="208">
        <v>13.187754379291931</v>
      </c>
      <c r="F239" s="208">
        <f t="shared" si="39"/>
        <v>50.089516999495743</v>
      </c>
      <c r="G239" s="208"/>
      <c r="H239" s="208">
        <f t="shared" si="40"/>
        <v>50.089516999495743</v>
      </c>
      <c r="I239" s="209">
        <f t="shared" si="34"/>
        <v>48.716587532241839</v>
      </c>
      <c r="J239" s="208">
        <v>22.11</v>
      </c>
      <c r="K239" s="208">
        <v>1.0620000000000001</v>
      </c>
      <c r="L239" s="208">
        <f t="shared" si="41"/>
        <v>23.172000000000001</v>
      </c>
      <c r="M239" s="209">
        <f t="shared" si="35"/>
        <v>23.172000000000001</v>
      </c>
    </row>
    <row r="240" spans="1:13">
      <c r="A240" s="200" t="str">
        <f t="shared" si="33"/>
        <v>SVE21</v>
      </c>
      <c r="B240" s="201" t="s">
        <v>27</v>
      </c>
      <c r="C240" s="201">
        <v>2021</v>
      </c>
      <c r="D240" s="208">
        <v>38.792000000000002</v>
      </c>
      <c r="E240" s="208">
        <v>13.333</v>
      </c>
      <c r="F240" s="208">
        <f t="shared" si="39"/>
        <v>52.125</v>
      </c>
      <c r="G240" s="208">
        <f>Allowance!$F$18/5</f>
        <v>0</v>
      </c>
      <c r="H240" s="208">
        <f t="shared" si="40"/>
        <v>52.125</v>
      </c>
      <c r="I240" s="209">
        <f t="shared" si="34"/>
        <v>50.673587532241832</v>
      </c>
      <c r="J240" s="208">
        <v>22.4941183382291</v>
      </c>
      <c r="K240" s="208">
        <v>1.0804501888375999</v>
      </c>
      <c r="L240" s="208">
        <f t="shared" si="41"/>
        <v>23.574568527066699</v>
      </c>
      <c r="M240" s="209">
        <f t="shared" si="35"/>
        <v>23.306189509022232</v>
      </c>
    </row>
    <row r="241" spans="1:13">
      <c r="A241" s="200" t="str">
        <f t="shared" si="33"/>
        <v>SVE22</v>
      </c>
      <c r="B241" s="201" t="s">
        <v>27</v>
      </c>
      <c r="C241" s="201">
        <v>2022</v>
      </c>
      <c r="D241" s="208">
        <v>40.75</v>
      </c>
      <c r="E241" s="208">
        <v>14.215999999999999</v>
      </c>
      <c r="F241" s="208">
        <f t="shared" si="39"/>
        <v>54.966000000000001</v>
      </c>
      <c r="G241" s="208">
        <f>Allowance!$F$18/5</f>
        <v>0</v>
      </c>
      <c r="H241" s="208">
        <f t="shared" si="40"/>
        <v>54.966000000000001</v>
      </c>
      <c r="I241" s="209">
        <f t="shared" si="34"/>
        <v>52.393505666498584</v>
      </c>
      <c r="J241" s="208">
        <v>23.983661744966401</v>
      </c>
      <c r="K241" s="208">
        <v>1.1519967785234899</v>
      </c>
      <c r="L241" s="208">
        <f t="shared" si="41"/>
        <v>25.135658523489891</v>
      </c>
      <c r="M241" s="209">
        <f t="shared" si="35"/>
        <v>23.96074235018553</v>
      </c>
    </row>
    <row r="242" spans="1:13">
      <c r="A242" s="200" t="str">
        <f t="shared" si="33"/>
        <v>SVE23</v>
      </c>
      <c r="B242" s="201" t="s">
        <v>27</v>
      </c>
      <c r="C242" s="201">
        <v>2023</v>
      </c>
      <c r="D242" s="208">
        <v>37.968000000000004</v>
      </c>
      <c r="E242" s="208">
        <v>15.045</v>
      </c>
      <c r="F242" s="208">
        <f t="shared" si="39"/>
        <v>53.013000000000005</v>
      </c>
      <c r="G242" s="208">
        <f>Allowance!$F$18/5</f>
        <v>0</v>
      </c>
      <c r="H242" s="208">
        <f t="shared" si="40"/>
        <v>53.013000000000005</v>
      </c>
      <c r="I242" s="209">
        <f t="shared" si="34"/>
        <v>53.368000000000002</v>
      </c>
      <c r="J242" s="208">
        <v>25.381488590604</v>
      </c>
      <c r="K242" s="208">
        <v>1.2191379865771801</v>
      </c>
      <c r="L242" s="208">
        <f t="shared" si="41"/>
        <v>26.600626577181181</v>
      </c>
      <c r="M242" s="209">
        <f t="shared" si="35"/>
        <v>25.10361787591259</v>
      </c>
    </row>
    <row r="243" spans="1:13">
      <c r="A243" s="200" t="str">
        <f t="shared" si="33"/>
        <v>SVE24</v>
      </c>
      <c r="B243" s="201" t="s">
        <v>27</v>
      </c>
      <c r="C243" s="201">
        <v>2024</v>
      </c>
      <c r="D243" s="208">
        <v>33.945</v>
      </c>
      <c r="E243" s="208">
        <v>15.288</v>
      </c>
      <c r="F243" s="208">
        <f t="shared" si="39"/>
        <v>49.233000000000004</v>
      </c>
      <c r="G243" s="208">
        <f>Allowance!$F$18/5</f>
        <v>0</v>
      </c>
      <c r="H243" s="208">
        <f t="shared" si="40"/>
        <v>49.233000000000004</v>
      </c>
      <c r="I243" s="209">
        <f t="shared" si="34"/>
        <v>52.404000000000003</v>
      </c>
      <c r="J243" s="208">
        <v>25.791042953020099</v>
      </c>
      <c r="K243" s="208">
        <v>1.2388099328859099</v>
      </c>
      <c r="L243" s="208">
        <f t="shared" si="41"/>
        <v>27.02985288590601</v>
      </c>
      <c r="M243" s="209">
        <f t="shared" si="35"/>
        <v>26.255379328859025</v>
      </c>
    </row>
    <row r="244" spans="1:13">
      <c r="A244" s="200" t="str">
        <f t="shared" si="33"/>
        <v>SVE25</v>
      </c>
      <c r="B244" s="201" t="s">
        <v>27</v>
      </c>
      <c r="C244" s="201">
        <v>2025</v>
      </c>
      <c r="D244" s="208">
        <v>33.298999999999999</v>
      </c>
      <c r="E244" s="208">
        <v>15.53</v>
      </c>
      <c r="F244" s="208">
        <f t="shared" si="39"/>
        <v>48.829000000000001</v>
      </c>
      <c r="G244" s="208">
        <f>Allowance!$F$18/5</f>
        <v>0</v>
      </c>
      <c r="H244" s="208">
        <f t="shared" si="40"/>
        <v>48.829000000000001</v>
      </c>
      <c r="I244" s="209">
        <f t="shared" si="34"/>
        <v>50.358333333333341</v>
      </c>
      <c r="J244" s="208">
        <v>26.1996080536913</v>
      </c>
      <c r="K244" s="208">
        <v>1.2584343624161101</v>
      </c>
      <c r="L244" s="208">
        <f t="shared" si="41"/>
        <v>27.458042416107411</v>
      </c>
      <c r="M244" s="209">
        <f t="shared" si="35"/>
        <v>27.029507293064867</v>
      </c>
    </row>
    <row r="245" spans="1:13">
      <c r="A245" s="200" t="str">
        <f t="shared" si="33"/>
        <v>HDD18</v>
      </c>
      <c r="B245" s="201" t="s">
        <v>28</v>
      </c>
      <c r="C245" s="201">
        <v>2018</v>
      </c>
      <c r="D245" s="208">
        <v>0.71956325821974898</v>
      </c>
      <c r="E245" s="208">
        <v>0.487352959845258</v>
      </c>
      <c r="F245" s="208">
        <f t="shared" si="39"/>
        <v>1.206916218065007</v>
      </c>
      <c r="G245" s="208"/>
      <c r="H245" s="208">
        <f t="shared" si="40"/>
        <v>1.206916218065007</v>
      </c>
      <c r="I245" s="209"/>
      <c r="J245" s="208">
        <v>0.39500000000000002</v>
      </c>
      <c r="K245" s="208">
        <v>3.2000000000000001E-2</v>
      </c>
      <c r="L245" s="208">
        <f t="shared" si="41"/>
        <v>0.42700000000000005</v>
      </c>
      <c r="M245" s="209"/>
    </row>
    <row r="246" spans="1:13">
      <c r="A246" s="200" t="str">
        <f t="shared" si="33"/>
        <v>HDD19</v>
      </c>
      <c r="B246" s="201" t="s">
        <v>28</v>
      </c>
      <c r="C246" s="201">
        <v>2019</v>
      </c>
      <c r="D246" s="208">
        <v>0.43239050305184346</v>
      </c>
      <c r="E246" s="208">
        <v>0.29377327549574328</v>
      </c>
      <c r="F246" s="208">
        <f t="shared" si="39"/>
        <v>0.72616377854758674</v>
      </c>
      <c r="G246" s="208"/>
      <c r="H246" s="208">
        <f t="shared" si="40"/>
        <v>0.72616377854758674</v>
      </c>
      <c r="I246" s="209"/>
      <c r="J246" s="208">
        <v>0.39500000000000002</v>
      </c>
      <c r="K246" s="208">
        <v>3.2000000000000001E-2</v>
      </c>
      <c r="L246" s="208">
        <f t="shared" si="41"/>
        <v>0.42700000000000005</v>
      </c>
      <c r="M246" s="209"/>
    </row>
    <row r="247" spans="1:13">
      <c r="A247" s="200" t="str">
        <f t="shared" si="33"/>
        <v>HDD20</v>
      </c>
      <c r="B247" s="201" t="s">
        <v>28</v>
      </c>
      <c r="C247" s="201">
        <v>2020</v>
      </c>
      <c r="D247" s="208">
        <v>0.43715017584961136</v>
      </c>
      <c r="E247" s="208">
        <v>0.29517271143573992</v>
      </c>
      <c r="F247" s="208">
        <f t="shared" si="39"/>
        <v>0.73232288728535133</v>
      </c>
      <c r="G247" s="208"/>
      <c r="H247" s="208">
        <f t="shared" si="40"/>
        <v>0.73232288728535133</v>
      </c>
      <c r="I247" s="209">
        <f t="shared" si="34"/>
        <v>0.88846762796598178</v>
      </c>
      <c r="J247" s="208">
        <v>0.39500000000000002</v>
      </c>
      <c r="K247" s="208">
        <v>3.2000000000000001E-2</v>
      </c>
      <c r="L247" s="208">
        <f t="shared" si="41"/>
        <v>0.42700000000000005</v>
      </c>
      <c r="M247" s="209">
        <f t="shared" si="35"/>
        <v>0.42700000000000005</v>
      </c>
    </row>
    <row r="248" spans="1:13">
      <c r="A248" s="200" t="str">
        <f t="shared" si="33"/>
        <v>HDD21</v>
      </c>
      <c r="B248" s="201" t="s">
        <v>28</v>
      </c>
      <c r="C248" s="201">
        <v>2021</v>
      </c>
      <c r="D248" s="208">
        <v>0.71469811601698197</v>
      </c>
      <c r="E248" s="208">
        <v>0.24569905615357601</v>
      </c>
      <c r="F248" s="208">
        <f t="shared" si="39"/>
        <v>0.96039717217055798</v>
      </c>
      <c r="G248" s="208">
        <f>Allowance!$F$14/5</f>
        <v>0</v>
      </c>
      <c r="H248" s="208">
        <f t="shared" si="40"/>
        <v>0.96039717217055798</v>
      </c>
      <c r="I248" s="209">
        <f t="shared" si="34"/>
        <v>0.80629461266783198</v>
      </c>
      <c r="J248" s="208">
        <v>0.40200000000000002</v>
      </c>
      <c r="K248" s="208">
        <v>3.3000000000000002E-2</v>
      </c>
      <c r="L248" s="208">
        <f t="shared" si="41"/>
        <v>0.43500000000000005</v>
      </c>
      <c r="M248" s="209">
        <f t="shared" si="35"/>
        <v>0.4296666666666667</v>
      </c>
    </row>
    <row r="249" spans="1:13">
      <c r="A249" s="200" t="str">
        <f t="shared" ref="A249:A252" si="42">B249&amp;RIGHT(C249,2)</f>
        <v>HDD22</v>
      </c>
      <c r="B249" s="201" t="s">
        <v>28</v>
      </c>
      <c r="C249" s="201">
        <v>2022</v>
      </c>
      <c r="D249" s="208">
        <v>0.81056923287787397</v>
      </c>
      <c r="E249" s="208">
        <v>0.26196906076687698</v>
      </c>
      <c r="F249" s="208">
        <f t="shared" si="39"/>
        <v>1.072538293644751</v>
      </c>
      <c r="G249" s="208">
        <f>Allowance!$F$14/5</f>
        <v>0</v>
      </c>
      <c r="H249" s="208">
        <f t="shared" si="40"/>
        <v>1.072538293644751</v>
      </c>
      <c r="I249" s="209">
        <f t="shared" si="34"/>
        <v>0.92175278436688668</v>
      </c>
      <c r="J249" s="208">
        <v>0.42799999999999999</v>
      </c>
      <c r="K249" s="208">
        <v>3.5000000000000003E-2</v>
      </c>
      <c r="L249" s="208">
        <f t="shared" si="41"/>
        <v>0.46299999999999997</v>
      </c>
      <c r="M249" s="209">
        <f t="shared" si="35"/>
        <v>0.44166666666666671</v>
      </c>
    </row>
    <row r="250" spans="1:13">
      <c r="A250" s="200" t="str">
        <f t="shared" si="42"/>
        <v>HDD23</v>
      </c>
      <c r="B250" s="201" t="s">
        <v>28</v>
      </c>
      <c r="C250" s="201">
        <v>2023</v>
      </c>
      <c r="D250" s="208">
        <v>0.85362936798878897</v>
      </c>
      <c r="E250" s="208">
        <v>0.27723726250188802</v>
      </c>
      <c r="F250" s="208">
        <f t="shared" si="39"/>
        <v>1.1308666304906769</v>
      </c>
      <c r="G250" s="208">
        <f>Allowance!$F$14/5</f>
        <v>0</v>
      </c>
      <c r="H250" s="208">
        <f t="shared" si="40"/>
        <v>1.1308666304906769</v>
      </c>
      <c r="I250" s="209">
        <f t="shared" si="34"/>
        <v>1.054600698768662</v>
      </c>
      <c r="J250" s="208">
        <v>0.45300000000000001</v>
      </c>
      <c r="K250" s="208">
        <v>3.6999999999999998E-2</v>
      </c>
      <c r="L250" s="208">
        <f t="shared" si="41"/>
        <v>0.49</v>
      </c>
      <c r="M250" s="209">
        <f t="shared" si="35"/>
        <v>0.46266666666666662</v>
      </c>
    </row>
    <row r="251" spans="1:13">
      <c r="A251" s="200" t="str">
        <f t="shared" si="42"/>
        <v>HDD24</v>
      </c>
      <c r="B251" s="201" t="s">
        <v>28</v>
      </c>
      <c r="C251" s="201">
        <v>2024</v>
      </c>
      <c r="D251" s="208">
        <v>0.80722509127483</v>
      </c>
      <c r="E251" s="208">
        <v>0.28171074836055399</v>
      </c>
      <c r="F251" s="208">
        <f t="shared" si="39"/>
        <v>1.0889358396353841</v>
      </c>
      <c r="G251" s="208">
        <f>Allowance!$F$14/5</f>
        <v>0</v>
      </c>
      <c r="H251" s="208">
        <f t="shared" si="40"/>
        <v>1.0889358396353841</v>
      </c>
      <c r="I251" s="209">
        <f t="shared" si="34"/>
        <v>1.0974469212569373</v>
      </c>
      <c r="J251" s="208">
        <v>0.46100000000000002</v>
      </c>
      <c r="K251" s="208">
        <v>3.6999999999999998E-2</v>
      </c>
      <c r="L251" s="208">
        <f t="shared" si="41"/>
        <v>0.498</v>
      </c>
      <c r="M251" s="209">
        <f t="shared" si="35"/>
        <v>0.48366666666666669</v>
      </c>
    </row>
    <row r="252" spans="1:13">
      <c r="A252" s="200" t="str">
        <f t="shared" si="42"/>
        <v>HDD25</v>
      </c>
      <c r="B252" s="201" t="s">
        <v>28</v>
      </c>
      <c r="C252" s="201">
        <v>2025</v>
      </c>
      <c r="D252" s="208">
        <v>0.82313128536283697</v>
      </c>
      <c r="E252" s="208">
        <v>0.28617342869782098</v>
      </c>
      <c r="F252" s="208">
        <f t="shared" si="39"/>
        <v>1.109304714060658</v>
      </c>
      <c r="G252" s="208">
        <f>Allowance!$F$14/5</f>
        <v>0</v>
      </c>
      <c r="H252" s="208">
        <f t="shared" si="40"/>
        <v>1.109304714060658</v>
      </c>
      <c r="I252" s="209">
        <f t="shared" si="34"/>
        <v>1.1097023947289064</v>
      </c>
      <c r="J252" s="208">
        <v>0.46800000000000003</v>
      </c>
      <c r="K252" s="208">
        <v>3.7999999999999999E-2</v>
      </c>
      <c r="L252" s="208">
        <f t="shared" si="41"/>
        <v>0.50600000000000001</v>
      </c>
      <c r="M252" s="209">
        <f t="shared" si="35"/>
        <v>0.498</v>
      </c>
    </row>
    <row r="253" spans="1:13">
      <c r="D253" s="172"/>
      <c r="E253" s="172"/>
      <c r="G253" s="173"/>
      <c r="J253" s="172"/>
      <c r="K253" s="172"/>
    </row>
    <row r="254" spans="1:13">
      <c r="D254" s="174"/>
    </row>
  </sheetData>
  <conditionalFormatting sqref="D253">
    <cfRule type="cellIs" dxfId="70" priority="6" operator="equal">
      <formula>TRUE</formula>
    </cfRule>
  </conditionalFormatting>
  <conditionalFormatting sqref="E253">
    <cfRule type="cellIs" dxfId="69" priority="5" operator="equal">
      <formula>TRUE</formula>
    </cfRule>
  </conditionalFormatting>
  <conditionalFormatting sqref="J253">
    <cfRule type="cellIs" dxfId="68" priority="3" operator="equal">
      <formula>TRUE</formula>
    </cfRule>
  </conditionalFormatting>
  <conditionalFormatting sqref="K253">
    <cfRule type="cellIs" dxfId="67" priority="2" operator="equal">
      <formula>TRUE</formula>
    </cfRule>
  </conditionalFormatting>
  <conditionalFormatting sqref="G253">
    <cfRule type="cellIs" dxfId="66" priority="1" operator="equal">
      <formula>TRUE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2"/>
  <sheetViews>
    <sheetView showGridLines="0" zoomScale="80" zoomScaleNormal="80" workbookViewId="0"/>
  </sheetViews>
  <sheetFormatPr defaultColWidth="9" defaultRowHeight="12.75"/>
  <cols>
    <col min="1" max="1" width="25.375" style="3" customWidth="1"/>
    <col min="2" max="2" width="40.625" style="3" bestFit="1" customWidth="1"/>
    <col min="3" max="3" width="21.375" style="3" customWidth="1"/>
    <col min="4" max="4" width="23.375" style="3" customWidth="1"/>
    <col min="5" max="16384" width="9" style="3"/>
  </cols>
  <sheetData>
    <row r="1" spans="1:4" ht="17.649999999999999">
      <c r="A1" s="193" t="s">
        <v>44</v>
      </c>
    </row>
    <row r="3" spans="1:4" ht="13.15">
      <c r="A3" s="163" t="s">
        <v>45</v>
      </c>
    </row>
    <row r="4" spans="1:4" ht="13.15">
      <c r="B4" s="164"/>
      <c r="C4" s="164"/>
      <c r="D4" s="164"/>
    </row>
    <row r="5" spans="1:4" ht="26.1" customHeight="1">
      <c r="A5" s="163"/>
      <c r="C5" s="235" t="s">
        <v>165</v>
      </c>
      <c r="D5" s="236"/>
    </row>
    <row r="6" spans="1:4" ht="13.15">
      <c r="B6" s="164"/>
      <c r="C6" s="164"/>
      <c r="D6" s="164"/>
    </row>
    <row r="7" spans="1:4" ht="13.15">
      <c r="A7" s="165"/>
      <c r="B7" s="163"/>
      <c r="C7" s="166" t="s">
        <v>39</v>
      </c>
      <c r="D7" s="166"/>
    </row>
    <row r="8" spans="1:4">
      <c r="C8" s="34" t="s">
        <v>37</v>
      </c>
      <c r="D8" s="34" t="s">
        <v>38</v>
      </c>
    </row>
    <row r="9" spans="1:4">
      <c r="C9" s="34" t="s">
        <v>90</v>
      </c>
      <c r="D9" s="34" t="s">
        <v>91</v>
      </c>
    </row>
    <row r="10" spans="1:4" ht="13.15">
      <c r="A10" s="167" t="s">
        <v>1</v>
      </c>
      <c r="B10" s="167" t="s">
        <v>2</v>
      </c>
      <c r="C10" s="168" t="s">
        <v>92</v>
      </c>
      <c r="D10" s="168" t="s">
        <v>93</v>
      </c>
    </row>
    <row r="11" spans="1:4">
      <c r="A11" s="169" t="s">
        <v>112</v>
      </c>
      <c r="B11" s="169" t="s">
        <v>94</v>
      </c>
      <c r="C11" s="170">
        <v>1.066079</v>
      </c>
      <c r="D11" s="170">
        <v>0.93302169999999995</v>
      </c>
    </row>
    <row r="12" spans="1:4">
      <c r="A12" s="169" t="s">
        <v>3</v>
      </c>
      <c r="B12" s="169" t="s">
        <v>4</v>
      </c>
      <c r="C12" s="170">
        <v>-0.2312448</v>
      </c>
      <c r="D12" s="170">
        <v>0.20272309999999999</v>
      </c>
    </row>
  </sheetData>
  <mergeCells count="1">
    <mergeCell ref="C5:D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Q119"/>
  <sheetViews>
    <sheetView showGridLines="0" zoomScale="80" zoomScaleNormal="80" workbookViewId="0"/>
  </sheetViews>
  <sheetFormatPr defaultColWidth="8.75" defaultRowHeight="13.5"/>
  <cols>
    <col min="1" max="1" width="25.75" style="69" customWidth="1"/>
    <col min="2" max="29" width="8.75" style="69"/>
    <col min="30" max="30" width="5.875" style="69" customWidth="1"/>
    <col min="31" max="31" width="18.125" style="69" customWidth="1"/>
    <col min="32" max="32" width="17.125" style="69" customWidth="1"/>
    <col min="33" max="16384" width="8.75" style="69"/>
  </cols>
  <sheetData>
    <row r="1" spans="1:42" ht="18" thickTop="1">
      <c r="A1" s="228" t="s">
        <v>167</v>
      </c>
      <c r="B1" s="67"/>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42" ht="21" customHeight="1">
      <c r="A2" s="70"/>
      <c r="B2" s="71"/>
      <c r="C2" s="72"/>
      <c r="D2" s="72"/>
      <c r="E2" s="72"/>
      <c r="F2" s="73"/>
      <c r="G2" s="72"/>
      <c r="H2" s="72"/>
      <c r="I2" s="72"/>
      <c r="J2" s="72"/>
      <c r="K2" s="72"/>
      <c r="L2" s="72"/>
      <c r="M2" s="72"/>
      <c r="N2" s="72"/>
      <c r="O2" s="72"/>
      <c r="P2" s="72"/>
      <c r="Q2" s="72"/>
      <c r="R2" s="72"/>
      <c r="S2" s="72"/>
      <c r="T2" s="72"/>
      <c r="U2" s="72"/>
      <c r="V2" s="72"/>
      <c r="W2" s="72"/>
      <c r="X2" s="72"/>
      <c r="Y2" s="72"/>
      <c r="Z2" s="72"/>
      <c r="AA2" s="72"/>
      <c r="AB2" s="72"/>
      <c r="AC2" s="72"/>
      <c r="AD2" s="72"/>
      <c r="AE2" s="72"/>
      <c r="AF2" s="72"/>
      <c r="AG2" s="72"/>
    </row>
    <row r="3" spans="1:42">
      <c r="A3" s="69">
        <v>1</v>
      </c>
      <c r="B3" s="69">
        <v>2</v>
      </c>
      <c r="C3" s="69">
        <v>3</v>
      </c>
      <c r="D3" s="69">
        <v>4</v>
      </c>
      <c r="E3" s="69">
        <v>5</v>
      </c>
      <c r="F3" s="69">
        <v>6</v>
      </c>
      <c r="G3" s="69">
        <v>7</v>
      </c>
      <c r="H3" s="69">
        <v>8</v>
      </c>
      <c r="I3" s="69">
        <v>9</v>
      </c>
      <c r="J3" s="69">
        <v>10</v>
      </c>
      <c r="K3" s="69">
        <v>11</v>
      </c>
      <c r="L3" s="69">
        <v>12</v>
      </c>
      <c r="M3" s="69">
        <v>13</v>
      </c>
      <c r="N3" s="69">
        <v>14</v>
      </c>
      <c r="O3" s="69">
        <v>15</v>
      </c>
      <c r="P3" s="69">
        <v>16</v>
      </c>
      <c r="Q3" s="69">
        <v>17</v>
      </c>
      <c r="R3" s="69">
        <v>18</v>
      </c>
      <c r="S3" s="69">
        <v>19</v>
      </c>
      <c r="T3" s="69">
        <v>20</v>
      </c>
      <c r="U3" s="69">
        <v>21</v>
      </c>
      <c r="V3" s="69">
        <v>22</v>
      </c>
      <c r="W3" s="69">
        <v>23</v>
      </c>
      <c r="X3" s="69">
        <v>24</v>
      </c>
      <c r="Y3" s="69">
        <v>25</v>
      </c>
      <c r="Z3" s="69">
        <v>26</v>
      </c>
      <c r="AA3" s="69">
        <v>27</v>
      </c>
      <c r="AB3" s="69">
        <v>28</v>
      </c>
      <c r="AC3" s="69">
        <v>29</v>
      </c>
      <c r="AD3" s="69">
        <v>30</v>
      </c>
      <c r="AE3" s="69">
        <v>31</v>
      </c>
      <c r="AF3" s="69">
        <v>32</v>
      </c>
      <c r="AG3" s="69">
        <v>33</v>
      </c>
    </row>
    <row r="4" spans="1:42" ht="17.649999999999999">
      <c r="A4" s="74" t="s">
        <v>135</v>
      </c>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42">
      <c r="A5" s="77" t="s">
        <v>42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row>
    <row r="6" spans="1:42" ht="14.85" customHeight="1">
      <c r="A6" s="79"/>
      <c r="B6" s="80" t="s">
        <v>37</v>
      </c>
      <c r="C6" s="81"/>
      <c r="D6" s="81"/>
      <c r="E6" s="81"/>
      <c r="F6" s="81"/>
      <c r="G6" s="81"/>
      <c r="H6" s="82"/>
      <c r="I6" s="83" t="s">
        <v>113</v>
      </c>
      <c r="J6" s="83"/>
      <c r="K6" s="83"/>
      <c r="L6" s="83"/>
      <c r="M6" s="83"/>
      <c r="N6" s="83"/>
      <c r="O6" s="84"/>
      <c r="P6" s="85" t="s">
        <v>114</v>
      </c>
      <c r="Q6" s="86"/>
      <c r="R6" s="86"/>
      <c r="S6" s="86"/>
      <c r="T6" s="86"/>
      <c r="U6" s="86"/>
      <c r="V6" s="87"/>
      <c r="W6" s="88" t="s">
        <v>131</v>
      </c>
      <c r="X6" s="89"/>
      <c r="Y6" s="89"/>
      <c r="Z6" s="89"/>
      <c r="AA6" s="89"/>
      <c r="AB6" s="89"/>
      <c r="AC6" s="90"/>
      <c r="AD6" s="249"/>
      <c r="AE6" s="91"/>
    </row>
    <row r="7" spans="1:42" ht="16.350000000000001" customHeight="1">
      <c r="A7" s="92"/>
      <c r="B7" s="93" t="s">
        <v>115</v>
      </c>
      <c r="C7" s="93" t="s">
        <v>116</v>
      </c>
      <c r="D7" s="93" t="s">
        <v>117</v>
      </c>
      <c r="E7" s="93" t="s">
        <v>118</v>
      </c>
      <c r="F7" s="93" t="s">
        <v>119</v>
      </c>
      <c r="G7" s="93" t="s">
        <v>120</v>
      </c>
      <c r="H7" s="93" t="s">
        <v>121</v>
      </c>
      <c r="I7" s="94" t="s">
        <v>122</v>
      </c>
      <c r="J7" s="94" t="s">
        <v>123</v>
      </c>
      <c r="K7" s="94" t="s">
        <v>124</v>
      </c>
      <c r="L7" s="94" t="s">
        <v>125</v>
      </c>
      <c r="M7" s="94" t="s">
        <v>126</v>
      </c>
      <c r="N7" s="94" t="s">
        <v>127</v>
      </c>
      <c r="O7" s="94" t="s">
        <v>128</v>
      </c>
      <c r="P7" s="95" t="s">
        <v>122</v>
      </c>
      <c r="Q7" s="95" t="s">
        <v>123</v>
      </c>
      <c r="R7" s="95" t="s">
        <v>124</v>
      </c>
      <c r="S7" s="95" t="s">
        <v>125</v>
      </c>
      <c r="T7" s="95" t="s">
        <v>126</v>
      </c>
      <c r="U7" s="95" t="s">
        <v>127</v>
      </c>
      <c r="V7" s="95" t="s">
        <v>128</v>
      </c>
      <c r="W7" s="96" t="s">
        <v>122</v>
      </c>
      <c r="X7" s="96" t="s">
        <v>123</v>
      </c>
      <c r="Y7" s="96" t="s">
        <v>124</v>
      </c>
      <c r="Z7" s="96" t="s">
        <v>125</v>
      </c>
      <c r="AA7" s="96" t="s">
        <v>126</v>
      </c>
      <c r="AB7" s="96" t="s">
        <v>127</v>
      </c>
      <c r="AC7" s="96" t="s">
        <v>128</v>
      </c>
      <c r="AD7" s="250"/>
      <c r="AE7" s="251" t="s">
        <v>131</v>
      </c>
      <c r="AF7" s="252" t="s">
        <v>132</v>
      </c>
      <c r="AG7" s="252" t="s">
        <v>133</v>
      </c>
    </row>
    <row r="8" spans="1:42" ht="13.9">
      <c r="A8" s="97" t="s">
        <v>134</v>
      </c>
      <c r="B8" s="97">
        <v>1</v>
      </c>
      <c r="C8" s="97">
        <v>2</v>
      </c>
      <c r="D8" s="97">
        <v>3</v>
      </c>
      <c r="E8" s="97">
        <v>4</v>
      </c>
      <c r="F8" s="97">
        <v>5</v>
      </c>
      <c r="G8" s="97">
        <v>6</v>
      </c>
      <c r="H8" s="98">
        <v>7</v>
      </c>
      <c r="I8" s="99">
        <v>8</v>
      </c>
      <c r="J8" s="99">
        <v>9</v>
      </c>
      <c r="K8" s="99">
        <v>10</v>
      </c>
      <c r="L8" s="99">
        <v>11</v>
      </c>
      <c r="M8" s="99">
        <v>12</v>
      </c>
      <c r="N8" s="99">
        <v>13</v>
      </c>
      <c r="O8" s="99">
        <v>14</v>
      </c>
      <c r="P8" s="100">
        <f>H8+1</f>
        <v>8</v>
      </c>
      <c r="Q8" s="100">
        <f t="shared" ref="Q8:V8" si="0">P8+1</f>
        <v>9</v>
      </c>
      <c r="R8" s="100">
        <f t="shared" si="0"/>
        <v>10</v>
      </c>
      <c r="S8" s="100">
        <f t="shared" si="0"/>
        <v>11</v>
      </c>
      <c r="T8" s="100">
        <f t="shared" si="0"/>
        <v>12</v>
      </c>
      <c r="U8" s="100">
        <f t="shared" si="0"/>
        <v>13</v>
      </c>
      <c r="V8" s="100">
        <f t="shared" si="0"/>
        <v>14</v>
      </c>
      <c r="W8" s="101">
        <v>8</v>
      </c>
      <c r="X8" s="101">
        <v>9</v>
      </c>
      <c r="Y8" s="101">
        <v>10</v>
      </c>
      <c r="Z8" s="101">
        <v>11</v>
      </c>
      <c r="AA8" s="101">
        <v>12</v>
      </c>
      <c r="AB8" s="101">
        <v>13</v>
      </c>
      <c r="AC8" s="101">
        <v>14</v>
      </c>
      <c r="AD8" s="102"/>
      <c r="AE8" s="251"/>
      <c r="AF8" s="253"/>
      <c r="AG8" s="253"/>
      <c r="AI8" s="216" t="s">
        <v>141</v>
      </c>
      <c r="AJ8" s="217"/>
      <c r="AK8" s="217"/>
      <c r="AL8" s="217"/>
      <c r="AM8" s="217"/>
      <c r="AN8" s="217"/>
      <c r="AO8" s="217"/>
      <c r="AP8" s="218"/>
    </row>
    <row r="9" spans="1:42">
      <c r="A9" s="103" t="s">
        <v>8</v>
      </c>
      <c r="B9" s="104">
        <v>15.666</v>
      </c>
      <c r="C9" s="104">
        <v>13.579000000000001</v>
      </c>
      <c r="D9" s="104">
        <v>14.434999999999999</v>
      </c>
      <c r="E9" s="104">
        <v>16.79</v>
      </c>
      <c r="F9" s="104">
        <v>15.509</v>
      </c>
      <c r="G9" s="104">
        <v>14.195</v>
      </c>
      <c r="H9" s="104">
        <v>20.798999999999999</v>
      </c>
      <c r="I9" s="105">
        <v>19.667000000000002</v>
      </c>
      <c r="J9" s="105">
        <v>23.379000000000001</v>
      </c>
      <c r="K9" s="105">
        <v>32.609000000000002</v>
      </c>
      <c r="L9" s="105">
        <v>36.442</v>
      </c>
      <c r="M9" s="105">
        <v>38.182000000000002</v>
      </c>
      <c r="N9" s="105">
        <v>38.015000000000001</v>
      </c>
      <c r="O9" s="105">
        <v>35.005000000000003</v>
      </c>
      <c r="P9" s="106">
        <f>IFERROR(INTERCEPT($B9:$H9, $B$8:$H$8) +SLOPE($B9:$H9, $B$8:$H$8)*P$8,"")</f>
        <v>18.382571428571431</v>
      </c>
      <c r="Q9" s="106">
        <f t="shared" ref="Q9:V24" si="1">IFERROR(INTERCEPT($B9:$H9, $B$8:$H$8) +SLOPE($B9:$H9, $B$8:$H$8)*Q$8,"")</f>
        <v>19.014892857142858</v>
      </c>
      <c r="R9" s="106">
        <f t="shared" si="1"/>
        <v>19.647214285714284</v>
      </c>
      <c r="S9" s="106">
        <f t="shared" si="1"/>
        <v>20.279535714285714</v>
      </c>
      <c r="T9" s="106">
        <f t="shared" si="1"/>
        <v>20.911857142857144</v>
      </c>
      <c r="U9" s="106">
        <f t="shared" si="1"/>
        <v>21.544178571428574</v>
      </c>
      <c r="V9" s="106">
        <f t="shared" si="1"/>
        <v>22.176500000000001</v>
      </c>
      <c r="W9" s="107" t="b">
        <f t="shared" ref="W9:AC12" si="2" xml:space="preserve"> IF($AE9="Company forecast",I9, IF($AE9="Ofwat forecast",P9))</f>
        <v>0</v>
      </c>
      <c r="X9" s="107" t="b">
        <f t="shared" si="2"/>
        <v>0</v>
      </c>
      <c r="Y9" s="107" t="b">
        <f t="shared" si="2"/>
        <v>0</v>
      </c>
      <c r="Z9" s="107" t="b">
        <f t="shared" si="2"/>
        <v>0</v>
      </c>
      <c r="AA9" s="107" t="b">
        <f t="shared" si="2"/>
        <v>0</v>
      </c>
      <c r="AB9" s="107" t="b">
        <f t="shared" si="2"/>
        <v>0</v>
      </c>
      <c r="AC9" s="107" t="b">
        <f t="shared" si="2"/>
        <v>0</v>
      </c>
      <c r="AD9" s="108"/>
      <c r="AE9" s="110" t="s">
        <v>136</v>
      </c>
      <c r="AF9" s="110" t="s">
        <v>136</v>
      </c>
      <c r="AG9" s="111" t="str">
        <f t="shared" ref="AG9:AG28" si="3" xml:space="preserve"> IF(AE9=AF9, "OK", "error")</f>
        <v>OK</v>
      </c>
      <c r="AI9" s="237" t="s">
        <v>142</v>
      </c>
      <c r="AJ9" s="238"/>
      <c r="AK9" s="238"/>
      <c r="AL9" s="238"/>
      <c r="AM9" s="238"/>
      <c r="AN9" s="238"/>
      <c r="AO9" s="238"/>
      <c r="AP9" s="239"/>
    </row>
    <row r="10" spans="1:42">
      <c r="A10" s="103" t="s">
        <v>9</v>
      </c>
      <c r="B10" s="104">
        <v>8.3140000000000001</v>
      </c>
      <c r="C10" s="104">
        <v>7.9050000000000002</v>
      </c>
      <c r="D10" s="104">
        <v>9.5860000000000003</v>
      </c>
      <c r="E10" s="104">
        <v>12.541</v>
      </c>
      <c r="F10" s="104">
        <v>12.571</v>
      </c>
      <c r="G10" s="104">
        <v>13.279</v>
      </c>
      <c r="H10" s="104">
        <v>13.616</v>
      </c>
      <c r="I10" s="105">
        <v>17.256</v>
      </c>
      <c r="J10" s="105">
        <v>17.919</v>
      </c>
      <c r="K10" s="105">
        <v>18.469000000000001</v>
      </c>
      <c r="L10" s="105">
        <v>18.257000000000001</v>
      </c>
      <c r="M10" s="105">
        <v>17.712</v>
      </c>
      <c r="N10" s="105">
        <v>17.074999999999999</v>
      </c>
      <c r="O10" s="105">
        <v>17.242999999999999</v>
      </c>
      <c r="P10" s="106">
        <f t="shared" ref="P10:V25" si="4">IFERROR(INTERCEPT($B10:$H10, $B$8:$H$8) +SLOPE($B10:$H10, $B$8:$H$8)*P$8,"")</f>
        <v>15.350142857142856</v>
      </c>
      <c r="Q10" s="106">
        <f t="shared" si="1"/>
        <v>16.40867857142857</v>
      </c>
      <c r="R10" s="106">
        <f t="shared" si="1"/>
        <v>17.467214285714284</v>
      </c>
      <c r="S10" s="106">
        <f t="shared" si="1"/>
        <v>18.525749999999999</v>
      </c>
      <c r="T10" s="106">
        <f t="shared" si="1"/>
        <v>19.584285714285713</v>
      </c>
      <c r="U10" s="106">
        <f t="shared" si="1"/>
        <v>20.642821428571427</v>
      </c>
      <c r="V10" s="106">
        <f t="shared" si="1"/>
        <v>21.701357142857141</v>
      </c>
      <c r="W10" s="107" t="b">
        <f t="shared" si="2"/>
        <v>0</v>
      </c>
      <c r="X10" s="107" t="b">
        <f t="shared" si="2"/>
        <v>0</v>
      </c>
      <c r="Y10" s="107" t="b">
        <f t="shared" si="2"/>
        <v>0</v>
      </c>
      <c r="Z10" s="107" t="b">
        <f t="shared" si="2"/>
        <v>0</v>
      </c>
      <c r="AA10" s="107" t="b">
        <f t="shared" si="2"/>
        <v>0</v>
      </c>
      <c r="AB10" s="107" t="b">
        <f t="shared" si="2"/>
        <v>0</v>
      </c>
      <c r="AC10" s="107" t="b">
        <f t="shared" si="2"/>
        <v>0</v>
      </c>
      <c r="AD10" s="108"/>
      <c r="AE10" s="110" t="s">
        <v>136</v>
      </c>
      <c r="AF10" s="110" t="s">
        <v>136</v>
      </c>
      <c r="AG10" s="111" t="str">
        <f t="shared" si="3"/>
        <v>OK</v>
      </c>
      <c r="AI10" s="237"/>
      <c r="AJ10" s="238"/>
      <c r="AK10" s="238"/>
      <c r="AL10" s="238"/>
      <c r="AM10" s="238"/>
      <c r="AN10" s="238"/>
      <c r="AO10" s="238"/>
      <c r="AP10" s="239"/>
    </row>
    <row r="11" spans="1:42">
      <c r="A11" s="103" t="s">
        <v>10</v>
      </c>
      <c r="B11" s="104">
        <v>11.907999999999999</v>
      </c>
      <c r="C11" s="104">
        <v>11.56</v>
      </c>
      <c r="D11" s="104">
        <v>12.677</v>
      </c>
      <c r="E11" s="104">
        <v>15.451000000000001</v>
      </c>
      <c r="F11" s="104">
        <v>19.273</v>
      </c>
      <c r="G11" s="104">
        <v>19.946999999999999</v>
      </c>
      <c r="H11" s="104">
        <v>22.478999999999999</v>
      </c>
      <c r="I11" s="105">
        <v>22.138000000000002</v>
      </c>
      <c r="J11" s="105">
        <v>23.233000000000001</v>
      </c>
      <c r="K11" s="105">
        <v>24.327999999999999</v>
      </c>
      <c r="L11" s="105">
        <v>25.423999999999999</v>
      </c>
      <c r="M11" s="105">
        <v>26.518999999999998</v>
      </c>
      <c r="N11" s="105">
        <v>27.614000000000001</v>
      </c>
      <c r="O11" s="105">
        <v>28.709</v>
      </c>
      <c r="P11" s="106">
        <f t="shared" si="4"/>
        <v>24.053999999999998</v>
      </c>
      <c r="Q11" s="106">
        <f t="shared" si="1"/>
        <v>26.021249999999998</v>
      </c>
      <c r="R11" s="106">
        <f t="shared" si="1"/>
        <v>27.988499999999998</v>
      </c>
      <c r="S11" s="106">
        <f t="shared" si="1"/>
        <v>29.955749999999998</v>
      </c>
      <c r="T11" s="106">
        <f t="shared" si="1"/>
        <v>31.922999999999998</v>
      </c>
      <c r="U11" s="106">
        <f t="shared" si="1"/>
        <v>33.890249999999995</v>
      </c>
      <c r="V11" s="106">
        <f t="shared" si="1"/>
        <v>35.857500000000002</v>
      </c>
      <c r="W11" s="107" t="b">
        <f t="shared" si="2"/>
        <v>0</v>
      </c>
      <c r="X11" s="107" t="b">
        <f t="shared" si="2"/>
        <v>0</v>
      </c>
      <c r="Y11" s="107" t="b">
        <f t="shared" si="2"/>
        <v>0</v>
      </c>
      <c r="Z11" s="107" t="b">
        <f t="shared" si="2"/>
        <v>0</v>
      </c>
      <c r="AA11" s="107" t="b">
        <f t="shared" si="2"/>
        <v>0</v>
      </c>
      <c r="AB11" s="107" t="b">
        <f t="shared" si="2"/>
        <v>0</v>
      </c>
      <c r="AC11" s="107" t="b">
        <f t="shared" si="2"/>
        <v>0</v>
      </c>
      <c r="AD11" s="108"/>
      <c r="AE11" s="110" t="s">
        <v>136</v>
      </c>
      <c r="AF11" s="110" t="s">
        <v>136</v>
      </c>
      <c r="AG11" s="111" t="str">
        <f t="shared" si="3"/>
        <v>OK</v>
      </c>
      <c r="AI11" s="237"/>
      <c r="AJ11" s="238"/>
      <c r="AK11" s="238"/>
      <c r="AL11" s="238"/>
      <c r="AM11" s="238"/>
      <c r="AN11" s="238"/>
      <c r="AO11" s="238"/>
      <c r="AP11" s="239"/>
    </row>
    <row r="12" spans="1:42">
      <c r="A12" s="103" t="s">
        <v>11</v>
      </c>
      <c r="B12" s="104">
        <v>6.1760000000000002</v>
      </c>
      <c r="C12" s="104">
        <v>5.2069999999999999</v>
      </c>
      <c r="D12" s="104">
        <v>5.7619999999999996</v>
      </c>
      <c r="E12" s="104">
        <v>7.3280000000000003</v>
      </c>
      <c r="F12" s="104">
        <v>6.7290000000000001</v>
      </c>
      <c r="G12" s="104">
        <v>6.42</v>
      </c>
      <c r="H12" s="104">
        <v>7.2610000000000001</v>
      </c>
      <c r="I12" s="105">
        <v>7.3280000000000003</v>
      </c>
      <c r="J12" s="105">
        <v>7.0449999999999999</v>
      </c>
      <c r="K12" s="105">
        <v>13.175000000000001</v>
      </c>
      <c r="L12" s="105">
        <v>12.569000000000001</v>
      </c>
      <c r="M12" s="105">
        <v>12.226000000000001</v>
      </c>
      <c r="N12" s="105">
        <v>12.119</v>
      </c>
      <c r="O12" s="105">
        <v>11.502000000000001</v>
      </c>
      <c r="P12" s="106">
        <f t="shared" si="4"/>
        <v>7.3615714285714287</v>
      </c>
      <c r="Q12" s="106">
        <f t="shared" si="1"/>
        <v>7.5990000000000002</v>
      </c>
      <c r="R12" s="106">
        <f t="shared" si="1"/>
        <v>7.8364285714285717</v>
      </c>
      <c r="S12" s="106">
        <f t="shared" si="1"/>
        <v>8.0738571428571433</v>
      </c>
      <c r="T12" s="106">
        <f t="shared" si="1"/>
        <v>8.3112857142857148</v>
      </c>
      <c r="U12" s="106">
        <f t="shared" si="1"/>
        <v>8.5487142857142864</v>
      </c>
      <c r="V12" s="106">
        <f t="shared" si="1"/>
        <v>8.7861428571428579</v>
      </c>
      <c r="W12" s="107" t="b">
        <f t="shared" si="2"/>
        <v>0</v>
      </c>
      <c r="X12" s="107" t="b">
        <f t="shared" si="2"/>
        <v>0</v>
      </c>
      <c r="Y12" s="107" t="b">
        <f t="shared" si="2"/>
        <v>0</v>
      </c>
      <c r="Z12" s="107" t="b">
        <f t="shared" si="2"/>
        <v>0</v>
      </c>
      <c r="AA12" s="107" t="b">
        <f t="shared" si="2"/>
        <v>0</v>
      </c>
      <c r="AB12" s="107" t="b">
        <f t="shared" si="2"/>
        <v>0</v>
      </c>
      <c r="AC12" s="107" t="b">
        <f t="shared" si="2"/>
        <v>0</v>
      </c>
      <c r="AD12" s="108"/>
      <c r="AE12" s="110" t="s">
        <v>136</v>
      </c>
      <c r="AF12" s="110" t="s">
        <v>136</v>
      </c>
      <c r="AG12" s="111" t="str">
        <f t="shared" si="3"/>
        <v>OK</v>
      </c>
      <c r="AI12" s="237"/>
      <c r="AJ12" s="238"/>
      <c r="AK12" s="238"/>
      <c r="AL12" s="238"/>
      <c r="AM12" s="238"/>
      <c r="AN12" s="238"/>
      <c r="AO12" s="238"/>
      <c r="AP12" s="239"/>
    </row>
    <row r="13" spans="1:42">
      <c r="A13" s="103" t="s">
        <v>12</v>
      </c>
      <c r="B13" s="104">
        <v>15.095000000000001</v>
      </c>
      <c r="C13" s="104">
        <v>12.38</v>
      </c>
      <c r="D13" s="104">
        <v>14.577999999999999</v>
      </c>
      <c r="E13" s="104">
        <v>17.47</v>
      </c>
      <c r="F13" s="104">
        <v>19.824999999999999</v>
      </c>
      <c r="G13" s="104">
        <v>18.815000000000001</v>
      </c>
      <c r="H13" s="104">
        <v>22.125999999999998</v>
      </c>
      <c r="I13" s="105">
        <v>0</v>
      </c>
      <c r="J13" s="105">
        <v>0</v>
      </c>
      <c r="K13" s="105">
        <v>0</v>
      </c>
      <c r="L13" s="105">
        <v>0</v>
      </c>
      <c r="M13" s="105">
        <v>0</v>
      </c>
      <c r="N13" s="105">
        <v>0</v>
      </c>
      <c r="O13" s="105">
        <v>0</v>
      </c>
      <c r="P13" s="112">
        <v>0</v>
      </c>
      <c r="Q13" s="112">
        <v>0</v>
      </c>
      <c r="R13" s="112">
        <v>0</v>
      </c>
      <c r="S13" s="112">
        <v>0</v>
      </c>
      <c r="T13" s="112">
        <v>0</v>
      </c>
      <c r="U13" s="112">
        <v>0</v>
      </c>
      <c r="V13" s="112">
        <v>0</v>
      </c>
      <c r="W13" s="113">
        <v>0</v>
      </c>
      <c r="X13" s="113">
        <v>0</v>
      </c>
      <c r="Y13" s="113">
        <v>0</v>
      </c>
      <c r="Z13" s="113">
        <v>0</v>
      </c>
      <c r="AA13" s="113">
        <v>0</v>
      </c>
      <c r="AB13" s="113">
        <v>0</v>
      </c>
      <c r="AC13" s="113">
        <v>0</v>
      </c>
      <c r="AD13" s="108"/>
      <c r="AE13" s="110" t="s">
        <v>136</v>
      </c>
      <c r="AF13" s="110" t="s">
        <v>136</v>
      </c>
      <c r="AG13" s="111" t="str">
        <f t="shared" si="3"/>
        <v>OK</v>
      </c>
      <c r="AI13" s="237"/>
      <c r="AJ13" s="238"/>
      <c r="AK13" s="238"/>
      <c r="AL13" s="238"/>
      <c r="AM13" s="238"/>
      <c r="AN13" s="238"/>
      <c r="AO13" s="238"/>
      <c r="AP13" s="239"/>
    </row>
    <row r="14" spans="1:42">
      <c r="A14" s="114" t="s">
        <v>14</v>
      </c>
      <c r="B14" s="104">
        <v>6.891</v>
      </c>
      <c r="C14" s="104">
        <v>5.6499999999999995</v>
      </c>
      <c r="D14" s="104">
        <v>6.564578313253012</v>
      </c>
      <c r="E14" s="104">
        <v>8.1484101964452762</v>
      </c>
      <c r="F14" s="104">
        <v>8.1650000000000009</v>
      </c>
      <c r="G14" s="104">
        <v>8.7789999999999999</v>
      </c>
      <c r="H14" s="104">
        <v>9.2219999999999995</v>
      </c>
      <c r="I14" s="105">
        <v>9.2430000000000003</v>
      </c>
      <c r="J14" s="105">
        <v>9.0289999999999999</v>
      </c>
      <c r="K14" s="105">
        <v>8.8350000000000009</v>
      </c>
      <c r="L14" s="105">
        <v>8.9369999999999994</v>
      </c>
      <c r="M14" s="105">
        <v>8.67</v>
      </c>
      <c r="N14" s="105">
        <v>8.8350000000000009</v>
      </c>
      <c r="O14" s="105">
        <v>8.6370000000000005</v>
      </c>
      <c r="P14" s="106">
        <f t="shared" si="4"/>
        <v>9.7530585994921832</v>
      </c>
      <c r="Q14" s="106">
        <f t="shared" si="1"/>
        <v>10.283466516876004</v>
      </c>
      <c r="R14" s="106">
        <f t="shared" si="1"/>
        <v>10.813874434259825</v>
      </c>
      <c r="S14" s="106">
        <f t="shared" si="1"/>
        <v>11.344282351643646</v>
      </c>
      <c r="T14" s="106">
        <f t="shared" si="1"/>
        <v>11.874690269027468</v>
      </c>
      <c r="U14" s="106">
        <f t="shared" si="1"/>
        <v>12.405098186411287</v>
      </c>
      <c r="V14" s="106">
        <f t="shared" si="1"/>
        <v>12.93550610379511</v>
      </c>
      <c r="W14" s="107" t="b">
        <f t="shared" ref="W14:AC20" si="5" xml:space="preserve"> IF($AE14="Company forecast",I14, IF($AE14="Ofwat forecast",P14))</f>
        <v>0</v>
      </c>
      <c r="X14" s="107" t="b">
        <f t="shared" si="5"/>
        <v>0</v>
      </c>
      <c r="Y14" s="107" t="b">
        <f t="shared" si="5"/>
        <v>0</v>
      </c>
      <c r="Z14" s="107" t="b">
        <f t="shared" si="5"/>
        <v>0</v>
      </c>
      <c r="AA14" s="107" t="b">
        <f t="shared" si="5"/>
        <v>0</v>
      </c>
      <c r="AB14" s="107" t="b">
        <f t="shared" si="5"/>
        <v>0</v>
      </c>
      <c r="AC14" s="107" t="b">
        <f t="shared" si="5"/>
        <v>0</v>
      </c>
      <c r="AD14" s="108"/>
      <c r="AE14" s="110" t="s">
        <v>136</v>
      </c>
      <c r="AF14" s="110" t="s">
        <v>136</v>
      </c>
      <c r="AG14" s="111" t="str">
        <f t="shared" si="3"/>
        <v>OK</v>
      </c>
      <c r="AI14" s="237"/>
      <c r="AJ14" s="238"/>
      <c r="AK14" s="238"/>
      <c r="AL14" s="238"/>
      <c r="AM14" s="238"/>
      <c r="AN14" s="238"/>
      <c r="AO14" s="238"/>
      <c r="AP14" s="239"/>
    </row>
    <row r="15" spans="1:42">
      <c r="A15" s="103" t="s">
        <v>15</v>
      </c>
      <c r="B15" s="104">
        <v>24.26</v>
      </c>
      <c r="C15" s="104">
        <v>24.358000000000001</v>
      </c>
      <c r="D15" s="104">
        <v>20.678000000000001</v>
      </c>
      <c r="E15" s="104">
        <v>28.757999999999999</v>
      </c>
      <c r="F15" s="104">
        <v>33.01</v>
      </c>
      <c r="G15" s="104">
        <v>39.786999999999999</v>
      </c>
      <c r="H15" s="104">
        <v>36.027999999999999</v>
      </c>
      <c r="I15" s="105">
        <v>44.924999999999997</v>
      </c>
      <c r="J15" s="105">
        <v>46.661999999999999</v>
      </c>
      <c r="K15" s="105">
        <v>45.804000000000002</v>
      </c>
      <c r="L15" s="105">
        <v>43.238999999999997</v>
      </c>
      <c r="M15" s="105">
        <v>40.055999999999997</v>
      </c>
      <c r="N15" s="105">
        <v>38.868000000000002</v>
      </c>
      <c r="O15" s="105">
        <v>38.069000000000003</v>
      </c>
      <c r="P15" s="106">
        <f t="shared" si="4"/>
        <v>40.767571428571429</v>
      </c>
      <c r="Q15" s="106">
        <f t="shared" si="1"/>
        <v>43.570928571428567</v>
      </c>
      <c r="R15" s="106">
        <f t="shared" si="1"/>
        <v>46.374285714285705</v>
      </c>
      <c r="S15" s="106">
        <f t="shared" si="1"/>
        <v>49.177642857142857</v>
      </c>
      <c r="T15" s="106">
        <f t="shared" si="1"/>
        <v>51.980999999999995</v>
      </c>
      <c r="U15" s="106">
        <f t="shared" si="1"/>
        <v>54.784357142857132</v>
      </c>
      <c r="V15" s="106">
        <f t="shared" si="1"/>
        <v>57.587714285714284</v>
      </c>
      <c r="W15" s="107" t="b">
        <f t="shared" si="5"/>
        <v>0</v>
      </c>
      <c r="X15" s="107" t="b">
        <f t="shared" si="5"/>
        <v>0</v>
      </c>
      <c r="Y15" s="107" t="b">
        <f t="shared" si="5"/>
        <v>0</v>
      </c>
      <c r="Z15" s="107" t="b">
        <f t="shared" si="5"/>
        <v>0</v>
      </c>
      <c r="AA15" s="107" t="b">
        <f t="shared" si="5"/>
        <v>0</v>
      </c>
      <c r="AB15" s="107" t="b">
        <f t="shared" si="5"/>
        <v>0</v>
      </c>
      <c r="AC15" s="107" t="b">
        <f t="shared" si="5"/>
        <v>0</v>
      </c>
      <c r="AD15" s="108"/>
      <c r="AE15" s="110" t="s">
        <v>136</v>
      </c>
      <c r="AF15" s="110" t="s">
        <v>136</v>
      </c>
      <c r="AG15" s="111" t="str">
        <f t="shared" si="3"/>
        <v>OK</v>
      </c>
      <c r="AI15" s="237"/>
      <c r="AJ15" s="238"/>
      <c r="AK15" s="238"/>
      <c r="AL15" s="238"/>
      <c r="AM15" s="238"/>
      <c r="AN15" s="238"/>
      <c r="AO15" s="238"/>
      <c r="AP15" s="239"/>
    </row>
    <row r="16" spans="1:42">
      <c r="A16" s="103" t="s">
        <v>16</v>
      </c>
      <c r="B16" s="104">
        <v>6.9560000000000004</v>
      </c>
      <c r="C16" s="104">
        <v>4.8280000000000003</v>
      </c>
      <c r="D16" s="104">
        <v>5.9219999999999997</v>
      </c>
      <c r="E16" s="104">
        <v>6.7830000000000004</v>
      </c>
      <c r="F16" s="104">
        <v>7.24</v>
      </c>
      <c r="G16" s="104">
        <v>6.7080000000000002</v>
      </c>
      <c r="H16" s="104">
        <v>6.6369999999999996</v>
      </c>
      <c r="I16" s="105">
        <v>6.8760000000000003</v>
      </c>
      <c r="J16" s="105">
        <v>8.3030000000000008</v>
      </c>
      <c r="K16" s="105">
        <v>8.516</v>
      </c>
      <c r="L16" s="105">
        <v>8.6620000000000008</v>
      </c>
      <c r="M16" s="105">
        <v>8.8040000000000003</v>
      </c>
      <c r="N16" s="105">
        <v>8.8409999999999993</v>
      </c>
      <c r="O16" s="105">
        <v>8.8740000000000006</v>
      </c>
      <c r="P16" s="106">
        <f t="shared" si="4"/>
        <v>7.0278571428571421</v>
      </c>
      <c r="Q16" s="106">
        <f t="shared" si="1"/>
        <v>7.1750357142857135</v>
      </c>
      <c r="R16" s="106">
        <f t="shared" si="1"/>
        <v>7.3222142857142849</v>
      </c>
      <c r="S16" s="106">
        <f t="shared" si="1"/>
        <v>7.4693928571428563</v>
      </c>
      <c r="T16" s="106">
        <f t="shared" si="1"/>
        <v>7.6165714285714277</v>
      </c>
      <c r="U16" s="106">
        <f t="shared" si="1"/>
        <v>7.7637499999999982</v>
      </c>
      <c r="V16" s="106">
        <f t="shared" si="1"/>
        <v>7.9109285714285704</v>
      </c>
      <c r="W16" s="107" t="b">
        <f t="shared" si="5"/>
        <v>0</v>
      </c>
      <c r="X16" s="107" t="b">
        <f t="shared" si="5"/>
        <v>0</v>
      </c>
      <c r="Y16" s="107" t="b">
        <f t="shared" si="5"/>
        <v>0</v>
      </c>
      <c r="Z16" s="107" t="b">
        <f t="shared" si="5"/>
        <v>0</v>
      </c>
      <c r="AA16" s="107" t="b">
        <f t="shared" si="5"/>
        <v>0</v>
      </c>
      <c r="AB16" s="107" t="b">
        <f t="shared" si="5"/>
        <v>0</v>
      </c>
      <c r="AC16" s="107" t="b">
        <f t="shared" si="5"/>
        <v>0</v>
      </c>
      <c r="AD16" s="108"/>
      <c r="AE16" s="110" t="s">
        <v>136</v>
      </c>
      <c r="AF16" s="110" t="s">
        <v>136</v>
      </c>
      <c r="AG16" s="111" t="str">
        <f t="shared" si="3"/>
        <v>OK</v>
      </c>
      <c r="AI16" s="237"/>
      <c r="AJ16" s="238"/>
      <c r="AK16" s="238"/>
      <c r="AL16" s="238"/>
      <c r="AM16" s="238"/>
      <c r="AN16" s="238"/>
      <c r="AO16" s="238"/>
      <c r="AP16" s="239"/>
    </row>
    <row r="17" spans="1:42">
      <c r="A17" s="103" t="s">
        <v>17</v>
      </c>
      <c r="B17" s="104">
        <v>5.2510000000000003</v>
      </c>
      <c r="C17" s="104">
        <v>4.5309999999999997</v>
      </c>
      <c r="D17" s="104">
        <v>4.7439999999999998</v>
      </c>
      <c r="E17" s="104">
        <v>5.1130000000000004</v>
      </c>
      <c r="F17" s="104">
        <v>4.9980000000000002</v>
      </c>
      <c r="G17" s="104">
        <v>5.2590000000000003</v>
      </c>
      <c r="H17" s="104">
        <v>4.9109999999999996</v>
      </c>
      <c r="I17" s="105">
        <v>7.1289999999999996</v>
      </c>
      <c r="J17" s="105">
        <v>7.0449999999999999</v>
      </c>
      <c r="K17" s="105">
        <v>6.9939999999999998</v>
      </c>
      <c r="L17" s="105">
        <v>6.5110000000000001</v>
      </c>
      <c r="M17" s="105">
        <v>6.2439999999999998</v>
      </c>
      <c r="N17" s="105">
        <v>6.0750000000000002</v>
      </c>
      <c r="O17" s="105">
        <v>5.8029999999999999</v>
      </c>
      <c r="P17" s="106">
        <f t="shared" si="4"/>
        <v>5.0709999999999997</v>
      </c>
      <c r="Q17" s="106">
        <f t="shared" si="1"/>
        <v>5.0956428571428569</v>
      </c>
      <c r="R17" s="106">
        <f t="shared" si="1"/>
        <v>5.1202857142857141</v>
      </c>
      <c r="S17" s="106">
        <f t="shared" si="1"/>
        <v>5.1449285714285713</v>
      </c>
      <c r="T17" s="106">
        <f t="shared" si="1"/>
        <v>5.1695714285714285</v>
      </c>
      <c r="U17" s="106">
        <f t="shared" si="1"/>
        <v>5.1942142857142857</v>
      </c>
      <c r="V17" s="106">
        <f t="shared" si="1"/>
        <v>5.2188571428571429</v>
      </c>
      <c r="W17" s="107" t="b">
        <f t="shared" si="5"/>
        <v>0</v>
      </c>
      <c r="X17" s="107" t="b">
        <f t="shared" si="5"/>
        <v>0</v>
      </c>
      <c r="Y17" s="107" t="b">
        <f t="shared" si="5"/>
        <v>0</v>
      </c>
      <c r="Z17" s="107" t="b">
        <f t="shared" si="5"/>
        <v>0</v>
      </c>
      <c r="AA17" s="107" t="b">
        <f t="shared" si="5"/>
        <v>0</v>
      </c>
      <c r="AB17" s="107" t="b">
        <f t="shared" si="5"/>
        <v>0</v>
      </c>
      <c r="AC17" s="107" t="b">
        <f t="shared" si="5"/>
        <v>0</v>
      </c>
      <c r="AD17" s="108"/>
      <c r="AE17" s="110" t="s">
        <v>136</v>
      </c>
      <c r="AF17" s="110" t="s">
        <v>136</v>
      </c>
      <c r="AG17" s="111" t="str">
        <f t="shared" si="3"/>
        <v>OK</v>
      </c>
      <c r="AI17" s="237"/>
      <c r="AJ17" s="238"/>
      <c r="AK17" s="238"/>
      <c r="AL17" s="238"/>
      <c r="AM17" s="238"/>
      <c r="AN17" s="238"/>
      <c r="AO17" s="238"/>
      <c r="AP17" s="239"/>
    </row>
    <row r="18" spans="1:42">
      <c r="A18" s="103" t="s">
        <v>18</v>
      </c>
      <c r="B18" s="104">
        <v>11.032999999999999</v>
      </c>
      <c r="C18" s="104">
        <v>8.3360000000000003</v>
      </c>
      <c r="D18" s="104">
        <v>9.7490000000000006</v>
      </c>
      <c r="E18" s="104">
        <v>12.776999999999999</v>
      </c>
      <c r="F18" s="104">
        <v>12.909000000000001</v>
      </c>
      <c r="G18" s="104">
        <v>14.391999999999999</v>
      </c>
      <c r="H18" s="104">
        <v>13.882</v>
      </c>
      <c r="I18" s="105">
        <v>23.780110674924401</v>
      </c>
      <c r="J18" s="105">
        <v>23.1280709844327</v>
      </c>
      <c r="K18" s="105">
        <v>22.804195086403301</v>
      </c>
      <c r="L18" s="105">
        <v>20.624959703924599</v>
      </c>
      <c r="M18" s="105">
        <v>20.7255543195127</v>
      </c>
      <c r="N18" s="105">
        <v>20.6895303787974</v>
      </c>
      <c r="O18" s="105">
        <v>20.7322150254228</v>
      </c>
      <c r="P18" s="106">
        <f t="shared" si="4"/>
        <v>15.271000000000001</v>
      </c>
      <c r="Q18" s="106">
        <f t="shared" si="1"/>
        <v>16.121678571428571</v>
      </c>
      <c r="R18" s="106">
        <f t="shared" si="1"/>
        <v>16.972357142857142</v>
      </c>
      <c r="S18" s="106">
        <f t="shared" si="1"/>
        <v>17.823035714285716</v>
      </c>
      <c r="T18" s="106">
        <f t="shared" si="1"/>
        <v>18.673714285714283</v>
      </c>
      <c r="U18" s="106">
        <f t="shared" si="1"/>
        <v>19.524392857142857</v>
      </c>
      <c r="V18" s="106">
        <f t="shared" si="1"/>
        <v>20.375071428571427</v>
      </c>
      <c r="W18" s="107" t="b">
        <f t="shared" si="5"/>
        <v>0</v>
      </c>
      <c r="X18" s="107" t="b">
        <f t="shared" si="5"/>
        <v>0</v>
      </c>
      <c r="Y18" s="107" t="b">
        <f t="shared" si="5"/>
        <v>0</v>
      </c>
      <c r="Z18" s="107" t="b">
        <f t="shared" si="5"/>
        <v>0</v>
      </c>
      <c r="AA18" s="107" t="b">
        <f t="shared" si="5"/>
        <v>0</v>
      </c>
      <c r="AB18" s="107" t="b">
        <f t="shared" si="5"/>
        <v>0</v>
      </c>
      <c r="AC18" s="107" t="b">
        <f t="shared" si="5"/>
        <v>0</v>
      </c>
      <c r="AD18" s="108"/>
      <c r="AE18" s="110" t="s">
        <v>136</v>
      </c>
      <c r="AF18" s="110" t="s">
        <v>136</v>
      </c>
      <c r="AG18" s="111" t="str">
        <f t="shared" si="3"/>
        <v>OK</v>
      </c>
      <c r="AI18" s="240"/>
      <c r="AJ18" s="241"/>
      <c r="AK18" s="241"/>
      <c r="AL18" s="241"/>
      <c r="AM18" s="241"/>
      <c r="AN18" s="241"/>
      <c r="AO18" s="241"/>
      <c r="AP18" s="242"/>
    </row>
    <row r="19" spans="1:42">
      <c r="A19" s="103" t="s">
        <v>19</v>
      </c>
      <c r="B19" s="104">
        <v>10.163</v>
      </c>
      <c r="C19" s="104">
        <v>9.2780000000000005</v>
      </c>
      <c r="D19" s="104">
        <v>10.534000000000001</v>
      </c>
      <c r="E19" s="104">
        <v>10.545999999999999</v>
      </c>
      <c r="F19" s="104">
        <v>12.55</v>
      </c>
      <c r="G19" s="104">
        <v>24.036999999999999</v>
      </c>
      <c r="H19" s="104">
        <v>13.946999999999999</v>
      </c>
      <c r="I19" s="105">
        <v>16.7237679700538</v>
      </c>
      <c r="J19" s="105">
        <v>16.7237679700538</v>
      </c>
      <c r="K19" s="105">
        <v>23.428767970053698</v>
      </c>
      <c r="L19" s="105">
        <v>16.7237679700538</v>
      </c>
      <c r="M19" s="105">
        <v>16.7237679700538</v>
      </c>
      <c r="N19" s="105">
        <v>16.7237679700543</v>
      </c>
      <c r="O19" s="105">
        <v>16.723767970053601</v>
      </c>
      <c r="P19" s="106">
        <f t="shared" si="4"/>
        <v>19.134428571428572</v>
      </c>
      <c r="Q19" s="106">
        <f t="shared" si="1"/>
        <v>20.666071428571431</v>
      </c>
      <c r="R19" s="106">
        <f t="shared" si="1"/>
        <v>22.197714285714287</v>
      </c>
      <c r="S19" s="106">
        <f t="shared" si="1"/>
        <v>23.729357142857143</v>
      </c>
      <c r="T19" s="106">
        <f t="shared" si="1"/>
        <v>25.261000000000003</v>
      </c>
      <c r="U19" s="106">
        <f t="shared" si="1"/>
        <v>26.792642857142859</v>
      </c>
      <c r="V19" s="106">
        <f t="shared" si="1"/>
        <v>28.324285714285715</v>
      </c>
      <c r="W19" s="107" t="b">
        <f t="shared" si="5"/>
        <v>0</v>
      </c>
      <c r="X19" s="107" t="b">
        <f t="shared" si="5"/>
        <v>0</v>
      </c>
      <c r="Y19" s="107" t="b">
        <f t="shared" si="5"/>
        <v>0</v>
      </c>
      <c r="Z19" s="107" t="b">
        <f t="shared" si="5"/>
        <v>0</v>
      </c>
      <c r="AA19" s="107" t="b">
        <f t="shared" si="5"/>
        <v>0</v>
      </c>
      <c r="AB19" s="107" t="b">
        <f t="shared" si="5"/>
        <v>0</v>
      </c>
      <c r="AC19" s="107" t="b">
        <f t="shared" si="5"/>
        <v>0</v>
      </c>
      <c r="AD19" s="108"/>
      <c r="AE19" s="110" t="s">
        <v>136</v>
      </c>
      <c r="AF19" s="110" t="s">
        <v>136</v>
      </c>
      <c r="AG19" s="111" t="str">
        <f t="shared" si="3"/>
        <v>OK</v>
      </c>
    </row>
    <row r="20" spans="1:42">
      <c r="A20" s="103" t="s">
        <v>20</v>
      </c>
      <c r="B20" s="104">
        <v>3.42</v>
      </c>
      <c r="C20" s="104">
        <v>2.9129999999999998</v>
      </c>
      <c r="D20" s="104">
        <v>3.0470000000000002</v>
      </c>
      <c r="E20" s="104">
        <v>3.4689999999999999</v>
      </c>
      <c r="F20" s="104">
        <v>2.117</v>
      </c>
      <c r="G20" s="104">
        <v>4.0960000000000001</v>
      </c>
      <c r="H20" s="104">
        <v>4.9119999999999999</v>
      </c>
      <c r="I20" s="105">
        <v>5.6340000000000003</v>
      </c>
      <c r="J20" s="105">
        <v>5.8079999999999998</v>
      </c>
      <c r="K20" s="105">
        <v>6.3929999999999998</v>
      </c>
      <c r="L20" s="105">
        <v>5.5030000000000001</v>
      </c>
      <c r="M20" s="105">
        <v>5.4340000000000002</v>
      </c>
      <c r="N20" s="105">
        <v>5.3209999999999997</v>
      </c>
      <c r="O20" s="105">
        <v>5.2030000000000003</v>
      </c>
      <c r="P20" s="106">
        <f t="shared" si="4"/>
        <v>4.2694285714285716</v>
      </c>
      <c r="Q20" s="106">
        <f t="shared" si="1"/>
        <v>4.4805714285714284</v>
      </c>
      <c r="R20" s="106">
        <f t="shared" si="1"/>
        <v>4.6917142857142853</v>
      </c>
      <c r="S20" s="106">
        <f t="shared" si="1"/>
        <v>4.902857142857143</v>
      </c>
      <c r="T20" s="106">
        <f t="shared" si="1"/>
        <v>5.1139999999999999</v>
      </c>
      <c r="U20" s="106">
        <f t="shared" si="1"/>
        <v>5.3251428571428576</v>
      </c>
      <c r="V20" s="106">
        <f t="shared" si="1"/>
        <v>5.5362857142857145</v>
      </c>
      <c r="W20" s="107" t="b">
        <f t="shared" si="5"/>
        <v>0</v>
      </c>
      <c r="X20" s="107" t="b">
        <f t="shared" si="5"/>
        <v>0</v>
      </c>
      <c r="Y20" s="107" t="b">
        <f t="shared" si="5"/>
        <v>0</v>
      </c>
      <c r="Z20" s="107" t="b">
        <f t="shared" si="5"/>
        <v>0</v>
      </c>
      <c r="AA20" s="107" t="b">
        <f t="shared" si="5"/>
        <v>0</v>
      </c>
      <c r="AB20" s="107" t="b">
        <f t="shared" si="5"/>
        <v>0</v>
      </c>
      <c r="AC20" s="107" t="b">
        <f t="shared" si="5"/>
        <v>0</v>
      </c>
      <c r="AD20" s="108"/>
      <c r="AE20" s="110" t="s">
        <v>136</v>
      </c>
      <c r="AF20" s="110" t="s">
        <v>136</v>
      </c>
      <c r="AG20" s="111" t="str">
        <f t="shared" si="3"/>
        <v>OK</v>
      </c>
    </row>
    <row r="21" spans="1:42">
      <c r="A21" s="103" t="s">
        <v>22</v>
      </c>
      <c r="B21" s="104">
        <v>0.91400000000000003</v>
      </c>
      <c r="C21" s="104">
        <v>0.66800000000000004</v>
      </c>
      <c r="D21" s="104">
        <v>0.75600000000000001</v>
      </c>
      <c r="E21" s="104">
        <v>0.88700000000000001</v>
      </c>
      <c r="F21" s="104">
        <v>0.95499999999999996</v>
      </c>
      <c r="G21" s="104">
        <v>0.69499999999999995</v>
      </c>
      <c r="H21" s="104">
        <v>0.379</v>
      </c>
      <c r="I21" s="105">
        <v>0</v>
      </c>
      <c r="J21" s="105">
        <v>0</v>
      </c>
      <c r="K21" s="105">
        <v>0</v>
      </c>
      <c r="L21" s="105">
        <v>0</v>
      </c>
      <c r="M21" s="105">
        <v>0</v>
      </c>
      <c r="N21" s="105">
        <v>0</v>
      </c>
      <c r="O21" s="105">
        <v>0</v>
      </c>
      <c r="P21" s="112">
        <v>0</v>
      </c>
      <c r="Q21" s="112">
        <v>0</v>
      </c>
      <c r="R21" s="112">
        <v>0</v>
      </c>
      <c r="S21" s="112">
        <v>0</v>
      </c>
      <c r="T21" s="112">
        <v>0</v>
      </c>
      <c r="U21" s="112">
        <v>0</v>
      </c>
      <c r="V21" s="112">
        <v>0</v>
      </c>
      <c r="W21" s="113">
        <v>0</v>
      </c>
      <c r="X21" s="113">
        <v>0</v>
      </c>
      <c r="Y21" s="113">
        <v>0</v>
      </c>
      <c r="Z21" s="113">
        <v>0</v>
      </c>
      <c r="AA21" s="113">
        <v>0</v>
      </c>
      <c r="AB21" s="113">
        <v>0</v>
      </c>
      <c r="AC21" s="113">
        <v>0</v>
      </c>
      <c r="AD21" s="108"/>
      <c r="AE21" s="110" t="s">
        <v>136</v>
      </c>
      <c r="AF21" s="110" t="s">
        <v>136</v>
      </c>
      <c r="AG21" s="111" t="str">
        <f t="shared" si="3"/>
        <v>OK</v>
      </c>
    </row>
    <row r="22" spans="1:42">
      <c r="A22" s="103" t="s">
        <v>23</v>
      </c>
      <c r="B22" s="104">
        <v>1.641</v>
      </c>
      <c r="C22" s="104">
        <v>1.359</v>
      </c>
      <c r="D22" s="104">
        <v>1.554</v>
      </c>
      <c r="E22" s="104">
        <v>2.2290000000000001</v>
      </c>
      <c r="F22" s="104">
        <v>2.1520000000000001</v>
      </c>
      <c r="G22" s="104">
        <v>2.1160000000000001</v>
      </c>
      <c r="H22" s="104">
        <v>1.982</v>
      </c>
      <c r="I22" s="105">
        <v>2.5</v>
      </c>
      <c r="J22" s="105">
        <v>2.5</v>
      </c>
      <c r="K22" s="105">
        <v>1.8919999999999999</v>
      </c>
      <c r="L22" s="105">
        <v>1.86</v>
      </c>
      <c r="M22" s="105">
        <v>1.873</v>
      </c>
      <c r="N22" s="105">
        <v>1.91</v>
      </c>
      <c r="O22" s="105">
        <v>1.974</v>
      </c>
      <c r="P22" s="106">
        <f t="shared" si="4"/>
        <v>2.3097142857142856</v>
      </c>
      <c r="Q22" s="106">
        <f t="shared" si="1"/>
        <v>2.4216785714285711</v>
      </c>
      <c r="R22" s="106">
        <f t="shared" si="1"/>
        <v>2.5336428571428571</v>
      </c>
      <c r="S22" s="106">
        <f t="shared" si="1"/>
        <v>2.645607142857143</v>
      </c>
      <c r="T22" s="106">
        <f t="shared" si="1"/>
        <v>2.7575714285714286</v>
      </c>
      <c r="U22" s="106">
        <f t="shared" si="1"/>
        <v>2.8695357142857141</v>
      </c>
      <c r="V22" s="106">
        <f t="shared" si="1"/>
        <v>2.9815</v>
      </c>
      <c r="W22" s="107" t="b">
        <f t="shared" ref="W22:AC29" si="6" xml:space="preserve"> IF($AE22="Company forecast",I22, IF($AE22="Ofwat forecast",P22))</f>
        <v>0</v>
      </c>
      <c r="X22" s="107" t="b">
        <f t="shared" si="6"/>
        <v>0</v>
      </c>
      <c r="Y22" s="107" t="b">
        <f t="shared" si="6"/>
        <v>0</v>
      </c>
      <c r="Z22" s="107" t="b">
        <f t="shared" si="6"/>
        <v>0</v>
      </c>
      <c r="AA22" s="107" t="b">
        <f t="shared" si="6"/>
        <v>0</v>
      </c>
      <c r="AB22" s="107" t="b">
        <f t="shared" si="6"/>
        <v>0</v>
      </c>
      <c r="AC22" s="107" t="b">
        <f t="shared" si="6"/>
        <v>0</v>
      </c>
      <c r="AD22" s="108"/>
      <c r="AE22" s="110" t="s">
        <v>136</v>
      </c>
      <c r="AF22" s="110" t="s">
        <v>136</v>
      </c>
      <c r="AG22" s="111" t="str">
        <f t="shared" si="3"/>
        <v>OK</v>
      </c>
    </row>
    <row r="23" spans="1:42">
      <c r="A23" s="103" t="s">
        <v>24</v>
      </c>
      <c r="B23" s="104">
        <v>1.369</v>
      </c>
      <c r="C23" s="104">
        <v>1.8009999999999999</v>
      </c>
      <c r="D23" s="104">
        <v>1.89</v>
      </c>
      <c r="E23" s="104">
        <v>1.97</v>
      </c>
      <c r="F23" s="104">
        <v>1.804</v>
      </c>
      <c r="G23" s="104">
        <v>1.7709999999999999</v>
      </c>
      <c r="H23" s="104">
        <v>2.141</v>
      </c>
      <c r="I23" s="105">
        <v>2.25</v>
      </c>
      <c r="J23" s="105">
        <v>2.3580000000000001</v>
      </c>
      <c r="K23" s="105">
        <v>2.407</v>
      </c>
      <c r="L23" s="105">
        <v>2.4489999999999998</v>
      </c>
      <c r="M23" s="105">
        <v>2.5409999999999999</v>
      </c>
      <c r="N23" s="105">
        <v>2.62</v>
      </c>
      <c r="O23" s="105">
        <v>2.6120000000000001</v>
      </c>
      <c r="P23" s="106">
        <f t="shared" si="4"/>
        <v>2.1308571428571428</v>
      </c>
      <c r="Q23" s="106">
        <f t="shared" si="1"/>
        <v>2.2083571428571429</v>
      </c>
      <c r="R23" s="106">
        <f t="shared" si="1"/>
        <v>2.285857142857143</v>
      </c>
      <c r="S23" s="106">
        <f t="shared" si="1"/>
        <v>2.3633571428571427</v>
      </c>
      <c r="T23" s="106">
        <f t="shared" si="1"/>
        <v>2.4408571428571428</v>
      </c>
      <c r="U23" s="106">
        <f t="shared" si="1"/>
        <v>2.518357142857143</v>
      </c>
      <c r="V23" s="106">
        <f t="shared" si="1"/>
        <v>2.5958571428571426</v>
      </c>
      <c r="W23" s="107" t="b">
        <f t="shared" si="6"/>
        <v>0</v>
      </c>
      <c r="X23" s="107" t="b">
        <f t="shared" si="6"/>
        <v>0</v>
      </c>
      <c r="Y23" s="107" t="b">
        <f t="shared" si="6"/>
        <v>0</v>
      </c>
      <c r="Z23" s="107" t="b">
        <f t="shared" si="6"/>
        <v>0</v>
      </c>
      <c r="AA23" s="107" t="b">
        <f t="shared" si="6"/>
        <v>0</v>
      </c>
      <c r="AB23" s="107" t="b">
        <f t="shared" si="6"/>
        <v>0</v>
      </c>
      <c r="AC23" s="107" t="b">
        <f t="shared" si="6"/>
        <v>0</v>
      </c>
      <c r="AD23" s="108"/>
      <c r="AE23" s="110" t="s">
        <v>136</v>
      </c>
      <c r="AF23" s="110" t="s">
        <v>136</v>
      </c>
      <c r="AG23" s="111" t="str">
        <f t="shared" si="3"/>
        <v>OK</v>
      </c>
    </row>
    <row r="24" spans="1:42">
      <c r="A24" s="103" t="s">
        <v>25</v>
      </c>
      <c r="B24" s="104">
        <v>5.891</v>
      </c>
      <c r="C24" s="104">
        <v>7.2590000000000003</v>
      </c>
      <c r="D24" s="104">
        <v>6.7809999999999997</v>
      </c>
      <c r="E24" s="104">
        <v>6.7779999999999996</v>
      </c>
      <c r="F24" s="104">
        <v>8.4890000000000008</v>
      </c>
      <c r="G24" s="104">
        <v>9.0210000000000008</v>
      </c>
      <c r="H24" s="104">
        <v>7.3869999999999996</v>
      </c>
      <c r="I24" s="105">
        <v>8</v>
      </c>
      <c r="J24" s="105">
        <v>8.2249999999999996</v>
      </c>
      <c r="K24" s="105">
        <v>8.4600000000000009</v>
      </c>
      <c r="L24" s="105">
        <v>8.5869999999999997</v>
      </c>
      <c r="M24" s="105">
        <v>8.7159999999999993</v>
      </c>
      <c r="N24" s="105">
        <v>8.8460000000000001</v>
      </c>
      <c r="O24" s="105">
        <v>8.9789999999999992</v>
      </c>
      <c r="P24" s="106">
        <f t="shared" si="4"/>
        <v>8.7608571428571445</v>
      </c>
      <c r="Q24" s="106">
        <f t="shared" si="1"/>
        <v>9.1080000000000005</v>
      </c>
      <c r="R24" s="106">
        <f t="shared" si="1"/>
        <v>9.4551428571428584</v>
      </c>
      <c r="S24" s="106">
        <f t="shared" si="1"/>
        <v>9.8022857142857163</v>
      </c>
      <c r="T24" s="106">
        <f t="shared" si="1"/>
        <v>10.149428571428572</v>
      </c>
      <c r="U24" s="106">
        <f t="shared" si="1"/>
        <v>10.49657142857143</v>
      </c>
      <c r="V24" s="106">
        <f t="shared" si="1"/>
        <v>10.843714285714288</v>
      </c>
      <c r="W24" s="107" t="b">
        <f t="shared" si="6"/>
        <v>0</v>
      </c>
      <c r="X24" s="107" t="b">
        <f t="shared" si="6"/>
        <v>0</v>
      </c>
      <c r="Y24" s="107" t="b">
        <f t="shared" si="6"/>
        <v>0</v>
      </c>
      <c r="Z24" s="107" t="b">
        <f t="shared" si="6"/>
        <v>0</v>
      </c>
      <c r="AA24" s="107" t="b">
        <f t="shared" si="6"/>
        <v>0</v>
      </c>
      <c r="AB24" s="107" t="b">
        <f t="shared" si="6"/>
        <v>0</v>
      </c>
      <c r="AC24" s="107" t="b">
        <f t="shared" si="6"/>
        <v>0</v>
      </c>
      <c r="AD24" s="108"/>
      <c r="AE24" s="110" t="s">
        <v>136</v>
      </c>
      <c r="AF24" s="110" t="s">
        <v>136</v>
      </c>
      <c r="AG24" s="111" t="str">
        <f t="shared" si="3"/>
        <v>OK</v>
      </c>
    </row>
    <row r="25" spans="1:42">
      <c r="A25" s="103" t="s">
        <v>26</v>
      </c>
      <c r="B25" s="104">
        <v>3.6139999999999999</v>
      </c>
      <c r="C25" s="104">
        <v>3.226</v>
      </c>
      <c r="D25" s="104">
        <v>4.4870000000000001</v>
      </c>
      <c r="E25" s="104">
        <v>4.0549999999999997</v>
      </c>
      <c r="F25" s="104">
        <v>3.9329999999999998</v>
      </c>
      <c r="G25" s="104">
        <v>4.0110000000000001</v>
      </c>
      <c r="H25" s="104">
        <v>6.6559999999999997</v>
      </c>
      <c r="I25" s="105">
        <v>8.5767017925770404</v>
      </c>
      <c r="J25" s="105">
        <v>8.6970369829793892</v>
      </c>
      <c r="K25" s="105">
        <v>8.5027044824981104</v>
      </c>
      <c r="L25" s="105">
        <v>8.0313682527891395</v>
      </c>
      <c r="M25" s="105">
        <v>7.6466855400800702</v>
      </c>
      <c r="N25" s="105">
        <v>7.41354789927881</v>
      </c>
      <c r="O25" s="105">
        <v>7.21462655933178</v>
      </c>
      <c r="P25" s="106">
        <f t="shared" si="4"/>
        <v>5.7319999999999993</v>
      </c>
      <c r="Q25" s="106">
        <f t="shared" si="4"/>
        <v>6.0942142857142851</v>
      </c>
      <c r="R25" s="106">
        <f t="shared" si="4"/>
        <v>6.456428571428571</v>
      </c>
      <c r="S25" s="106">
        <f t="shared" si="4"/>
        <v>6.8186428571428568</v>
      </c>
      <c r="T25" s="106">
        <f t="shared" si="4"/>
        <v>7.1808571428571426</v>
      </c>
      <c r="U25" s="106">
        <f t="shared" si="4"/>
        <v>7.5430714285714284</v>
      </c>
      <c r="V25" s="106">
        <f t="shared" si="4"/>
        <v>7.9052857142857142</v>
      </c>
      <c r="W25" s="107" t="b">
        <f t="shared" si="6"/>
        <v>0</v>
      </c>
      <c r="X25" s="107" t="b">
        <f t="shared" si="6"/>
        <v>0</v>
      </c>
      <c r="Y25" s="107" t="b">
        <f t="shared" si="6"/>
        <v>0</v>
      </c>
      <c r="Z25" s="107" t="b">
        <f t="shared" si="6"/>
        <v>0</v>
      </c>
      <c r="AA25" s="107" t="b">
        <f t="shared" si="6"/>
        <v>0</v>
      </c>
      <c r="AB25" s="107" t="b">
        <f t="shared" si="6"/>
        <v>0</v>
      </c>
      <c r="AC25" s="107" t="b">
        <f t="shared" si="6"/>
        <v>0</v>
      </c>
      <c r="AD25" s="108"/>
      <c r="AE25" s="110" t="s">
        <v>136</v>
      </c>
      <c r="AF25" s="110" t="s">
        <v>136</v>
      </c>
      <c r="AG25" s="111" t="str">
        <f t="shared" si="3"/>
        <v>OK</v>
      </c>
    </row>
    <row r="26" spans="1:42">
      <c r="A26" s="115" t="s">
        <v>27</v>
      </c>
      <c r="B26" s="104">
        <v>0</v>
      </c>
      <c r="C26" s="104">
        <v>0</v>
      </c>
      <c r="D26" s="104">
        <v>0</v>
      </c>
      <c r="E26" s="104">
        <v>0</v>
      </c>
      <c r="F26" s="104">
        <v>0</v>
      </c>
      <c r="G26" s="104">
        <v>0</v>
      </c>
      <c r="H26" s="104">
        <v>22.11</v>
      </c>
      <c r="I26" s="105">
        <v>22.11</v>
      </c>
      <c r="J26" s="105">
        <v>22.11</v>
      </c>
      <c r="K26" s="105">
        <v>22.4941183382291</v>
      </c>
      <c r="L26" s="105">
        <v>23.983661744966401</v>
      </c>
      <c r="M26" s="105">
        <v>25.381488590604</v>
      </c>
      <c r="N26" s="105">
        <v>25.791042953020099</v>
      </c>
      <c r="O26" s="105">
        <v>26.1996080536913</v>
      </c>
      <c r="P26" s="116"/>
      <c r="Q26" s="116"/>
      <c r="R26" s="116"/>
      <c r="S26" s="116"/>
      <c r="T26" s="116"/>
      <c r="U26" s="116"/>
      <c r="V26" s="116"/>
      <c r="W26" s="107" t="b">
        <f t="shared" si="6"/>
        <v>0</v>
      </c>
      <c r="X26" s="107" t="b">
        <f t="shared" si="6"/>
        <v>0</v>
      </c>
      <c r="Y26" s="107" t="b">
        <f t="shared" si="6"/>
        <v>0</v>
      </c>
      <c r="Z26" s="107" t="b">
        <f t="shared" si="6"/>
        <v>0</v>
      </c>
      <c r="AA26" s="107" t="b">
        <f t="shared" si="6"/>
        <v>0</v>
      </c>
      <c r="AB26" s="107" t="b">
        <f t="shared" si="6"/>
        <v>0</v>
      </c>
      <c r="AC26" s="107" t="b">
        <f t="shared" si="6"/>
        <v>0</v>
      </c>
      <c r="AD26" s="108"/>
      <c r="AE26" s="110" t="s">
        <v>136</v>
      </c>
      <c r="AF26" s="110" t="s">
        <v>136</v>
      </c>
      <c r="AG26" s="111" t="str">
        <f t="shared" si="3"/>
        <v>OK</v>
      </c>
    </row>
    <row r="27" spans="1:42">
      <c r="A27" s="115" t="s">
        <v>28</v>
      </c>
      <c r="B27" s="104">
        <v>0</v>
      </c>
      <c r="C27" s="104">
        <v>0</v>
      </c>
      <c r="D27" s="104">
        <v>0</v>
      </c>
      <c r="E27" s="104">
        <v>0</v>
      </c>
      <c r="F27" s="104">
        <v>0</v>
      </c>
      <c r="G27" s="104">
        <v>0</v>
      </c>
      <c r="H27" s="104">
        <v>0.39500000000000002</v>
      </c>
      <c r="I27" s="105">
        <v>0.39500000000000002</v>
      </c>
      <c r="J27" s="105">
        <v>0.39500000000000002</v>
      </c>
      <c r="K27" s="105">
        <v>0.40200000000000002</v>
      </c>
      <c r="L27" s="105">
        <v>0.42799999999999999</v>
      </c>
      <c r="M27" s="105">
        <v>0.45300000000000001</v>
      </c>
      <c r="N27" s="105">
        <v>0.46100000000000002</v>
      </c>
      <c r="O27" s="105">
        <v>0.46800000000000003</v>
      </c>
      <c r="P27" s="116"/>
      <c r="Q27" s="116"/>
      <c r="R27" s="116"/>
      <c r="S27" s="116"/>
      <c r="T27" s="116"/>
      <c r="U27" s="116"/>
      <c r="V27" s="116"/>
      <c r="W27" s="107" t="b">
        <f t="shared" si="6"/>
        <v>0</v>
      </c>
      <c r="X27" s="107" t="b">
        <f t="shared" si="6"/>
        <v>0</v>
      </c>
      <c r="Y27" s="107" t="b">
        <f t="shared" si="6"/>
        <v>0</v>
      </c>
      <c r="Z27" s="107" t="b">
        <f t="shared" si="6"/>
        <v>0</v>
      </c>
      <c r="AA27" s="107" t="b">
        <f t="shared" si="6"/>
        <v>0</v>
      </c>
      <c r="AB27" s="107" t="b">
        <f t="shared" si="6"/>
        <v>0</v>
      </c>
      <c r="AC27" s="107" t="b">
        <f t="shared" si="6"/>
        <v>0</v>
      </c>
      <c r="AD27" s="108"/>
      <c r="AE27" s="110" t="s">
        <v>136</v>
      </c>
      <c r="AF27" s="110" t="s">
        <v>136</v>
      </c>
      <c r="AG27" s="111" t="str">
        <f t="shared" si="3"/>
        <v>OK</v>
      </c>
    </row>
    <row r="28" spans="1:42">
      <c r="A28" s="117" t="s">
        <v>129</v>
      </c>
      <c r="B28" s="104">
        <f>SUMIF($A$9:$A$27,$A$13,B$9:B$27)+SUMIF($A$9:$A$27,$A$21,B$9:B$27)</f>
        <v>16.009</v>
      </c>
      <c r="C28" s="104">
        <f t="shared" ref="C28:H28" si="7">SUMIF($A$9:$A$27,$A$13,C$9:C$27)+SUMIF($A$9:$A$27,$A$21,C$9:C$27)</f>
        <v>13.048</v>
      </c>
      <c r="D28" s="104">
        <f t="shared" si="7"/>
        <v>15.334</v>
      </c>
      <c r="E28" s="104">
        <f t="shared" si="7"/>
        <v>18.356999999999999</v>
      </c>
      <c r="F28" s="104">
        <f t="shared" si="7"/>
        <v>20.779999999999998</v>
      </c>
      <c r="G28" s="104">
        <f t="shared" si="7"/>
        <v>19.510000000000002</v>
      </c>
      <c r="H28" s="104">
        <f t="shared" si="7"/>
        <v>22.504999999999999</v>
      </c>
      <c r="I28" s="105">
        <f>SUMIF($A$9:$A$27,$A$26,I$9:I$27)+SUMIF($A$9:$A$27,$A$27,I$9:I$27)</f>
        <v>22.504999999999999</v>
      </c>
      <c r="J28" s="105">
        <f t="shared" ref="J28:O28" si="8">SUMIF($A$9:$A$27,$A$26,J$9:J$27)+SUMIF($A$9:$A$27,$A$27,J$9:J$27)</f>
        <v>22.504999999999999</v>
      </c>
      <c r="K28" s="105">
        <f t="shared" si="8"/>
        <v>22.896118338229101</v>
      </c>
      <c r="L28" s="105">
        <f t="shared" si="8"/>
        <v>24.411661744966402</v>
      </c>
      <c r="M28" s="105">
        <f t="shared" si="8"/>
        <v>25.834488590604</v>
      </c>
      <c r="N28" s="105">
        <f t="shared" si="8"/>
        <v>26.252042953020098</v>
      </c>
      <c r="O28" s="105">
        <f t="shared" si="8"/>
        <v>26.6676080536913</v>
      </c>
      <c r="P28" s="106">
        <f t="shared" ref="P28:V28" si="9">IFERROR(INTERCEPT($B28:$H28, $B$8:$H$8) +SLOPE($B28:$H28, $B$8:$H$8)*P$8,"")</f>
        <v>23.342999999999996</v>
      </c>
      <c r="Q28" s="106">
        <f t="shared" si="9"/>
        <v>24.695071428571424</v>
      </c>
      <c r="R28" s="106">
        <f t="shared" si="9"/>
        <v>26.047142857142855</v>
      </c>
      <c r="S28" s="106">
        <f t="shared" si="9"/>
        <v>27.399214285714283</v>
      </c>
      <c r="T28" s="106">
        <f t="shared" si="9"/>
        <v>28.751285714285711</v>
      </c>
      <c r="U28" s="106">
        <f t="shared" si="9"/>
        <v>30.103357142857138</v>
      </c>
      <c r="V28" s="106">
        <f t="shared" si="9"/>
        <v>31.45542857142857</v>
      </c>
      <c r="W28" s="107" t="b">
        <f t="shared" si="6"/>
        <v>0</v>
      </c>
      <c r="X28" s="107" t="b">
        <f t="shared" si="6"/>
        <v>0</v>
      </c>
      <c r="Y28" s="107" t="b">
        <f t="shared" si="6"/>
        <v>0</v>
      </c>
      <c r="Z28" s="107" t="b">
        <f t="shared" si="6"/>
        <v>0</v>
      </c>
      <c r="AA28" s="107" t="b">
        <f t="shared" si="6"/>
        <v>0</v>
      </c>
      <c r="AB28" s="107" t="b">
        <f t="shared" si="6"/>
        <v>0</v>
      </c>
      <c r="AC28" s="107" t="b">
        <f t="shared" si="6"/>
        <v>0</v>
      </c>
      <c r="AD28" s="108"/>
      <c r="AE28" s="110" t="s">
        <v>136</v>
      </c>
      <c r="AF28" s="110" t="s">
        <v>136</v>
      </c>
      <c r="AG28" s="111" t="str">
        <f t="shared" si="3"/>
        <v>OK</v>
      </c>
    </row>
    <row r="29" spans="1:42" ht="13.9">
      <c r="A29" s="118" t="s">
        <v>130</v>
      </c>
      <c r="B29" s="119">
        <f t="shared" ref="B29:V29" si="10">SUM(B9:B27)</f>
        <v>138.56200000000001</v>
      </c>
      <c r="C29" s="119">
        <f t="shared" si="10"/>
        <v>124.83800000000002</v>
      </c>
      <c r="D29" s="119">
        <f t="shared" si="10"/>
        <v>133.74457831325299</v>
      </c>
      <c r="E29" s="119">
        <f t="shared" si="10"/>
        <v>161.09341019644526</v>
      </c>
      <c r="F29" s="119">
        <f t="shared" si="10"/>
        <v>172.22899999999998</v>
      </c>
      <c r="G29" s="119">
        <f t="shared" si="10"/>
        <v>193.328</v>
      </c>
      <c r="H29" s="119">
        <f t="shared" si="10"/>
        <v>216.87000000000003</v>
      </c>
      <c r="I29" s="120">
        <f t="shared" si="10"/>
        <v>224.53158043755528</v>
      </c>
      <c r="J29" s="120">
        <f t="shared" si="10"/>
        <v>232.55987593746588</v>
      </c>
      <c r="K29" s="120">
        <f t="shared" si="10"/>
        <v>255.5137858771842</v>
      </c>
      <c r="L29" s="120">
        <f t="shared" si="10"/>
        <v>248.23175767173393</v>
      </c>
      <c r="M29" s="120">
        <f t="shared" si="10"/>
        <v>247.90749642025057</v>
      </c>
      <c r="N29" s="120">
        <f t="shared" si="10"/>
        <v>247.21788920115063</v>
      </c>
      <c r="O29" s="120">
        <f t="shared" si="10"/>
        <v>243.94821760849942</v>
      </c>
      <c r="P29" s="121">
        <f t="shared" si="10"/>
        <v>185.37605859949215</v>
      </c>
      <c r="Q29" s="121">
        <f t="shared" si="10"/>
        <v>196.26946651687601</v>
      </c>
      <c r="R29" s="121">
        <f t="shared" si="10"/>
        <v>207.16287443425981</v>
      </c>
      <c r="S29" s="121">
        <f t="shared" si="10"/>
        <v>218.05628235164363</v>
      </c>
      <c r="T29" s="121">
        <f t="shared" si="10"/>
        <v>228.94969026902746</v>
      </c>
      <c r="U29" s="121">
        <f t="shared" si="10"/>
        <v>239.84309818641128</v>
      </c>
      <c r="V29" s="121">
        <f t="shared" si="10"/>
        <v>250.73650610379514</v>
      </c>
      <c r="W29" s="122" t="b">
        <f t="shared" si="6"/>
        <v>0</v>
      </c>
      <c r="X29" s="122" t="b">
        <f t="shared" si="6"/>
        <v>0</v>
      </c>
      <c r="Y29" s="122" t="b">
        <f t="shared" si="6"/>
        <v>0</v>
      </c>
      <c r="Z29" s="122" t="b">
        <f t="shared" si="6"/>
        <v>0</v>
      </c>
      <c r="AA29" s="122" t="b">
        <f t="shared" si="6"/>
        <v>0</v>
      </c>
      <c r="AB29" s="122" t="b">
        <f t="shared" si="6"/>
        <v>0</v>
      </c>
      <c r="AC29" s="122" t="b">
        <f t="shared" si="6"/>
        <v>0</v>
      </c>
      <c r="AD29" s="123"/>
      <c r="AE29" s="108"/>
      <c r="AF29" s="124"/>
      <c r="AG29" s="125"/>
    </row>
    <row r="31" spans="1:42" ht="17.649999999999999">
      <c r="A31" s="74" t="s">
        <v>137</v>
      </c>
      <c r="B31" s="75"/>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row>
    <row r="32" spans="1:42">
      <c r="A32" s="77" t="s">
        <v>43</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row>
    <row r="33" spans="1:43" ht="14.85" customHeight="1">
      <c r="A33" s="79"/>
      <c r="B33" s="80" t="s">
        <v>37</v>
      </c>
      <c r="C33" s="81"/>
      <c r="D33" s="81"/>
      <c r="E33" s="81"/>
      <c r="F33" s="81"/>
      <c r="G33" s="81"/>
      <c r="H33" s="82"/>
      <c r="I33" s="126" t="s">
        <v>113</v>
      </c>
      <c r="J33" s="83"/>
      <c r="K33" s="83"/>
      <c r="L33" s="83"/>
      <c r="M33" s="83"/>
      <c r="N33" s="83"/>
      <c r="O33" s="84"/>
      <c r="P33" s="85" t="s">
        <v>114</v>
      </c>
      <c r="Q33" s="86"/>
      <c r="R33" s="86"/>
      <c r="S33" s="86"/>
      <c r="T33" s="86"/>
      <c r="U33" s="86"/>
      <c r="V33" s="87"/>
      <c r="W33" s="88" t="s">
        <v>131</v>
      </c>
      <c r="X33" s="89"/>
      <c r="Y33" s="89"/>
      <c r="Z33" s="89"/>
      <c r="AA33" s="89"/>
      <c r="AB33" s="89"/>
      <c r="AC33" s="90"/>
      <c r="AD33" s="249"/>
      <c r="AE33" s="91"/>
    </row>
    <row r="34" spans="1:43" ht="15.75" customHeight="1">
      <c r="A34" s="92"/>
      <c r="B34" s="93" t="s">
        <v>115</v>
      </c>
      <c r="C34" s="93" t="s">
        <v>116</v>
      </c>
      <c r="D34" s="93" t="s">
        <v>117</v>
      </c>
      <c r="E34" s="93" t="s">
        <v>118</v>
      </c>
      <c r="F34" s="93" t="s">
        <v>119</v>
      </c>
      <c r="G34" s="93" t="s">
        <v>120</v>
      </c>
      <c r="H34" s="93" t="s">
        <v>121</v>
      </c>
      <c r="I34" s="127" t="s">
        <v>122</v>
      </c>
      <c r="J34" s="127" t="s">
        <v>123</v>
      </c>
      <c r="K34" s="127" t="s">
        <v>124</v>
      </c>
      <c r="L34" s="127" t="s">
        <v>125</v>
      </c>
      <c r="M34" s="127" t="s">
        <v>126</v>
      </c>
      <c r="N34" s="127" t="s">
        <v>127</v>
      </c>
      <c r="O34" s="127" t="s">
        <v>128</v>
      </c>
      <c r="P34" s="95" t="s">
        <v>122</v>
      </c>
      <c r="Q34" s="95" t="s">
        <v>123</v>
      </c>
      <c r="R34" s="95" t="s">
        <v>124</v>
      </c>
      <c r="S34" s="95" t="s">
        <v>125</v>
      </c>
      <c r="T34" s="95" t="s">
        <v>126</v>
      </c>
      <c r="U34" s="95" t="s">
        <v>127</v>
      </c>
      <c r="V34" s="95" t="s">
        <v>128</v>
      </c>
      <c r="W34" s="96" t="s">
        <v>122</v>
      </c>
      <c r="X34" s="96" t="s">
        <v>123</v>
      </c>
      <c r="Y34" s="96" t="s">
        <v>124</v>
      </c>
      <c r="Z34" s="96" t="s">
        <v>125</v>
      </c>
      <c r="AA34" s="96" t="s">
        <v>126</v>
      </c>
      <c r="AB34" s="96" t="s">
        <v>127</v>
      </c>
      <c r="AC34" s="96" t="s">
        <v>128</v>
      </c>
      <c r="AD34" s="250"/>
      <c r="AE34" s="252" t="s">
        <v>131</v>
      </c>
      <c r="AF34" s="252" t="s">
        <v>132</v>
      </c>
      <c r="AG34" s="252" t="s">
        <v>133</v>
      </c>
    </row>
    <row r="35" spans="1:43">
      <c r="A35" s="97" t="s">
        <v>134</v>
      </c>
      <c r="B35" s="97">
        <v>1</v>
      </c>
      <c r="C35" s="97">
        <v>2</v>
      </c>
      <c r="D35" s="97">
        <v>3</v>
      </c>
      <c r="E35" s="97">
        <v>4</v>
      </c>
      <c r="F35" s="97">
        <v>5</v>
      </c>
      <c r="G35" s="97">
        <v>6</v>
      </c>
      <c r="H35" s="98">
        <v>7</v>
      </c>
      <c r="I35" s="99">
        <v>8</v>
      </c>
      <c r="J35" s="99">
        <v>9</v>
      </c>
      <c r="K35" s="99">
        <v>10</v>
      </c>
      <c r="L35" s="99">
        <v>11</v>
      </c>
      <c r="M35" s="99">
        <v>12</v>
      </c>
      <c r="N35" s="99">
        <v>13</v>
      </c>
      <c r="O35" s="99">
        <v>14</v>
      </c>
      <c r="P35" s="100">
        <f>H35+1</f>
        <v>8</v>
      </c>
      <c r="Q35" s="100">
        <f t="shared" ref="Q35:V35" si="11">P35+1</f>
        <v>9</v>
      </c>
      <c r="R35" s="100">
        <f t="shared" si="11"/>
        <v>10</v>
      </c>
      <c r="S35" s="100">
        <f t="shared" si="11"/>
        <v>11</v>
      </c>
      <c r="T35" s="100">
        <f t="shared" si="11"/>
        <v>12</v>
      </c>
      <c r="U35" s="100">
        <f t="shared" si="11"/>
        <v>13</v>
      </c>
      <c r="V35" s="100">
        <f t="shared" si="11"/>
        <v>14</v>
      </c>
      <c r="W35" s="101">
        <v>8</v>
      </c>
      <c r="X35" s="101">
        <v>9</v>
      </c>
      <c r="Y35" s="101">
        <v>10</v>
      </c>
      <c r="Z35" s="101">
        <v>11</v>
      </c>
      <c r="AA35" s="101">
        <v>12</v>
      </c>
      <c r="AB35" s="101">
        <v>13</v>
      </c>
      <c r="AC35" s="101">
        <v>14</v>
      </c>
      <c r="AD35" s="102"/>
      <c r="AE35" s="253"/>
      <c r="AF35" s="253"/>
      <c r="AG35" s="253"/>
    </row>
    <row r="36" spans="1:43" ht="13.9">
      <c r="A36" s="103" t="s">
        <v>8</v>
      </c>
      <c r="B36" s="128">
        <v>0.69499999999999995</v>
      </c>
      <c r="C36" s="128">
        <v>0.51600000000000001</v>
      </c>
      <c r="D36" s="128">
        <v>0.61699999999999999</v>
      </c>
      <c r="E36" s="128">
        <v>0.621</v>
      </c>
      <c r="F36" s="128">
        <v>0.66200000000000003</v>
      </c>
      <c r="G36" s="128">
        <v>0.92100000000000004</v>
      </c>
      <c r="H36" s="128">
        <v>0.78</v>
      </c>
      <c r="I36" s="129">
        <v>0.66800000000000004</v>
      </c>
      <c r="J36" s="129">
        <v>0.69399999999999995</v>
      </c>
      <c r="K36" s="129">
        <v>0.70599999999999996</v>
      </c>
      <c r="L36" s="129">
        <v>0.72</v>
      </c>
      <c r="M36" s="129">
        <v>0.73</v>
      </c>
      <c r="N36" s="129">
        <v>0.69799999999999995</v>
      </c>
      <c r="O36" s="129">
        <v>0.70299999999999996</v>
      </c>
      <c r="P36" s="130">
        <f>IFERROR(INTERCEPT($B36:$H36, $B$35:$H$35) +SLOPE($B36:$H36, $B$35:$H$35)*P$35,"")</f>
        <v>0.84600000000000009</v>
      </c>
      <c r="Q36" s="130">
        <f t="shared" ref="Q36:V51" si="12">IFERROR(INTERCEPT($B36:$H36, $B$35:$H$35) +SLOPE($B36:$H36, $B$35:$H$35)*Q$35,"")</f>
        <v>0.88564285714285729</v>
      </c>
      <c r="R36" s="130">
        <f t="shared" si="12"/>
        <v>0.92528571428571449</v>
      </c>
      <c r="S36" s="130">
        <f t="shared" si="12"/>
        <v>0.96492857142857158</v>
      </c>
      <c r="T36" s="130">
        <f t="shared" si="12"/>
        <v>1.0045714285714289</v>
      </c>
      <c r="U36" s="130">
        <f t="shared" si="12"/>
        <v>1.0442142857142858</v>
      </c>
      <c r="V36" s="130">
        <f t="shared" si="12"/>
        <v>1.0838571428571431</v>
      </c>
      <c r="W36" s="131" t="b">
        <f t="shared" ref="W36:AC56" si="13" xml:space="preserve"> IF($AE36="Company forecast",I36, IF($AE36="Ofwat forecast",P36))</f>
        <v>0</v>
      </c>
      <c r="X36" s="131" t="b">
        <f t="shared" si="13"/>
        <v>0</v>
      </c>
      <c r="Y36" s="131" t="b">
        <f t="shared" si="13"/>
        <v>0</v>
      </c>
      <c r="Z36" s="131" t="b">
        <f t="shared" si="13"/>
        <v>0</v>
      </c>
      <c r="AA36" s="131" t="b">
        <f t="shared" si="13"/>
        <v>0</v>
      </c>
      <c r="AB36" s="131" t="b">
        <f t="shared" si="13"/>
        <v>0</v>
      </c>
      <c r="AC36" s="131" t="b">
        <f t="shared" si="13"/>
        <v>0</v>
      </c>
      <c r="AD36" s="108"/>
      <c r="AE36" s="110" t="s">
        <v>136</v>
      </c>
      <c r="AF36" s="110" t="s">
        <v>136</v>
      </c>
      <c r="AG36" s="111" t="str">
        <f t="shared" ref="AG36:AG55" si="14" xml:space="preserve"> IF(AE36=AF36, "OK", "error")</f>
        <v>OK</v>
      </c>
      <c r="AI36" s="219" t="s">
        <v>141</v>
      </c>
      <c r="AJ36" s="220"/>
      <c r="AK36" s="220"/>
      <c r="AL36" s="220"/>
      <c r="AM36" s="220"/>
      <c r="AN36" s="220"/>
      <c r="AO36" s="220"/>
      <c r="AP36" s="220"/>
      <c r="AQ36" s="221"/>
    </row>
    <row r="37" spans="1:43">
      <c r="A37" s="103" t="s">
        <v>9</v>
      </c>
      <c r="B37" s="128">
        <v>0.34</v>
      </c>
      <c r="C37" s="128">
        <v>0.56999999999999995</v>
      </c>
      <c r="D37" s="128">
        <v>0.55800000000000005</v>
      </c>
      <c r="E37" s="128">
        <v>0.67400000000000004</v>
      </c>
      <c r="F37" s="128">
        <v>0.49199999999999999</v>
      </c>
      <c r="G37" s="128">
        <v>0.193</v>
      </c>
      <c r="H37" s="128">
        <v>0.72599999999999998</v>
      </c>
      <c r="I37" s="129">
        <v>0.48499999999999999</v>
      </c>
      <c r="J37" s="129">
        <v>0.48499999999999999</v>
      </c>
      <c r="K37" s="129">
        <v>0.48499999999999999</v>
      </c>
      <c r="L37" s="129">
        <v>0.48499999999999999</v>
      </c>
      <c r="M37" s="129">
        <v>0.48499999999999999</v>
      </c>
      <c r="N37" s="129">
        <v>0.48499999999999999</v>
      </c>
      <c r="O37" s="129">
        <v>0.48499999999999999</v>
      </c>
      <c r="P37" s="130">
        <f t="shared" ref="P37:V52" si="15">IFERROR(INTERCEPT($B37:$H37, $B$35:$H$35) +SLOPE($B37:$H37, $B$35:$H$35)*P$35,"")</f>
        <v>0.55585714285714283</v>
      </c>
      <c r="Q37" s="130">
        <f t="shared" si="12"/>
        <v>0.56792857142857145</v>
      </c>
      <c r="R37" s="130">
        <f t="shared" si="12"/>
        <v>0.57999999999999996</v>
      </c>
      <c r="S37" s="130">
        <f t="shared" si="12"/>
        <v>0.59207142857142858</v>
      </c>
      <c r="T37" s="130">
        <f t="shared" si="12"/>
        <v>0.60414285714285709</v>
      </c>
      <c r="U37" s="130">
        <f t="shared" si="12"/>
        <v>0.61621428571428571</v>
      </c>
      <c r="V37" s="130">
        <f t="shared" si="12"/>
        <v>0.62828571428571434</v>
      </c>
      <c r="W37" s="131" t="b">
        <f t="shared" si="13"/>
        <v>0</v>
      </c>
      <c r="X37" s="131" t="b">
        <f t="shared" si="13"/>
        <v>0</v>
      </c>
      <c r="Y37" s="131" t="b">
        <f t="shared" si="13"/>
        <v>0</v>
      </c>
      <c r="Z37" s="131" t="b">
        <f t="shared" si="13"/>
        <v>0</v>
      </c>
      <c r="AA37" s="131" t="b">
        <f t="shared" si="13"/>
        <v>0</v>
      </c>
      <c r="AB37" s="131" t="b">
        <f t="shared" si="13"/>
        <v>0</v>
      </c>
      <c r="AC37" s="131" t="b">
        <f t="shared" si="13"/>
        <v>0</v>
      </c>
      <c r="AD37" s="108"/>
      <c r="AE37" s="110" t="s">
        <v>136</v>
      </c>
      <c r="AF37" s="110" t="s">
        <v>136</v>
      </c>
      <c r="AG37" s="111" t="str">
        <f t="shared" si="14"/>
        <v>OK</v>
      </c>
      <c r="AI37" s="237" t="s">
        <v>142</v>
      </c>
      <c r="AJ37" s="238"/>
      <c r="AK37" s="238"/>
      <c r="AL37" s="238"/>
      <c r="AM37" s="238"/>
      <c r="AN37" s="238"/>
      <c r="AO37" s="238"/>
      <c r="AP37" s="238"/>
      <c r="AQ37" s="239"/>
    </row>
    <row r="38" spans="1:43">
      <c r="A38" s="103" t="s">
        <v>10</v>
      </c>
      <c r="B38" s="128">
        <v>0.75800000000000001</v>
      </c>
      <c r="C38" s="128">
        <v>0.71899999999999997</v>
      </c>
      <c r="D38" s="128">
        <v>0.66800000000000004</v>
      </c>
      <c r="E38" s="128">
        <v>0.69</v>
      </c>
      <c r="F38" s="128">
        <v>0.71899999999999997</v>
      </c>
      <c r="G38" s="128">
        <v>0.79300000000000004</v>
      </c>
      <c r="H38" s="128">
        <v>0.82299999999999995</v>
      </c>
      <c r="I38" s="129">
        <v>1.107</v>
      </c>
      <c r="J38" s="129">
        <v>1.1619999999999999</v>
      </c>
      <c r="K38" s="129">
        <v>1.216</v>
      </c>
      <c r="L38" s="129">
        <v>1.2709999999999999</v>
      </c>
      <c r="M38" s="129">
        <v>1.3260000000000001</v>
      </c>
      <c r="N38" s="129">
        <v>1.381</v>
      </c>
      <c r="O38" s="129">
        <v>1.4350000000000001</v>
      </c>
      <c r="P38" s="130">
        <f t="shared" si="15"/>
        <v>0.79485714285714282</v>
      </c>
      <c r="Q38" s="130">
        <f t="shared" si="12"/>
        <v>0.80892857142857144</v>
      </c>
      <c r="R38" s="130">
        <f t="shared" si="12"/>
        <v>0.82299999999999995</v>
      </c>
      <c r="S38" s="130">
        <f t="shared" si="12"/>
        <v>0.83707142857142847</v>
      </c>
      <c r="T38" s="130">
        <f t="shared" si="12"/>
        <v>0.85114285714285709</v>
      </c>
      <c r="U38" s="130">
        <f t="shared" si="12"/>
        <v>0.86521428571428571</v>
      </c>
      <c r="V38" s="130">
        <f t="shared" si="12"/>
        <v>0.87928571428571423</v>
      </c>
      <c r="W38" s="131" t="b">
        <f t="shared" si="13"/>
        <v>0</v>
      </c>
      <c r="X38" s="131" t="b">
        <f t="shared" si="13"/>
        <v>0</v>
      </c>
      <c r="Y38" s="131" t="b">
        <f t="shared" si="13"/>
        <v>0</v>
      </c>
      <c r="Z38" s="131" t="b">
        <f t="shared" si="13"/>
        <v>0</v>
      </c>
      <c r="AA38" s="131" t="b">
        <f t="shared" si="13"/>
        <v>0</v>
      </c>
      <c r="AB38" s="131" t="b">
        <f t="shared" si="13"/>
        <v>0</v>
      </c>
      <c r="AC38" s="131" t="b">
        <f t="shared" si="13"/>
        <v>0</v>
      </c>
      <c r="AD38" s="108"/>
      <c r="AE38" s="110" t="s">
        <v>136</v>
      </c>
      <c r="AF38" s="110" t="s">
        <v>136</v>
      </c>
      <c r="AG38" s="111" t="str">
        <f t="shared" si="14"/>
        <v>OK</v>
      </c>
      <c r="AI38" s="237"/>
      <c r="AJ38" s="238"/>
      <c r="AK38" s="238"/>
      <c r="AL38" s="238"/>
      <c r="AM38" s="238"/>
      <c r="AN38" s="238"/>
      <c r="AO38" s="238"/>
      <c r="AP38" s="238"/>
      <c r="AQ38" s="239"/>
    </row>
    <row r="39" spans="1:43">
      <c r="A39" s="103" t="s">
        <v>11</v>
      </c>
      <c r="B39" s="128">
        <v>0.34399999999999997</v>
      </c>
      <c r="C39" s="128">
        <v>0.34899999999999998</v>
      </c>
      <c r="D39" s="128">
        <v>0.29499999999999998</v>
      </c>
      <c r="E39" s="128">
        <v>0.247</v>
      </c>
      <c r="F39" s="128">
        <v>0.248</v>
      </c>
      <c r="G39" s="128">
        <v>0.70699999999999996</v>
      </c>
      <c r="H39" s="128">
        <v>0.58199999999999996</v>
      </c>
      <c r="I39" s="129">
        <v>0.40100000000000002</v>
      </c>
      <c r="J39" s="129">
        <v>0.38600000000000001</v>
      </c>
      <c r="K39" s="129">
        <v>0.72099999999999997</v>
      </c>
      <c r="L39" s="129">
        <v>0.68799999999999994</v>
      </c>
      <c r="M39" s="129">
        <v>0.66900000000000004</v>
      </c>
      <c r="N39" s="129">
        <v>0.66400000000000003</v>
      </c>
      <c r="O39" s="129">
        <v>0.63</v>
      </c>
      <c r="P39" s="130">
        <f t="shared" si="15"/>
        <v>0.59357142857142853</v>
      </c>
      <c r="Q39" s="130">
        <f t="shared" si="12"/>
        <v>0.64296428571428565</v>
      </c>
      <c r="R39" s="130">
        <f t="shared" si="12"/>
        <v>0.69235714285714278</v>
      </c>
      <c r="S39" s="130">
        <f t="shared" si="12"/>
        <v>0.74174999999999991</v>
      </c>
      <c r="T39" s="130">
        <f t="shared" si="12"/>
        <v>0.79114285714285715</v>
      </c>
      <c r="U39" s="130">
        <f t="shared" si="12"/>
        <v>0.84053571428571427</v>
      </c>
      <c r="V39" s="130">
        <f t="shared" si="12"/>
        <v>0.8899285714285714</v>
      </c>
      <c r="W39" s="131" t="b">
        <f t="shared" si="13"/>
        <v>0</v>
      </c>
      <c r="X39" s="131" t="b">
        <f t="shared" si="13"/>
        <v>0</v>
      </c>
      <c r="Y39" s="131" t="b">
        <f t="shared" si="13"/>
        <v>0</v>
      </c>
      <c r="Z39" s="131" t="b">
        <f t="shared" si="13"/>
        <v>0</v>
      </c>
      <c r="AA39" s="131" t="b">
        <f t="shared" si="13"/>
        <v>0</v>
      </c>
      <c r="AB39" s="131" t="b">
        <f t="shared" si="13"/>
        <v>0</v>
      </c>
      <c r="AC39" s="131" t="b">
        <f t="shared" si="13"/>
        <v>0</v>
      </c>
      <c r="AD39" s="108"/>
      <c r="AE39" s="110" t="s">
        <v>136</v>
      </c>
      <c r="AF39" s="110" t="s">
        <v>136</v>
      </c>
      <c r="AG39" s="111" t="str">
        <f t="shared" si="14"/>
        <v>OK</v>
      </c>
      <c r="AI39" s="237"/>
      <c r="AJ39" s="238"/>
      <c r="AK39" s="238"/>
      <c r="AL39" s="238"/>
      <c r="AM39" s="238"/>
      <c r="AN39" s="238"/>
      <c r="AO39" s="238"/>
      <c r="AP39" s="238"/>
      <c r="AQ39" s="239"/>
    </row>
    <row r="40" spans="1:43">
      <c r="A40" s="103" t="s">
        <v>12</v>
      </c>
      <c r="B40" s="128">
        <v>0.96299999999999997</v>
      </c>
      <c r="C40" s="128">
        <v>0.79</v>
      </c>
      <c r="D40" s="128">
        <v>0.93100000000000005</v>
      </c>
      <c r="E40" s="128">
        <v>1.091</v>
      </c>
      <c r="F40" s="128">
        <v>1.417</v>
      </c>
      <c r="G40" s="128">
        <v>0.95699999999999996</v>
      </c>
      <c r="H40" s="128">
        <v>1.0639999999999998</v>
      </c>
      <c r="I40" s="129">
        <v>0</v>
      </c>
      <c r="J40" s="129">
        <v>0</v>
      </c>
      <c r="K40" s="129">
        <v>0</v>
      </c>
      <c r="L40" s="129">
        <v>0</v>
      </c>
      <c r="M40" s="129">
        <v>0</v>
      </c>
      <c r="N40" s="129">
        <v>0</v>
      </c>
      <c r="O40" s="129">
        <v>0</v>
      </c>
      <c r="P40" s="132">
        <v>0</v>
      </c>
      <c r="Q40" s="132">
        <v>0</v>
      </c>
      <c r="R40" s="132">
        <v>0</v>
      </c>
      <c r="S40" s="132">
        <v>0</v>
      </c>
      <c r="T40" s="132">
        <v>0</v>
      </c>
      <c r="U40" s="132">
        <v>0</v>
      </c>
      <c r="V40" s="132">
        <v>0</v>
      </c>
      <c r="W40" s="131" t="b">
        <f t="shared" si="13"/>
        <v>0</v>
      </c>
      <c r="X40" s="131" t="b">
        <f t="shared" si="13"/>
        <v>0</v>
      </c>
      <c r="Y40" s="131" t="b">
        <f t="shared" si="13"/>
        <v>0</v>
      </c>
      <c r="Z40" s="131" t="b">
        <f t="shared" si="13"/>
        <v>0</v>
      </c>
      <c r="AA40" s="131" t="b">
        <f t="shared" si="13"/>
        <v>0</v>
      </c>
      <c r="AB40" s="131" t="b">
        <f t="shared" si="13"/>
        <v>0</v>
      </c>
      <c r="AC40" s="131" t="b">
        <f t="shared" si="13"/>
        <v>0</v>
      </c>
      <c r="AD40" s="108"/>
      <c r="AE40" s="110" t="s">
        <v>136</v>
      </c>
      <c r="AF40" s="110" t="s">
        <v>136</v>
      </c>
      <c r="AG40" s="111" t="str">
        <f t="shared" si="14"/>
        <v>OK</v>
      </c>
      <c r="AI40" s="237"/>
      <c r="AJ40" s="238"/>
      <c r="AK40" s="238"/>
      <c r="AL40" s="238"/>
      <c r="AM40" s="238"/>
      <c r="AN40" s="238"/>
      <c r="AO40" s="238"/>
      <c r="AP40" s="238"/>
      <c r="AQ40" s="239"/>
    </row>
    <row r="41" spans="1:43">
      <c r="A41" s="114" t="s">
        <v>14</v>
      </c>
      <c r="B41" s="128">
        <v>0.36</v>
      </c>
      <c r="C41" s="128">
        <v>0.29600000000000004</v>
      </c>
      <c r="D41" s="128">
        <v>0.33642168674698769</v>
      </c>
      <c r="E41" s="128">
        <v>0.4025898035547234</v>
      </c>
      <c r="F41" s="128">
        <v>0.376</v>
      </c>
      <c r="G41" s="128">
        <v>0.21199999999999999</v>
      </c>
      <c r="H41" s="128">
        <v>0.495</v>
      </c>
      <c r="I41" s="129">
        <v>0.49199999999999999</v>
      </c>
      <c r="J41" s="129">
        <v>0.48</v>
      </c>
      <c r="K41" s="129">
        <v>0.47099999999999997</v>
      </c>
      <c r="L41" s="129">
        <v>0.47699999999999998</v>
      </c>
      <c r="M41" s="129">
        <v>0.46200000000000002</v>
      </c>
      <c r="N41" s="129">
        <v>0.47099999999999997</v>
      </c>
      <c r="O41" s="129">
        <v>0.46</v>
      </c>
      <c r="P41" s="130">
        <f t="shared" si="15"/>
        <v>0.39351282907924612</v>
      </c>
      <c r="Q41" s="130">
        <f t="shared" si="12"/>
        <v>0.40339062598113945</v>
      </c>
      <c r="R41" s="130">
        <f t="shared" si="12"/>
        <v>0.41326842288303273</v>
      </c>
      <c r="S41" s="130">
        <f t="shared" si="12"/>
        <v>0.42314621978492606</v>
      </c>
      <c r="T41" s="130">
        <f t="shared" si="12"/>
        <v>0.43302401668681934</v>
      </c>
      <c r="U41" s="130">
        <f t="shared" si="12"/>
        <v>0.44290181358871261</v>
      </c>
      <c r="V41" s="130">
        <f t="shared" si="12"/>
        <v>0.45277961049060589</v>
      </c>
      <c r="W41" s="131" t="b">
        <f t="shared" si="13"/>
        <v>0</v>
      </c>
      <c r="X41" s="131" t="b">
        <f t="shared" si="13"/>
        <v>0</v>
      </c>
      <c r="Y41" s="131" t="b">
        <f t="shared" si="13"/>
        <v>0</v>
      </c>
      <c r="Z41" s="131" t="b">
        <f t="shared" si="13"/>
        <v>0</v>
      </c>
      <c r="AA41" s="131" t="b">
        <f t="shared" si="13"/>
        <v>0</v>
      </c>
      <c r="AB41" s="131" t="b">
        <f t="shared" si="13"/>
        <v>0</v>
      </c>
      <c r="AC41" s="131" t="b">
        <f t="shared" si="13"/>
        <v>0</v>
      </c>
      <c r="AD41" s="108"/>
      <c r="AE41" s="110" t="s">
        <v>136</v>
      </c>
      <c r="AF41" s="110" t="s">
        <v>136</v>
      </c>
      <c r="AG41" s="111" t="str">
        <f t="shared" si="14"/>
        <v>OK</v>
      </c>
      <c r="AI41" s="237"/>
      <c r="AJ41" s="238"/>
      <c r="AK41" s="238"/>
      <c r="AL41" s="238"/>
      <c r="AM41" s="238"/>
      <c r="AN41" s="238"/>
      <c r="AO41" s="238"/>
      <c r="AP41" s="238"/>
      <c r="AQ41" s="239"/>
    </row>
    <row r="42" spans="1:43">
      <c r="A42" s="103" t="s">
        <v>15</v>
      </c>
      <c r="B42" s="128">
        <v>1.052</v>
      </c>
      <c r="C42" s="128">
        <v>1.41</v>
      </c>
      <c r="D42" s="128">
        <v>1.429</v>
      </c>
      <c r="E42" s="128">
        <v>2.3969999999999998</v>
      </c>
      <c r="F42" s="128">
        <v>2.3370000000000002</v>
      </c>
      <c r="G42" s="128">
        <v>1.8520000000000001</v>
      </c>
      <c r="H42" s="128">
        <v>2.883</v>
      </c>
      <c r="I42" s="129">
        <v>1.9</v>
      </c>
      <c r="J42" s="129">
        <v>1.9</v>
      </c>
      <c r="K42" s="129">
        <v>1.9</v>
      </c>
      <c r="L42" s="129">
        <v>1.9</v>
      </c>
      <c r="M42" s="129">
        <v>1.9</v>
      </c>
      <c r="N42" s="129">
        <v>1.9</v>
      </c>
      <c r="O42" s="129">
        <v>1.9</v>
      </c>
      <c r="P42" s="130">
        <f t="shared" si="15"/>
        <v>2.9492857142857143</v>
      </c>
      <c r="Q42" s="130">
        <f t="shared" si="12"/>
        <v>3.2094642857142857</v>
      </c>
      <c r="R42" s="130">
        <f t="shared" si="12"/>
        <v>3.469642857142857</v>
      </c>
      <c r="S42" s="130">
        <f t="shared" si="12"/>
        <v>3.7298214285714284</v>
      </c>
      <c r="T42" s="130">
        <f t="shared" si="12"/>
        <v>3.99</v>
      </c>
      <c r="U42" s="130">
        <f t="shared" si="12"/>
        <v>4.250178571428572</v>
      </c>
      <c r="V42" s="130">
        <f t="shared" si="12"/>
        <v>4.510357142857143</v>
      </c>
      <c r="W42" s="131" t="b">
        <f t="shared" si="13"/>
        <v>0</v>
      </c>
      <c r="X42" s="131" t="b">
        <f t="shared" si="13"/>
        <v>0</v>
      </c>
      <c r="Y42" s="131" t="b">
        <f t="shared" si="13"/>
        <v>0</v>
      </c>
      <c r="Z42" s="131" t="b">
        <f t="shared" si="13"/>
        <v>0</v>
      </c>
      <c r="AA42" s="131" t="b">
        <f t="shared" si="13"/>
        <v>0</v>
      </c>
      <c r="AB42" s="131" t="b">
        <f t="shared" si="13"/>
        <v>0</v>
      </c>
      <c r="AC42" s="131" t="b">
        <f t="shared" si="13"/>
        <v>0</v>
      </c>
      <c r="AD42" s="108"/>
      <c r="AE42" s="110" t="s">
        <v>136</v>
      </c>
      <c r="AF42" s="110" t="s">
        <v>136</v>
      </c>
      <c r="AG42" s="111" t="str">
        <f t="shared" si="14"/>
        <v>OK</v>
      </c>
      <c r="AI42" s="237"/>
      <c r="AJ42" s="238"/>
      <c r="AK42" s="238"/>
      <c r="AL42" s="238"/>
      <c r="AM42" s="238"/>
      <c r="AN42" s="238"/>
      <c r="AO42" s="238"/>
      <c r="AP42" s="238"/>
      <c r="AQ42" s="239"/>
    </row>
    <row r="43" spans="1:43">
      <c r="A43" s="103" t="s">
        <v>16</v>
      </c>
      <c r="B43" s="128">
        <v>0.61699999999999999</v>
      </c>
      <c r="C43" s="128">
        <v>0.47099999999999997</v>
      </c>
      <c r="D43" s="128">
        <v>0.54300000000000004</v>
      </c>
      <c r="E43" s="128">
        <v>0.64300000000000002</v>
      </c>
      <c r="F43" s="128">
        <v>0.32300000000000001</v>
      </c>
      <c r="G43" s="128">
        <v>0.20200000000000001</v>
      </c>
      <c r="H43" s="128">
        <v>0.39100000000000001</v>
      </c>
      <c r="I43" s="129">
        <v>0.20699999999999999</v>
      </c>
      <c r="J43" s="129">
        <v>0.34799999999999998</v>
      </c>
      <c r="K43" s="129">
        <v>0.34300000000000003</v>
      </c>
      <c r="L43" s="129">
        <v>0.33800000000000002</v>
      </c>
      <c r="M43" s="129">
        <v>0.33500000000000002</v>
      </c>
      <c r="N43" s="129">
        <v>0.33100000000000002</v>
      </c>
      <c r="O43" s="129">
        <v>0.32900000000000001</v>
      </c>
      <c r="P43" s="130">
        <f t="shared" si="15"/>
        <v>0.25057142857142856</v>
      </c>
      <c r="Q43" s="130">
        <f t="shared" si="12"/>
        <v>0.19928571428571429</v>
      </c>
      <c r="R43" s="130">
        <f t="shared" si="12"/>
        <v>0.14800000000000002</v>
      </c>
      <c r="S43" s="130">
        <f t="shared" si="12"/>
        <v>9.6714285714285753E-2</v>
      </c>
      <c r="T43" s="130">
        <f t="shared" si="12"/>
        <v>4.5428571428571374E-2</v>
      </c>
      <c r="U43" s="130">
        <f t="shared" si="12"/>
        <v>-5.8571428571428941E-3</v>
      </c>
      <c r="V43" s="130">
        <f t="shared" si="12"/>
        <v>-5.7142857142857162E-2</v>
      </c>
      <c r="W43" s="131" t="b">
        <f t="shared" si="13"/>
        <v>0</v>
      </c>
      <c r="X43" s="131" t="b">
        <f t="shared" si="13"/>
        <v>0</v>
      </c>
      <c r="Y43" s="131" t="b">
        <f t="shared" si="13"/>
        <v>0</v>
      </c>
      <c r="Z43" s="131" t="b">
        <f t="shared" si="13"/>
        <v>0</v>
      </c>
      <c r="AA43" s="131" t="b">
        <f t="shared" si="13"/>
        <v>0</v>
      </c>
      <c r="AB43" s="131" t="b">
        <f t="shared" si="13"/>
        <v>0</v>
      </c>
      <c r="AC43" s="131" t="b">
        <f t="shared" si="13"/>
        <v>0</v>
      </c>
      <c r="AD43" s="108"/>
      <c r="AE43" s="110" t="s">
        <v>136</v>
      </c>
      <c r="AF43" s="110" t="s">
        <v>136</v>
      </c>
      <c r="AG43" s="111" t="str">
        <f t="shared" si="14"/>
        <v>OK</v>
      </c>
      <c r="AI43" s="237"/>
      <c r="AJ43" s="238"/>
      <c r="AK43" s="238"/>
      <c r="AL43" s="238"/>
      <c r="AM43" s="238"/>
      <c r="AN43" s="238"/>
      <c r="AO43" s="238"/>
      <c r="AP43" s="238"/>
      <c r="AQ43" s="239"/>
    </row>
    <row r="44" spans="1:43">
      <c r="A44" s="103" t="s">
        <v>17</v>
      </c>
      <c r="B44" s="128">
        <v>0.42899999999999999</v>
      </c>
      <c r="C44" s="128">
        <v>0.41599999999999998</v>
      </c>
      <c r="D44" s="128">
        <v>0.47199999999999998</v>
      </c>
      <c r="E44" s="128">
        <v>0.48599999999999999</v>
      </c>
      <c r="F44" s="128">
        <v>0.439</v>
      </c>
      <c r="G44" s="128">
        <v>0.44900000000000001</v>
      </c>
      <c r="H44" s="128">
        <v>0.28599999999999998</v>
      </c>
      <c r="I44" s="129">
        <v>0.36899999999999999</v>
      </c>
      <c r="J44" s="129">
        <v>0.35899999999999999</v>
      </c>
      <c r="K44" s="129">
        <v>0.35</v>
      </c>
      <c r="L44" s="129">
        <v>0.34100000000000003</v>
      </c>
      <c r="M44" s="129">
        <v>0.33400000000000002</v>
      </c>
      <c r="N44" s="129">
        <v>0.32600000000000001</v>
      </c>
      <c r="O44" s="129">
        <v>0.31900000000000001</v>
      </c>
      <c r="P44" s="130">
        <f t="shared" si="15"/>
        <v>0.36871428571428566</v>
      </c>
      <c r="Q44" s="130">
        <f t="shared" si="12"/>
        <v>0.35457142857142854</v>
      </c>
      <c r="R44" s="130">
        <f t="shared" si="12"/>
        <v>0.34042857142857141</v>
      </c>
      <c r="S44" s="130">
        <f t="shared" si="12"/>
        <v>0.32628571428571429</v>
      </c>
      <c r="T44" s="130">
        <f t="shared" si="12"/>
        <v>0.31214285714285711</v>
      </c>
      <c r="U44" s="130">
        <f t="shared" si="12"/>
        <v>0.29799999999999999</v>
      </c>
      <c r="V44" s="130">
        <f t="shared" si="12"/>
        <v>0.28385714285714281</v>
      </c>
      <c r="W44" s="131" t="b">
        <f t="shared" si="13"/>
        <v>0</v>
      </c>
      <c r="X44" s="131" t="b">
        <f t="shared" si="13"/>
        <v>0</v>
      </c>
      <c r="Y44" s="131" t="b">
        <f t="shared" si="13"/>
        <v>0</v>
      </c>
      <c r="Z44" s="131" t="b">
        <f t="shared" si="13"/>
        <v>0</v>
      </c>
      <c r="AA44" s="131" t="b">
        <f t="shared" si="13"/>
        <v>0</v>
      </c>
      <c r="AB44" s="131" t="b">
        <f t="shared" si="13"/>
        <v>0</v>
      </c>
      <c r="AC44" s="131" t="b">
        <f t="shared" si="13"/>
        <v>0</v>
      </c>
      <c r="AD44" s="108"/>
      <c r="AE44" s="110" t="s">
        <v>136</v>
      </c>
      <c r="AF44" s="110" t="s">
        <v>136</v>
      </c>
      <c r="AG44" s="111" t="str">
        <f t="shared" si="14"/>
        <v>OK</v>
      </c>
      <c r="AI44" s="237"/>
      <c r="AJ44" s="238"/>
      <c r="AK44" s="238"/>
      <c r="AL44" s="238"/>
      <c r="AM44" s="238"/>
      <c r="AN44" s="238"/>
      <c r="AO44" s="238"/>
      <c r="AP44" s="238"/>
      <c r="AQ44" s="239"/>
    </row>
    <row r="45" spans="1:43">
      <c r="A45" s="103" t="s">
        <v>18</v>
      </c>
      <c r="B45" s="128">
        <v>0.91800000000000004</v>
      </c>
      <c r="C45" s="128">
        <v>0.79900000000000004</v>
      </c>
      <c r="D45" s="128">
        <v>0.70799999999999996</v>
      </c>
      <c r="E45" s="128">
        <v>0.88</v>
      </c>
      <c r="F45" s="128">
        <v>0.97899999999999998</v>
      </c>
      <c r="G45" s="128">
        <v>0.78</v>
      </c>
      <c r="H45" s="128">
        <v>0.9</v>
      </c>
      <c r="I45" s="129">
        <v>0.84099999999999997</v>
      </c>
      <c r="J45" s="129">
        <v>0.84099999999999997</v>
      </c>
      <c r="K45" s="129">
        <v>0.84099999999999997</v>
      </c>
      <c r="L45" s="129">
        <v>0.84099999999999997</v>
      </c>
      <c r="M45" s="129">
        <v>0.84099999999999997</v>
      </c>
      <c r="N45" s="129">
        <v>0.84099999999999997</v>
      </c>
      <c r="O45" s="129">
        <v>0.84099999999999997</v>
      </c>
      <c r="P45" s="130">
        <f t="shared" si="15"/>
        <v>0.87757142857142867</v>
      </c>
      <c r="Q45" s="130">
        <f t="shared" si="12"/>
        <v>0.88396428571428576</v>
      </c>
      <c r="R45" s="130">
        <f t="shared" si="12"/>
        <v>0.89035714285714296</v>
      </c>
      <c r="S45" s="130">
        <f t="shared" si="12"/>
        <v>0.89675000000000005</v>
      </c>
      <c r="T45" s="130">
        <f t="shared" si="12"/>
        <v>0.90314285714285725</v>
      </c>
      <c r="U45" s="130">
        <f t="shared" si="12"/>
        <v>0.90953571428571434</v>
      </c>
      <c r="V45" s="130">
        <f t="shared" si="12"/>
        <v>0.91592857142857143</v>
      </c>
      <c r="W45" s="131" t="b">
        <f t="shared" si="13"/>
        <v>0</v>
      </c>
      <c r="X45" s="131" t="b">
        <f t="shared" si="13"/>
        <v>0</v>
      </c>
      <c r="Y45" s="131" t="b">
        <f t="shared" si="13"/>
        <v>0</v>
      </c>
      <c r="Z45" s="131" t="b">
        <f t="shared" si="13"/>
        <v>0</v>
      </c>
      <c r="AA45" s="131" t="b">
        <f t="shared" si="13"/>
        <v>0</v>
      </c>
      <c r="AB45" s="131" t="b">
        <f t="shared" si="13"/>
        <v>0</v>
      </c>
      <c r="AC45" s="131" t="b">
        <f t="shared" si="13"/>
        <v>0</v>
      </c>
      <c r="AD45" s="108"/>
      <c r="AE45" s="110" t="s">
        <v>136</v>
      </c>
      <c r="AF45" s="110" t="s">
        <v>136</v>
      </c>
      <c r="AG45" s="111" t="str">
        <f t="shared" si="14"/>
        <v>OK</v>
      </c>
      <c r="AI45" s="237"/>
      <c r="AJ45" s="238"/>
      <c r="AK45" s="238"/>
      <c r="AL45" s="238"/>
      <c r="AM45" s="238"/>
      <c r="AN45" s="238"/>
      <c r="AO45" s="238"/>
      <c r="AP45" s="238"/>
      <c r="AQ45" s="239"/>
    </row>
    <row r="46" spans="1:43">
      <c r="A46" s="103" t="s">
        <v>19</v>
      </c>
      <c r="B46" s="128">
        <v>1.0759999999999998</v>
      </c>
      <c r="C46" s="128">
        <v>0.80700000000000005</v>
      </c>
      <c r="D46" s="128">
        <v>0.88600000000000001</v>
      </c>
      <c r="E46" s="128">
        <v>0.68100000000000005</v>
      </c>
      <c r="F46" s="128">
        <v>0.94699999999999995</v>
      </c>
      <c r="G46" s="128">
        <v>1.0940000000000001</v>
      </c>
      <c r="H46" s="128">
        <v>0.754</v>
      </c>
      <c r="I46" s="129">
        <v>-0.32486550408276599</v>
      </c>
      <c r="J46" s="129">
        <v>-0.31393556800775002</v>
      </c>
      <c r="K46" s="129">
        <v>-7.8730242990347801</v>
      </c>
      <c r="L46" s="129">
        <v>-0.29191933495542299</v>
      </c>
      <c r="M46" s="129">
        <v>-0.28269697677743</v>
      </c>
      <c r="N46" s="129">
        <v>-0.27386823522630299</v>
      </c>
      <c r="O46" s="129">
        <v>-0.26539985255777798</v>
      </c>
      <c r="P46" s="130">
        <f t="shared" si="15"/>
        <v>0.84485714285714308</v>
      </c>
      <c r="Q46" s="130">
        <f t="shared" si="12"/>
        <v>0.83303571428571455</v>
      </c>
      <c r="R46" s="130">
        <f t="shared" si="12"/>
        <v>0.82121428571428601</v>
      </c>
      <c r="S46" s="130">
        <f t="shared" si="12"/>
        <v>0.80939285714285747</v>
      </c>
      <c r="T46" s="130">
        <f t="shared" si="12"/>
        <v>0.79757142857142882</v>
      </c>
      <c r="U46" s="130">
        <f t="shared" si="12"/>
        <v>0.78575000000000028</v>
      </c>
      <c r="V46" s="130">
        <f t="shared" si="12"/>
        <v>0.77392857142857174</v>
      </c>
      <c r="W46" s="131" t="b">
        <f t="shared" si="13"/>
        <v>0</v>
      </c>
      <c r="X46" s="131" t="b">
        <f t="shared" si="13"/>
        <v>0</v>
      </c>
      <c r="Y46" s="131" t="b">
        <f t="shared" si="13"/>
        <v>0</v>
      </c>
      <c r="Z46" s="131" t="b">
        <f t="shared" si="13"/>
        <v>0</v>
      </c>
      <c r="AA46" s="131" t="b">
        <f t="shared" si="13"/>
        <v>0</v>
      </c>
      <c r="AB46" s="131" t="b">
        <f t="shared" si="13"/>
        <v>0</v>
      </c>
      <c r="AC46" s="131" t="b">
        <f t="shared" si="13"/>
        <v>0</v>
      </c>
      <c r="AD46" s="108"/>
      <c r="AE46" s="110" t="s">
        <v>136</v>
      </c>
      <c r="AF46" s="110" t="s">
        <v>136</v>
      </c>
      <c r="AG46" s="111" t="str">
        <f t="shared" si="14"/>
        <v>OK</v>
      </c>
      <c r="AI46" s="237"/>
      <c r="AJ46" s="238"/>
      <c r="AK46" s="238"/>
      <c r="AL46" s="238"/>
      <c r="AM46" s="238"/>
      <c r="AN46" s="238"/>
      <c r="AO46" s="238"/>
      <c r="AP46" s="238"/>
      <c r="AQ46" s="239"/>
    </row>
    <row r="47" spans="1:43">
      <c r="A47" s="103" t="s">
        <v>20</v>
      </c>
      <c r="B47" s="128">
        <v>0.23699999999999999</v>
      </c>
      <c r="C47" s="128">
        <v>0.24099999999999999</v>
      </c>
      <c r="D47" s="128">
        <v>0.20699999999999999</v>
      </c>
      <c r="E47" s="128">
        <v>0.29399999999999998</v>
      </c>
      <c r="F47" s="128">
        <v>0.19900000000000001</v>
      </c>
      <c r="G47" s="128">
        <v>0.23400000000000001</v>
      </c>
      <c r="H47" s="128">
        <v>0.25700000000000001</v>
      </c>
      <c r="I47" s="129">
        <v>0.25700000000000001</v>
      </c>
      <c r="J47" s="129">
        <v>0.25700000000000001</v>
      </c>
      <c r="K47" s="129">
        <v>0.25700000000000001</v>
      </c>
      <c r="L47" s="129">
        <v>0.25700000000000001</v>
      </c>
      <c r="M47" s="129">
        <v>0.25700000000000001</v>
      </c>
      <c r="N47" s="129">
        <v>0.25700000000000001</v>
      </c>
      <c r="O47" s="129">
        <v>0.25700000000000001</v>
      </c>
      <c r="P47" s="130">
        <f t="shared" si="15"/>
        <v>0.24385714285714288</v>
      </c>
      <c r="Q47" s="130">
        <f t="shared" si="12"/>
        <v>0.24521428571428575</v>
      </c>
      <c r="R47" s="130">
        <f t="shared" si="12"/>
        <v>0.24657142857142861</v>
      </c>
      <c r="S47" s="130">
        <f t="shared" si="12"/>
        <v>0.24792857142857147</v>
      </c>
      <c r="T47" s="130">
        <f t="shared" si="12"/>
        <v>0.24928571428571433</v>
      </c>
      <c r="U47" s="130">
        <f t="shared" si="12"/>
        <v>0.25064285714285717</v>
      </c>
      <c r="V47" s="130">
        <f t="shared" si="12"/>
        <v>0.25200000000000006</v>
      </c>
      <c r="W47" s="131" t="b">
        <f t="shared" si="13"/>
        <v>0</v>
      </c>
      <c r="X47" s="131" t="b">
        <f t="shared" si="13"/>
        <v>0</v>
      </c>
      <c r="Y47" s="131" t="b">
        <f t="shared" si="13"/>
        <v>0</v>
      </c>
      <c r="Z47" s="131" t="b">
        <f t="shared" si="13"/>
        <v>0</v>
      </c>
      <c r="AA47" s="131" t="b">
        <f t="shared" si="13"/>
        <v>0</v>
      </c>
      <c r="AB47" s="131" t="b">
        <f t="shared" si="13"/>
        <v>0</v>
      </c>
      <c r="AC47" s="131" t="b">
        <f t="shared" si="13"/>
        <v>0</v>
      </c>
      <c r="AD47" s="108"/>
      <c r="AE47" s="110" t="s">
        <v>136</v>
      </c>
      <c r="AF47" s="110" t="s">
        <v>136</v>
      </c>
      <c r="AG47" s="111" t="str">
        <f t="shared" si="14"/>
        <v>OK</v>
      </c>
      <c r="AI47" s="240"/>
      <c r="AJ47" s="241"/>
      <c r="AK47" s="241"/>
      <c r="AL47" s="241"/>
      <c r="AM47" s="241"/>
      <c r="AN47" s="241"/>
      <c r="AO47" s="241"/>
      <c r="AP47" s="241"/>
      <c r="AQ47" s="242"/>
    </row>
    <row r="48" spans="1:43">
      <c r="A48" s="103" t="s">
        <v>22</v>
      </c>
      <c r="B48" s="128">
        <v>1.7000000000000001E-2</v>
      </c>
      <c r="C48" s="128">
        <v>1.4999999999999999E-2</v>
      </c>
      <c r="D48" s="128">
        <v>3.7999999999999999E-2</v>
      </c>
      <c r="E48" s="128">
        <v>5.2999999999999999E-2</v>
      </c>
      <c r="F48" s="128">
        <v>6.4000000000000001E-2</v>
      </c>
      <c r="G48" s="128">
        <v>4.7E-2</v>
      </c>
      <c r="H48" s="128">
        <v>0.03</v>
      </c>
      <c r="I48" s="129">
        <v>0</v>
      </c>
      <c r="J48" s="129">
        <v>0</v>
      </c>
      <c r="K48" s="129">
        <v>0</v>
      </c>
      <c r="L48" s="129">
        <v>0</v>
      </c>
      <c r="M48" s="129">
        <v>0</v>
      </c>
      <c r="N48" s="129">
        <v>0</v>
      </c>
      <c r="O48" s="129">
        <v>0</v>
      </c>
      <c r="P48" s="132">
        <v>0</v>
      </c>
      <c r="Q48" s="132">
        <v>0</v>
      </c>
      <c r="R48" s="132">
        <v>0</v>
      </c>
      <c r="S48" s="132">
        <v>0</v>
      </c>
      <c r="T48" s="132">
        <v>0</v>
      </c>
      <c r="U48" s="132">
        <v>0</v>
      </c>
      <c r="V48" s="132">
        <v>0</v>
      </c>
      <c r="W48" s="131" t="b">
        <f t="shared" si="13"/>
        <v>0</v>
      </c>
      <c r="X48" s="131" t="b">
        <f t="shared" si="13"/>
        <v>0</v>
      </c>
      <c r="Y48" s="131" t="b">
        <f t="shared" si="13"/>
        <v>0</v>
      </c>
      <c r="Z48" s="131" t="b">
        <f t="shared" si="13"/>
        <v>0</v>
      </c>
      <c r="AA48" s="131" t="b">
        <f t="shared" si="13"/>
        <v>0</v>
      </c>
      <c r="AB48" s="131" t="b">
        <f t="shared" si="13"/>
        <v>0</v>
      </c>
      <c r="AC48" s="131" t="b">
        <f t="shared" si="13"/>
        <v>0</v>
      </c>
      <c r="AD48" s="108"/>
      <c r="AE48" s="110" t="s">
        <v>136</v>
      </c>
      <c r="AF48" s="110" t="s">
        <v>136</v>
      </c>
      <c r="AG48" s="111" t="str">
        <f t="shared" si="14"/>
        <v>OK</v>
      </c>
    </row>
    <row r="49" spans="1:43">
      <c r="A49" s="103" t="s">
        <v>23</v>
      </c>
      <c r="B49" s="128">
        <v>0.152</v>
      </c>
      <c r="C49" s="128">
        <v>0.14899999999999999</v>
      </c>
      <c r="D49" s="128">
        <v>0.13900000000000001</v>
      </c>
      <c r="E49" s="128">
        <v>0.215</v>
      </c>
      <c r="F49" s="128">
        <v>0.19900000000000001</v>
      </c>
      <c r="G49" s="128">
        <v>0.33900000000000002</v>
      </c>
      <c r="H49" s="128">
        <v>0.14199999999999999</v>
      </c>
      <c r="I49" s="129">
        <v>0</v>
      </c>
      <c r="J49" s="129">
        <v>0</v>
      </c>
      <c r="K49" s="129">
        <v>2.4E-2</v>
      </c>
      <c r="L49" s="129">
        <v>2.4E-2</v>
      </c>
      <c r="M49" s="129">
        <v>2.4E-2</v>
      </c>
      <c r="N49" s="129">
        <v>2.4E-2</v>
      </c>
      <c r="O49" s="129">
        <v>2.4E-2</v>
      </c>
      <c r="P49" s="130">
        <f t="shared" si="15"/>
        <v>0.2492857142857143</v>
      </c>
      <c r="Q49" s="130">
        <f t="shared" si="12"/>
        <v>0.26392857142857146</v>
      </c>
      <c r="R49" s="130">
        <f t="shared" si="12"/>
        <v>0.27857142857142858</v>
      </c>
      <c r="S49" s="130">
        <f t="shared" si="12"/>
        <v>0.29321428571428576</v>
      </c>
      <c r="T49" s="130">
        <f t="shared" si="12"/>
        <v>0.30785714285714288</v>
      </c>
      <c r="U49" s="130">
        <f t="shared" si="12"/>
        <v>0.32250000000000001</v>
      </c>
      <c r="V49" s="130">
        <f t="shared" si="12"/>
        <v>0.33714285714285719</v>
      </c>
      <c r="W49" s="131" t="b">
        <f t="shared" si="13"/>
        <v>0</v>
      </c>
      <c r="X49" s="131" t="b">
        <f t="shared" si="13"/>
        <v>0</v>
      </c>
      <c r="Y49" s="131" t="b">
        <f t="shared" si="13"/>
        <v>0</v>
      </c>
      <c r="Z49" s="131" t="b">
        <f t="shared" si="13"/>
        <v>0</v>
      </c>
      <c r="AA49" s="131" t="b">
        <f t="shared" si="13"/>
        <v>0</v>
      </c>
      <c r="AB49" s="131" t="b">
        <f t="shared" si="13"/>
        <v>0</v>
      </c>
      <c r="AC49" s="131" t="b">
        <f t="shared" si="13"/>
        <v>0</v>
      </c>
      <c r="AD49" s="108"/>
      <c r="AE49" s="110" t="s">
        <v>136</v>
      </c>
      <c r="AF49" s="110" t="s">
        <v>136</v>
      </c>
      <c r="AG49" s="111" t="str">
        <f t="shared" si="14"/>
        <v>OK</v>
      </c>
    </row>
    <row r="50" spans="1:43">
      <c r="A50" s="103" t="s">
        <v>24</v>
      </c>
      <c r="B50" s="128">
        <v>6.0999999999999999E-2</v>
      </c>
      <c r="C50" s="128">
        <v>8.5999999999999993E-2</v>
      </c>
      <c r="D50" s="128">
        <v>9.6000000000000002E-2</v>
      </c>
      <c r="E50" s="128">
        <v>0.14499999999999999</v>
      </c>
      <c r="F50" s="128">
        <v>8.6999999999999994E-2</v>
      </c>
      <c r="G50" s="128">
        <v>0.14399999999999999</v>
      </c>
      <c r="H50" s="128">
        <v>2.1000000000000001E-2</v>
      </c>
      <c r="I50" s="129">
        <v>0</v>
      </c>
      <c r="J50" s="129">
        <v>0</v>
      </c>
      <c r="K50" s="129">
        <v>0</v>
      </c>
      <c r="L50" s="129">
        <v>0</v>
      </c>
      <c r="M50" s="129">
        <v>0</v>
      </c>
      <c r="N50" s="129">
        <v>0</v>
      </c>
      <c r="O50" s="129">
        <v>0</v>
      </c>
      <c r="P50" s="130">
        <f t="shared" si="15"/>
        <v>8.9571428571428566E-2</v>
      </c>
      <c r="Q50" s="130">
        <f t="shared" si="12"/>
        <v>8.9107142857142857E-2</v>
      </c>
      <c r="R50" s="130">
        <f t="shared" si="12"/>
        <v>8.8642857142857134E-2</v>
      </c>
      <c r="S50" s="130">
        <f t="shared" si="12"/>
        <v>8.8178571428571426E-2</v>
      </c>
      <c r="T50" s="130">
        <f t="shared" si="12"/>
        <v>8.7714285714285717E-2</v>
      </c>
      <c r="U50" s="130">
        <f t="shared" si="12"/>
        <v>8.7249999999999994E-2</v>
      </c>
      <c r="V50" s="130">
        <f t="shared" si="12"/>
        <v>8.6785714285714285E-2</v>
      </c>
      <c r="W50" s="131" t="b">
        <f t="shared" si="13"/>
        <v>0</v>
      </c>
      <c r="X50" s="131" t="b">
        <f t="shared" si="13"/>
        <v>0</v>
      </c>
      <c r="Y50" s="131" t="b">
        <f t="shared" si="13"/>
        <v>0</v>
      </c>
      <c r="Z50" s="131" t="b">
        <f t="shared" si="13"/>
        <v>0</v>
      </c>
      <c r="AA50" s="131" t="b">
        <f t="shared" si="13"/>
        <v>0</v>
      </c>
      <c r="AB50" s="131" t="b">
        <f t="shared" si="13"/>
        <v>0</v>
      </c>
      <c r="AC50" s="131" t="b">
        <f t="shared" si="13"/>
        <v>0</v>
      </c>
      <c r="AD50" s="108"/>
      <c r="AE50" s="110" t="s">
        <v>136</v>
      </c>
      <c r="AF50" s="110" t="s">
        <v>136</v>
      </c>
      <c r="AG50" s="111" t="str">
        <f t="shared" si="14"/>
        <v>OK</v>
      </c>
    </row>
    <row r="51" spans="1:43">
      <c r="A51" s="103" t="s">
        <v>25</v>
      </c>
      <c r="B51" s="128">
        <v>0.28799999999999998</v>
      </c>
      <c r="C51" s="128">
        <v>0.433</v>
      </c>
      <c r="D51" s="128">
        <v>0.28100000000000003</v>
      </c>
      <c r="E51" s="128">
        <v>0.38900000000000001</v>
      </c>
      <c r="F51" s="128">
        <v>0.57499999999999996</v>
      </c>
      <c r="G51" s="128">
        <v>0.24099999999999999</v>
      </c>
      <c r="H51" s="128">
        <v>0.128</v>
      </c>
      <c r="I51" s="129">
        <v>0.5</v>
      </c>
      <c r="J51" s="129">
        <v>0.52500000000000002</v>
      </c>
      <c r="K51" s="129">
        <v>0.54</v>
      </c>
      <c r="L51" s="129">
        <v>0.54800000000000004</v>
      </c>
      <c r="M51" s="129">
        <v>0.55600000000000005</v>
      </c>
      <c r="N51" s="129">
        <v>0.56499999999999995</v>
      </c>
      <c r="O51" s="129">
        <v>0.57299999999999995</v>
      </c>
      <c r="P51" s="130">
        <f t="shared" si="15"/>
        <v>0.25214285714285717</v>
      </c>
      <c r="Q51" s="130">
        <f t="shared" si="12"/>
        <v>0.23178571428571432</v>
      </c>
      <c r="R51" s="130">
        <f t="shared" si="12"/>
        <v>0.21142857142857147</v>
      </c>
      <c r="S51" s="130">
        <f t="shared" si="12"/>
        <v>0.19107142857142859</v>
      </c>
      <c r="T51" s="130">
        <f t="shared" si="12"/>
        <v>0.17071428571428574</v>
      </c>
      <c r="U51" s="130">
        <f t="shared" si="12"/>
        <v>0.15035714285714286</v>
      </c>
      <c r="V51" s="130">
        <f t="shared" si="12"/>
        <v>0.13</v>
      </c>
      <c r="W51" s="131" t="b">
        <f t="shared" si="13"/>
        <v>0</v>
      </c>
      <c r="X51" s="131" t="b">
        <f t="shared" si="13"/>
        <v>0</v>
      </c>
      <c r="Y51" s="131" t="b">
        <f t="shared" si="13"/>
        <v>0</v>
      </c>
      <c r="Z51" s="131" t="b">
        <f t="shared" si="13"/>
        <v>0</v>
      </c>
      <c r="AA51" s="131" t="b">
        <f t="shared" si="13"/>
        <v>0</v>
      </c>
      <c r="AB51" s="131" t="b">
        <f t="shared" si="13"/>
        <v>0</v>
      </c>
      <c r="AC51" s="131" t="b">
        <f t="shared" si="13"/>
        <v>0</v>
      </c>
      <c r="AD51" s="108"/>
      <c r="AE51" s="110" t="s">
        <v>136</v>
      </c>
      <c r="AF51" s="110" t="s">
        <v>136</v>
      </c>
      <c r="AG51" s="111" t="str">
        <f t="shared" si="14"/>
        <v>OK</v>
      </c>
    </row>
    <row r="52" spans="1:43">
      <c r="A52" s="103" t="s">
        <v>26</v>
      </c>
      <c r="B52" s="128">
        <v>0.28200000000000003</v>
      </c>
      <c r="C52" s="128">
        <v>0.20600000000000002</v>
      </c>
      <c r="D52" s="128">
        <v>0.33699999999999997</v>
      </c>
      <c r="E52" s="128">
        <v>0.35899999999999999</v>
      </c>
      <c r="F52" s="128">
        <v>0.24299999999999999</v>
      </c>
      <c r="G52" s="128">
        <v>0.247</v>
      </c>
      <c r="H52" s="128">
        <v>0.23599999999999999</v>
      </c>
      <c r="I52" s="129">
        <v>0.44800000000000001</v>
      </c>
      <c r="J52" s="129">
        <v>0.44801092222700101</v>
      </c>
      <c r="K52" s="129">
        <v>0.44801092222689998</v>
      </c>
      <c r="L52" s="129">
        <v>0.44801092222700101</v>
      </c>
      <c r="M52" s="129">
        <v>0.44801092222689998</v>
      </c>
      <c r="N52" s="129">
        <v>0.44801092222689998</v>
      </c>
      <c r="O52" s="129">
        <v>0.44801092222699901</v>
      </c>
      <c r="P52" s="130">
        <f t="shared" si="15"/>
        <v>0.25142857142857145</v>
      </c>
      <c r="Q52" s="130">
        <f t="shared" si="15"/>
        <v>0.24607142857142855</v>
      </c>
      <c r="R52" s="130">
        <f t="shared" si="15"/>
        <v>0.24071428571428571</v>
      </c>
      <c r="S52" s="130">
        <f t="shared" si="15"/>
        <v>0.23535714285714285</v>
      </c>
      <c r="T52" s="130">
        <f t="shared" si="15"/>
        <v>0.22999999999999998</v>
      </c>
      <c r="U52" s="130">
        <f t="shared" si="15"/>
        <v>0.22464285714285712</v>
      </c>
      <c r="V52" s="130">
        <f t="shared" si="15"/>
        <v>0.21928571428571425</v>
      </c>
      <c r="W52" s="131" t="b">
        <f t="shared" si="13"/>
        <v>0</v>
      </c>
      <c r="X52" s="131" t="b">
        <f t="shared" si="13"/>
        <v>0</v>
      </c>
      <c r="Y52" s="131" t="b">
        <f t="shared" si="13"/>
        <v>0</v>
      </c>
      <c r="Z52" s="131" t="b">
        <f t="shared" si="13"/>
        <v>0</v>
      </c>
      <c r="AA52" s="131" t="b">
        <f t="shared" si="13"/>
        <v>0</v>
      </c>
      <c r="AB52" s="131" t="b">
        <f t="shared" si="13"/>
        <v>0</v>
      </c>
      <c r="AC52" s="131" t="b">
        <f t="shared" si="13"/>
        <v>0</v>
      </c>
      <c r="AD52" s="108"/>
      <c r="AE52" s="110" t="s">
        <v>136</v>
      </c>
      <c r="AF52" s="110" t="s">
        <v>136</v>
      </c>
      <c r="AG52" s="111" t="str">
        <f t="shared" si="14"/>
        <v>OK</v>
      </c>
    </row>
    <row r="53" spans="1:43">
      <c r="A53" s="115" t="s">
        <v>27</v>
      </c>
      <c r="B53" s="128">
        <v>0</v>
      </c>
      <c r="C53" s="128">
        <v>0</v>
      </c>
      <c r="D53" s="128">
        <v>0</v>
      </c>
      <c r="E53" s="128">
        <v>0</v>
      </c>
      <c r="F53" s="128">
        <v>0</v>
      </c>
      <c r="G53" s="128">
        <v>0</v>
      </c>
      <c r="H53" s="128">
        <v>1.0620000000000001</v>
      </c>
      <c r="I53" s="129">
        <v>1.0620000000000001</v>
      </c>
      <c r="J53" s="129">
        <v>1.0620000000000001</v>
      </c>
      <c r="K53" s="129">
        <v>1.0804501888375999</v>
      </c>
      <c r="L53" s="129">
        <v>1.1519967785234899</v>
      </c>
      <c r="M53" s="129">
        <v>1.2191379865771801</v>
      </c>
      <c r="N53" s="129">
        <v>1.2388099328859099</v>
      </c>
      <c r="O53" s="129">
        <v>1.2584343624161101</v>
      </c>
      <c r="P53" s="133"/>
      <c r="Q53" s="133"/>
      <c r="R53" s="133"/>
      <c r="S53" s="133"/>
      <c r="T53" s="133"/>
      <c r="U53" s="133"/>
      <c r="V53" s="133"/>
      <c r="W53" s="131" t="b">
        <f t="shared" si="13"/>
        <v>0</v>
      </c>
      <c r="X53" s="131" t="b">
        <f t="shared" si="13"/>
        <v>0</v>
      </c>
      <c r="Y53" s="131" t="b">
        <f t="shared" si="13"/>
        <v>0</v>
      </c>
      <c r="Z53" s="131" t="b">
        <f t="shared" si="13"/>
        <v>0</v>
      </c>
      <c r="AA53" s="131" t="b">
        <f t="shared" si="13"/>
        <v>0</v>
      </c>
      <c r="AB53" s="131" t="b">
        <f t="shared" si="13"/>
        <v>0</v>
      </c>
      <c r="AC53" s="131" t="b">
        <f t="shared" si="13"/>
        <v>0</v>
      </c>
      <c r="AD53" s="108"/>
      <c r="AE53" s="110" t="s">
        <v>136</v>
      </c>
      <c r="AF53" s="110" t="s">
        <v>136</v>
      </c>
      <c r="AG53" s="111" t="str">
        <f t="shared" si="14"/>
        <v>OK</v>
      </c>
    </row>
    <row r="54" spans="1:43">
      <c r="A54" s="115" t="s">
        <v>28</v>
      </c>
      <c r="B54" s="128">
        <v>0</v>
      </c>
      <c r="C54" s="128">
        <v>0</v>
      </c>
      <c r="D54" s="128">
        <v>0</v>
      </c>
      <c r="E54" s="128">
        <v>0</v>
      </c>
      <c r="F54" s="128">
        <v>0</v>
      </c>
      <c r="G54" s="128">
        <v>0</v>
      </c>
      <c r="H54" s="128">
        <v>3.2000000000000001E-2</v>
      </c>
      <c r="I54" s="129">
        <v>3.2000000000000001E-2</v>
      </c>
      <c r="J54" s="129">
        <v>3.2000000000000001E-2</v>
      </c>
      <c r="K54" s="129">
        <v>3.3000000000000002E-2</v>
      </c>
      <c r="L54" s="129">
        <v>3.5000000000000003E-2</v>
      </c>
      <c r="M54" s="129">
        <v>3.6999999999999998E-2</v>
      </c>
      <c r="N54" s="129">
        <v>3.6999999999999998E-2</v>
      </c>
      <c r="O54" s="129">
        <v>3.7999999999999999E-2</v>
      </c>
      <c r="P54" s="133"/>
      <c r="Q54" s="133"/>
      <c r="R54" s="133"/>
      <c r="S54" s="133"/>
      <c r="T54" s="133"/>
      <c r="U54" s="133"/>
      <c r="V54" s="133"/>
      <c r="W54" s="131" t="b">
        <f t="shared" si="13"/>
        <v>0</v>
      </c>
      <c r="X54" s="131" t="b">
        <f t="shared" si="13"/>
        <v>0</v>
      </c>
      <c r="Y54" s="131" t="b">
        <f t="shared" si="13"/>
        <v>0</v>
      </c>
      <c r="Z54" s="131" t="b">
        <f t="shared" si="13"/>
        <v>0</v>
      </c>
      <c r="AA54" s="131" t="b">
        <f t="shared" si="13"/>
        <v>0</v>
      </c>
      <c r="AB54" s="131" t="b">
        <f t="shared" si="13"/>
        <v>0</v>
      </c>
      <c r="AC54" s="131" t="b">
        <f t="shared" si="13"/>
        <v>0</v>
      </c>
      <c r="AD54" s="108"/>
      <c r="AE54" s="110" t="s">
        <v>136</v>
      </c>
      <c r="AF54" s="110" t="s">
        <v>136</v>
      </c>
      <c r="AG54" s="111" t="str">
        <f t="shared" si="14"/>
        <v>OK</v>
      </c>
    </row>
    <row r="55" spans="1:43" s="134" customFormat="1">
      <c r="A55" s="117" t="s">
        <v>129</v>
      </c>
      <c r="B55" s="128">
        <f>SUMIF($A$36:$A$54,$A$40,B$36:B$54)+SUMIF($A$36:$A$54,$A$48,B$36:B$54)</f>
        <v>0.98</v>
      </c>
      <c r="C55" s="128">
        <f t="shared" ref="C55:H55" si="16">SUMIF($A$36:$A$54,$A$40,C$36:C$54)+SUMIF($A$36:$A$54,$A$48,C$36:C$54)</f>
        <v>0.80500000000000005</v>
      </c>
      <c r="D55" s="128">
        <f t="shared" si="16"/>
        <v>0.96900000000000008</v>
      </c>
      <c r="E55" s="128">
        <f t="shared" si="16"/>
        <v>1.1439999999999999</v>
      </c>
      <c r="F55" s="128">
        <f t="shared" si="16"/>
        <v>1.4810000000000001</v>
      </c>
      <c r="G55" s="128">
        <f t="shared" si="16"/>
        <v>1.004</v>
      </c>
      <c r="H55" s="128">
        <f t="shared" si="16"/>
        <v>1.0939999999999999</v>
      </c>
      <c r="I55" s="129">
        <f>SUMIF($A$36:$A$54,$A$53,I$36:I$54)+SUMIF($A$36:$A$54,$A$54,I$36:I$54)</f>
        <v>1.0940000000000001</v>
      </c>
      <c r="J55" s="129">
        <f t="shared" ref="J55:O55" si="17">SUMIF($A$36:$A$54,$A$53,J$36:J$54)+SUMIF($A$36:$A$54,$A$54,J$36:J$54)</f>
        <v>1.0940000000000001</v>
      </c>
      <c r="K55" s="129">
        <f t="shared" si="17"/>
        <v>1.1134501888375998</v>
      </c>
      <c r="L55" s="129">
        <f t="shared" si="17"/>
        <v>1.1869967785234898</v>
      </c>
      <c r="M55" s="129">
        <f t="shared" si="17"/>
        <v>1.25613798657718</v>
      </c>
      <c r="N55" s="129">
        <f t="shared" si="17"/>
        <v>1.2758099328859098</v>
      </c>
      <c r="O55" s="129">
        <f t="shared" si="17"/>
        <v>1.2964343624161101</v>
      </c>
      <c r="P55" s="130">
        <f t="shared" ref="P55:V55" si="18">IFERROR(INTERCEPT($B55:$H55, $B$35:$H$35) +SLOPE($B55:$H55, $B$35:$H$35)*P$35,"")</f>
        <v>1.2470000000000001</v>
      </c>
      <c r="Q55" s="130">
        <f t="shared" si="18"/>
        <v>1.2917142857142858</v>
      </c>
      <c r="R55" s="130">
        <f t="shared" si="18"/>
        <v>1.3364285714285715</v>
      </c>
      <c r="S55" s="130">
        <f t="shared" si="18"/>
        <v>1.3811428571428572</v>
      </c>
      <c r="T55" s="130">
        <f t="shared" si="18"/>
        <v>1.4258571428571427</v>
      </c>
      <c r="U55" s="130">
        <f t="shared" si="18"/>
        <v>1.4705714285714286</v>
      </c>
      <c r="V55" s="130">
        <f t="shared" si="18"/>
        <v>1.5152857142857141</v>
      </c>
      <c r="W55" s="131" t="b">
        <f t="shared" si="13"/>
        <v>0</v>
      </c>
      <c r="X55" s="131" t="b">
        <f t="shared" si="13"/>
        <v>0</v>
      </c>
      <c r="Y55" s="131" t="b">
        <f t="shared" si="13"/>
        <v>0</v>
      </c>
      <c r="Z55" s="131" t="b">
        <f t="shared" si="13"/>
        <v>0</v>
      </c>
      <c r="AA55" s="131" t="b">
        <f t="shared" si="13"/>
        <v>0</v>
      </c>
      <c r="AB55" s="131" t="b">
        <f t="shared" si="13"/>
        <v>0</v>
      </c>
      <c r="AC55" s="131" t="b">
        <f t="shared" si="13"/>
        <v>0</v>
      </c>
      <c r="AD55" s="108"/>
      <c r="AE55" s="110" t="s">
        <v>136</v>
      </c>
      <c r="AF55" s="110" t="s">
        <v>136</v>
      </c>
      <c r="AG55" s="111" t="str">
        <f t="shared" si="14"/>
        <v>OK</v>
      </c>
    </row>
    <row r="56" spans="1:43" ht="13.9">
      <c r="A56" s="118" t="s">
        <v>130</v>
      </c>
      <c r="B56" s="135">
        <f t="shared" ref="B56:V56" si="19">SUM(B36:B54)</f>
        <v>8.5890000000000022</v>
      </c>
      <c r="C56" s="135">
        <f t="shared" si="19"/>
        <v>8.2730000000000015</v>
      </c>
      <c r="D56" s="135">
        <f t="shared" si="19"/>
        <v>8.5414216867469879</v>
      </c>
      <c r="E56" s="135">
        <f t="shared" si="19"/>
        <v>10.267589803554722</v>
      </c>
      <c r="F56" s="135">
        <f t="shared" si="19"/>
        <v>10.305999999999999</v>
      </c>
      <c r="G56" s="135">
        <f t="shared" si="19"/>
        <v>9.4120000000000008</v>
      </c>
      <c r="H56" s="135">
        <f t="shared" si="19"/>
        <v>11.591999999999999</v>
      </c>
      <c r="I56" s="136">
        <f t="shared" si="19"/>
        <v>8.4441344959172326</v>
      </c>
      <c r="J56" s="136">
        <f t="shared" si="19"/>
        <v>8.6650753542192493</v>
      </c>
      <c r="K56" s="136">
        <f t="shared" si="19"/>
        <v>1.5424368120297203</v>
      </c>
      <c r="L56" s="136">
        <f t="shared" si="19"/>
        <v>9.2330883657950675</v>
      </c>
      <c r="M56" s="136">
        <f t="shared" si="19"/>
        <v>9.3404519320266512</v>
      </c>
      <c r="N56" s="136">
        <f t="shared" si="19"/>
        <v>9.3929526198865076</v>
      </c>
      <c r="O56" s="136">
        <f t="shared" si="19"/>
        <v>9.4350454320853316</v>
      </c>
      <c r="P56" s="137">
        <f t="shared" si="19"/>
        <v>9.5610842576506734</v>
      </c>
      <c r="Q56" s="137">
        <f t="shared" si="19"/>
        <v>9.8652834831239957</v>
      </c>
      <c r="R56" s="137">
        <f t="shared" si="19"/>
        <v>10.169482708597318</v>
      </c>
      <c r="S56" s="137">
        <f t="shared" si="19"/>
        <v>10.47368193407064</v>
      </c>
      <c r="T56" s="137">
        <f t="shared" si="19"/>
        <v>10.777881159543965</v>
      </c>
      <c r="U56" s="137">
        <f t="shared" si="19"/>
        <v>11.082080385017283</v>
      </c>
      <c r="V56" s="137">
        <f t="shared" si="19"/>
        <v>11.386279610490609</v>
      </c>
      <c r="W56" s="122" t="b">
        <f t="shared" si="13"/>
        <v>0</v>
      </c>
      <c r="X56" s="122" t="b">
        <f t="shared" si="13"/>
        <v>0</v>
      </c>
      <c r="Y56" s="122" t="b">
        <f t="shared" si="13"/>
        <v>0</v>
      </c>
      <c r="Z56" s="122" t="b">
        <f t="shared" si="13"/>
        <v>0</v>
      </c>
      <c r="AA56" s="122" t="b">
        <f t="shared" si="13"/>
        <v>0</v>
      </c>
      <c r="AB56" s="122" t="b">
        <f t="shared" si="13"/>
        <v>0</v>
      </c>
      <c r="AC56" s="122" t="b">
        <f t="shared" si="13"/>
        <v>0</v>
      </c>
      <c r="AD56" s="123"/>
      <c r="AE56" s="108"/>
      <c r="AF56" s="124"/>
      <c r="AG56" s="125"/>
    </row>
    <row r="58" spans="1:43" ht="17.649999999999999">
      <c r="A58" s="74" t="s">
        <v>138</v>
      </c>
      <c r="B58" s="75"/>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row>
    <row r="59" spans="1:43">
      <c r="A59" s="77" t="s">
        <v>139</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row>
    <row r="60" spans="1:43" ht="14.85" customHeight="1">
      <c r="A60" s="79"/>
      <c r="B60" s="80" t="s">
        <v>37</v>
      </c>
      <c r="C60" s="81"/>
      <c r="D60" s="81"/>
      <c r="E60" s="81"/>
      <c r="F60" s="81"/>
      <c r="G60" s="81"/>
      <c r="H60" s="82"/>
      <c r="I60" s="126" t="s">
        <v>113</v>
      </c>
      <c r="J60" s="83"/>
      <c r="K60" s="83"/>
      <c r="L60" s="83"/>
      <c r="M60" s="83"/>
      <c r="N60" s="83"/>
      <c r="O60" s="84"/>
      <c r="P60" s="85" t="s">
        <v>114</v>
      </c>
      <c r="Q60" s="86"/>
      <c r="R60" s="86"/>
      <c r="S60" s="86"/>
      <c r="T60" s="86"/>
      <c r="U60" s="86"/>
      <c r="V60" s="87"/>
      <c r="W60" s="88" t="s">
        <v>131</v>
      </c>
      <c r="X60" s="89"/>
      <c r="Y60" s="89"/>
      <c r="Z60" s="89"/>
      <c r="AA60" s="89"/>
      <c r="AB60" s="89"/>
      <c r="AC60" s="90"/>
      <c r="AD60" s="249"/>
      <c r="AE60" s="91"/>
    </row>
    <row r="61" spans="1:43" ht="15" customHeight="1">
      <c r="A61" s="92"/>
      <c r="B61" s="93" t="s">
        <v>115</v>
      </c>
      <c r="C61" s="93" t="s">
        <v>116</v>
      </c>
      <c r="D61" s="93" t="s">
        <v>117</v>
      </c>
      <c r="E61" s="93" t="s">
        <v>118</v>
      </c>
      <c r="F61" s="93" t="s">
        <v>119</v>
      </c>
      <c r="G61" s="93" t="s">
        <v>120</v>
      </c>
      <c r="H61" s="93" t="s">
        <v>121</v>
      </c>
      <c r="I61" s="127" t="s">
        <v>122</v>
      </c>
      <c r="J61" s="127" t="s">
        <v>123</v>
      </c>
      <c r="K61" s="127" t="s">
        <v>124</v>
      </c>
      <c r="L61" s="127" t="s">
        <v>125</v>
      </c>
      <c r="M61" s="127" t="s">
        <v>126</v>
      </c>
      <c r="N61" s="127" t="s">
        <v>127</v>
      </c>
      <c r="O61" s="127" t="s">
        <v>128</v>
      </c>
      <c r="P61" s="95" t="s">
        <v>122</v>
      </c>
      <c r="Q61" s="95" t="s">
        <v>123</v>
      </c>
      <c r="R61" s="95" t="s">
        <v>124</v>
      </c>
      <c r="S61" s="95" t="s">
        <v>125</v>
      </c>
      <c r="T61" s="95" t="s">
        <v>126</v>
      </c>
      <c r="U61" s="95" t="s">
        <v>127</v>
      </c>
      <c r="V61" s="95" t="s">
        <v>128</v>
      </c>
      <c r="W61" s="96" t="s">
        <v>122</v>
      </c>
      <c r="X61" s="96" t="s">
        <v>123</v>
      </c>
      <c r="Y61" s="96" t="s">
        <v>124</v>
      </c>
      <c r="Z61" s="96" t="s">
        <v>125</v>
      </c>
      <c r="AA61" s="96" t="s">
        <v>126</v>
      </c>
      <c r="AB61" s="96" t="s">
        <v>127</v>
      </c>
      <c r="AC61" s="96" t="s">
        <v>128</v>
      </c>
      <c r="AD61" s="250"/>
      <c r="AE61" s="252" t="s">
        <v>131</v>
      </c>
      <c r="AF61" s="252" t="s">
        <v>132</v>
      </c>
      <c r="AG61" s="252" t="s">
        <v>133</v>
      </c>
    </row>
    <row r="62" spans="1:43">
      <c r="A62" s="97" t="s">
        <v>134</v>
      </c>
      <c r="B62" s="97">
        <v>1</v>
      </c>
      <c r="C62" s="97">
        <v>2</v>
      </c>
      <c r="D62" s="97">
        <v>3</v>
      </c>
      <c r="E62" s="97">
        <v>4</v>
      </c>
      <c r="F62" s="97">
        <v>5</v>
      </c>
      <c r="G62" s="97">
        <v>6</v>
      </c>
      <c r="H62" s="98">
        <v>7</v>
      </c>
      <c r="I62" s="99">
        <v>8</v>
      </c>
      <c r="J62" s="99">
        <v>9</v>
      </c>
      <c r="K62" s="99">
        <v>10</v>
      </c>
      <c r="L62" s="99">
        <v>11</v>
      </c>
      <c r="M62" s="99">
        <v>12</v>
      </c>
      <c r="N62" s="99">
        <v>13</v>
      </c>
      <c r="O62" s="99">
        <v>14</v>
      </c>
      <c r="P62" s="100">
        <f>H62+1</f>
        <v>8</v>
      </c>
      <c r="Q62" s="100">
        <f t="shared" ref="Q62:V62" si="20">P62+1</f>
        <v>9</v>
      </c>
      <c r="R62" s="100">
        <f t="shared" si="20"/>
        <v>10</v>
      </c>
      <c r="S62" s="100">
        <f t="shared" si="20"/>
        <v>11</v>
      </c>
      <c r="T62" s="100">
        <f t="shared" si="20"/>
        <v>12</v>
      </c>
      <c r="U62" s="100">
        <f t="shared" si="20"/>
        <v>13</v>
      </c>
      <c r="V62" s="100">
        <f t="shared" si="20"/>
        <v>14</v>
      </c>
      <c r="W62" s="101">
        <v>8</v>
      </c>
      <c r="X62" s="101">
        <v>9</v>
      </c>
      <c r="Y62" s="101">
        <v>10</v>
      </c>
      <c r="Z62" s="101">
        <v>11</v>
      </c>
      <c r="AA62" s="101">
        <v>12</v>
      </c>
      <c r="AB62" s="101">
        <v>13</v>
      </c>
      <c r="AC62" s="101">
        <v>14</v>
      </c>
      <c r="AD62" s="102"/>
      <c r="AE62" s="253"/>
      <c r="AF62" s="253"/>
      <c r="AG62" s="253"/>
    </row>
    <row r="63" spans="1:43" ht="13.9">
      <c r="A63" s="103" t="s">
        <v>8</v>
      </c>
      <c r="B63" s="104">
        <v>16.361000000000001</v>
      </c>
      <c r="C63" s="104">
        <v>14.095000000000001</v>
      </c>
      <c r="D63" s="104">
        <v>15.052</v>
      </c>
      <c r="E63" s="104">
        <v>17.410999999999998</v>
      </c>
      <c r="F63" s="104">
        <v>16.170999999999999</v>
      </c>
      <c r="G63" s="104">
        <v>15.116</v>
      </c>
      <c r="H63" s="104">
        <v>21.579000000000001</v>
      </c>
      <c r="I63" s="105">
        <v>20.335000000000001</v>
      </c>
      <c r="J63" s="105">
        <v>24.073</v>
      </c>
      <c r="K63" s="105">
        <v>33.315000000000005</v>
      </c>
      <c r="L63" s="105">
        <v>37.161999999999999</v>
      </c>
      <c r="M63" s="105">
        <v>38.911999999999999</v>
      </c>
      <c r="N63" s="105">
        <v>38.713000000000001</v>
      </c>
      <c r="O63" s="105">
        <v>35.708000000000006</v>
      </c>
      <c r="P63" s="106">
        <f>IFERROR(INTERCEPT($B63:$H63, $B$62:$H$62) +SLOPE($B63:$H63, $B$62:$H$62)*P$62,"")</f>
        <v>19.228571428571428</v>
      </c>
      <c r="Q63" s="106">
        <f t="shared" ref="Q63:V78" si="21">IFERROR(INTERCEPT($B63:$H63, $B$62:$H$62) +SLOPE($B63:$H63, $B$62:$H$62)*Q$62,"")</f>
        <v>19.900535714285713</v>
      </c>
      <c r="R63" s="106">
        <f t="shared" si="21"/>
        <v>20.572499999999998</v>
      </c>
      <c r="S63" s="106">
        <f t="shared" si="21"/>
        <v>21.244464285714283</v>
      </c>
      <c r="T63" s="106">
        <f t="shared" si="21"/>
        <v>21.916428571428568</v>
      </c>
      <c r="U63" s="106">
        <f t="shared" si="21"/>
        <v>22.588392857142857</v>
      </c>
      <c r="V63" s="106">
        <f t="shared" si="21"/>
        <v>23.260357142857139</v>
      </c>
      <c r="W63" s="107">
        <f t="shared" ref="W63:AC82" si="22" xml:space="preserve"> IF($AE63="Company forecast",I63, IF($AE63="Ofwat forecast",P63))</f>
        <v>20.335000000000001</v>
      </c>
      <c r="X63" s="107">
        <f t="shared" si="22"/>
        <v>24.073</v>
      </c>
      <c r="Y63" s="107">
        <f t="shared" si="22"/>
        <v>33.315000000000005</v>
      </c>
      <c r="Z63" s="107">
        <f t="shared" si="22"/>
        <v>37.161999999999999</v>
      </c>
      <c r="AA63" s="107">
        <f t="shared" si="22"/>
        <v>38.911999999999999</v>
      </c>
      <c r="AB63" s="107">
        <f t="shared" si="22"/>
        <v>38.713000000000001</v>
      </c>
      <c r="AC63" s="107">
        <f t="shared" si="22"/>
        <v>35.708000000000006</v>
      </c>
      <c r="AD63" s="108"/>
      <c r="AE63" s="109" t="s">
        <v>80</v>
      </c>
      <c r="AF63" s="110" t="s">
        <v>80</v>
      </c>
      <c r="AG63" s="111" t="str">
        <f t="shared" ref="AG63:AG82" si="23" xml:space="preserve"> IF(AE63=AF63, "OK", "error")</f>
        <v>OK</v>
      </c>
      <c r="AI63" s="216" t="s">
        <v>141</v>
      </c>
      <c r="AJ63" s="217"/>
      <c r="AK63" s="217"/>
      <c r="AL63" s="217"/>
      <c r="AM63" s="217"/>
      <c r="AN63" s="217"/>
      <c r="AO63" s="217"/>
      <c r="AP63" s="217"/>
      <c r="AQ63" s="218"/>
    </row>
    <row r="64" spans="1:43">
      <c r="A64" s="103" t="s">
        <v>9</v>
      </c>
      <c r="B64" s="104">
        <v>8.6539999999999999</v>
      </c>
      <c r="C64" s="104">
        <v>8.4749999999999996</v>
      </c>
      <c r="D64" s="104">
        <v>10.144</v>
      </c>
      <c r="E64" s="104">
        <v>13.215</v>
      </c>
      <c r="F64" s="104">
        <v>13.062999999999999</v>
      </c>
      <c r="G64" s="104">
        <v>13.472</v>
      </c>
      <c r="H64" s="104">
        <v>14.341999999999999</v>
      </c>
      <c r="I64" s="105">
        <v>17.741</v>
      </c>
      <c r="J64" s="105">
        <v>18.404</v>
      </c>
      <c r="K64" s="105">
        <v>18.954000000000001</v>
      </c>
      <c r="L64" s="105">
        <v>18.742000000000001</v>
      </c>
      <c r="M64" s="105">
        <v>18.196999999999999</v>
      </c>
      <c r="N64" s="105">
        <v>17.559999999999999</v>
      </c>
      <c r="O64" s="105">
        <v>17.727999999999998</v>
      </c>
      <c r="P64" s="106">
        <f t="shared" ref="P64:V79" si="24">IFERROR(INTERCEPT($B64:$H64, $B$62:$H$62) +SLOPE($B64:$H64, $B$62:$H$62)*P$62,"")</f>
        <v>15.905999999999999</v>
      </c>
      <c r="Q64" s="106">
        <f t="shared" si="21"/>
        <v>16.976607142857141</v>
      </c>
      <c r="R64" s="106">
        <f t="shared" si="21"/>
        <v>18.047214285714283</v>
      </c>
      <c r="S64" s="106">
        <f t="shared" si="21"/>
        <v>19.117821428571425</v>
      </c>
      <c r="T64" s="106">
        <f t="shared" si="21"/>
        <v>20.188428571428567</v>
      </c>
      <c r="U64" s="106">
        <f t="shared" si="21"/>
        <v>21.259035714285712</v>
      </c>
      <c r="V64" s="106">
        <f t="shared" si="21"/>
        <v>22.329642857142854</v>
      </c>
      <c r="W64" s="107">
        <f t="shared" si="22"/>
        <v>17.741</v>
      </c>
      <c r="X64" s="107">
        <f t="shared" si="22"/>
        <v>18.404</v>
      </c>
      <c r="Y64" s="107">
        <f t="shared" si="22"/>
        <v>18.954000000000001</v>
      </c>
      <c r="Z64" s="107">
        <f t="shared" si="22"/>
        <v>18.742000000000001</v>
      </c>
      <c r="AA64" s="107">
        <f t="shared" si="22"/>
        <v>18.196999999999999</v>
      </c>
      <c r="AB64" s="107">
        <f t="shared" si="22"/>
        <v>17.559999999999999</v>
      </c>
      <c r="AC64" s="107">
        <f t="shared" si="22"/>
        <v>17.727999999999998</v>
      </c>
      <c r="AD64" s="108"/>
      <c r="AE64" s="109" t="s">
        <v>80</v>
      </c>
      <c r="AF64" s="110" t="s">
        <v>80</v>
      </c>
      <c r="AG64" s="111" t="str">
        <f t="shared" si="23"/>
        <v>OK</v>
      </c>
      <c r="AI64" s="243" t="s">
        <v>142</v>
      </c>
      <c r="AJ64" s="244"/>
      <c r="AK64" s="244"/>
      <c r="AL64" s="244"/>
      <c r="AM64" s="244"/>
      <c r="AN64" s="244"/>
      <c r="AO64" s="244"/>
      <c r="AP64" s="244"/>
      <c r="AQ64" s="245"/>
    </row>
    <row r="65" spans="1:43">
      <c r="A65" s="103" t="s">
        <v>10</v>
      </c>
      <c r="B65" s="104">
        <v>12.666</v>
      </c>
      <c r="C65" s="104">
        <v>12.279</v>
      </c>
      <c r="D65" s="104">
        <v>13.344999999999999</v>
      </c>
      <c r="E65" s="104">
        <v>16.141000000000002</v>
      </c>
      <c r="F65" s="104">
        <v>19.992000000000001</v>
      </c>
      <c r="G65" s="104">
        <v>20.74</v>
      </c>
      <c r="H65" s="104">
        <v>23.302</v>
      </c>
      <c r="I65" s="105">
        <v>23.245000000000001</v>
      </c>
      <c r="J65" s="105">
        <v>24.395</v>
      </c>
      <c r="K65" s="105">
        <v>25.544</v>
      </c>
      <c r="L65" s="105">
        <v>26.695</v>
      </c>
      <c r="M65" s="105">
        <v>27.844999999999999</v>
      </c>
      <c r="N65" s="105">
        <v>28.995000000000001</v>
      </c>
      <c r="O65" s="105">
        <v>30.143999999999998</v>
      </c>
      <c r="P65" s="106">
        <f t="shared" si="24"/>
        <v>24.848857142857142</v>
      </c>
      <c r="Q65" s="106">
        <f t="shared" si="21"/>
        <v>26.830178571428569</v>
      </c>
      <c r="R65" s="106">
        <f t="shared" si="21"/>
        <v>28.811499999999999</v>
      </c>
      <c r="S65" s="106">
        <f t="shared" si="21"/>
        <v>30.792821428571429</v>
      </c>
      <c r="T65" s="106">
        <f t="shared" si="21"/>
        <v>32.774142857142856</v>
      </c>
      <c r="U65" s="106">
        <f t="shared" si="21"/>
        <v>34.755464285714282</v>
      </c>
      <c r="V65" s="106">
        <f t="shared" si="21"/>
        <v>36.736785714285716</v>
      </c>
      <c r="W65" s="107">
        <f t="shared" si="22"/>
        <v>23.245000000000001</v>
      </c>
      <c r="X65" s="107">
        <f t="shared" si="22"/>
        <v>24.395</v>
      </c>
      <c r="Y65" s="107">
        <f t="shared" si="22"/>
        <v>25.544</v>
      </c>
      <c r="Z65" s="107">
        <f t="shared" si="22"/>
        <v>26.695</v>
      </c>
      <c r="AA65" s="107">
        <f t="shared" si="22"/>
        <v>27.844999999999999</v>
      </c>
      <c r="AB65" s="107">
        <f t="shared" si="22"/>
        <v>28.995000000000001</v>
      </c>
      <c r="AC65" s="107">
        <f t="shared" si="22"/>
        <v>30.143999999999998</v>
      </c>
      <c r="AD65" s="108"/>
      <c r="AE65" s="109" t="s">
        <v>80</v>
      </c>
      <c r="AF65" s="110" t="s">
        <v>80</v>
      </c>
      <c r="AG65" s="111" t="str">
        <f t="shared" si="23"/>
        <v>OK</v>
      </c>
      <c r="AI65" s="243"/>
      <c r="AJ65" s="244"/>
      <c r="AK65" s="244"/>
      <c r="AL65" s="244"/>
      <c r="AM65" s="244"/>
      <c r="AN65" s="244"/>
      <c r="AO65" s="244"/>
      <c r="AP65" s="244"/>
      <c r="AQ65" s="245"/>
    </row>
    <row r="66" spans="1:43">
      <c r="A66" s="103" t="s">
        <v>11</v>
      </c>
      <c r="B66" s="104">
        <v>6.5200000000000005</v>
      </c>
      <c r="C66" s="104">
        <v>5.556</v>
      </c>
      <c r="D66" s="104">
        <v>6.0569999999999995</v>
      </c>
      <c r="E66" s="104">
        <v>7.5750000000000002</v>
      </c>
      <c r="F66" s="104">
        <v>6.9770000000000003</v>
      </c>
      <c r="G66" s="104">
        <v>7.1269999999999998</v>
      </c>
      <c r="H66" s="104">
        <v>7.843</v>
      </c>
      <c r="I66" s="105">
        <v>7.7290000000000001</v>
      </c>
      <c r="J66" s="105">
        <v>7.431</v>
      </c>
      <c r="K66" s="105">
        <v>13.896000000000001</v>
      </c>
      <c r="L66" s="105">
        <v>13.257000000000001</v>
      </c>
      <c r="M66" s="105">
        <v>12.895000000000001</v>
      </c>
      <c r="N66" s="105">
        <v>12.782999999999999</v>
      </c>
      <c r="O66" s="105">
        <v>12.132000000000001</v>
      </c>
      <c r="P66" s="106">
        <f t="shared" si="24"/>
        <v>7.9551428571428566</v>
      </c>
      <c r="Q66" s="106">
        <f t="shared" si="21"/>
        <v>8.2419642857142854</v>
      </c>
      <c r="R66" s="106">
        <f t="shared" si="21"/>
        <v>8.5287857142857142</v>
      </c>
      <c r="S66" s="106">
        <f t="shared" si="21"/>
        <v>8.815607142857143</v>
      </c>
      <c r="T66" s="106">
        <f t="shared" si="21"/>
        <v>9.1024285714285718</v>
      </c>
      <c r="U66" s="106">
        <f t="shared" si="21"/>
        <v>9.3892500000000005</v>
      </c>
      <c r="V66" s="106">
        <f t="shared" si="21"/>
        <v>9.6760714285714293</v>
      </c>
      <c r="W66" s="107">
        <f t="shared" si="22"/>
        <v>7.7290000000000001</v>
      </c>
      <c r="X66" s="107">
        <f t="shared" si="22"/>
        <v>7.431</v>
      </c>
      <c r="Y66" s="107">
        <f t="shared" si="22"/>
        <v>13.896000000000001</v>
      </c>
      <c r="Z66" s="107">
        <f t="shared" si="22"/>
        <v>13.257000000000001</v>
      </c>
      <c r="AA66" s="107">
        <f t="shared" si="22"/>
        <v>12.895000000000001</v>
      </c>
      <c r="AB66" s="107">
        <f t="shared" si="22"/>
        <v>12.782999999999999</v>
      </c>
      <c r="AC66" s="107">
        <f t="shared" si="22"/>
        <v>12.132000000000001</v>
      </c>
      <c r="AD66" s="108"/>
      <c r="AE66" s="109" t="s">
        <v>80</v>
      </c>
      <c r="AF66" s="110" t="s">
        <v>80</v>
      </c>
      <c r="AG66" s="111" t="str">
        <f t="shared" si="23"/>
        <v>OK</v>
      </c>
      <c r="AI66" s="243"/>
      <c r="AJ66" s="244"/>
      <c r="AK66" s="244"/>
      <c r="AL66" s="244"/>
      <c r="AM66" s="244"/>
      <c r="AN66" s="244"/>
      <c r="AO66" s="244"/>
      <c r="AP66" s="244"/>
      <c r="AQ66" s="245"/>
    </row>
    <row r="67" spans="1:43">
      <c r="A67" s="103" t="s">
        <v>12</v>
      </c>
      <c r="B67" s="104">
        <v>16.058</v>
      </c>
      <c r="C67" s="104">
        <v>13.170000000000002</v>
      </c>
      <c r="D67" s="104">
        <v>15.509</v>
      </c>
      <c r="E67" s="104">
        <v>18.561</v>
      </c>
      <c r="F67" s="104">
        <v>21.242000000000001</v>
      </c>
      <c r="G67" s="104">
        <v>19.772000000000002</v>
      </c>
      <c r="H67" s="104">
        <v>23.189999999999998</v>
      </c>
      <c r="I67" s="105" t="s">
        <v>162</v>
      </c>
      <c r="J67" s="105" t="s">
        <v>162</v>
      </c>
      <c r="K67" s="105" t="s">
        <v>162</v>
      </c>
      <c r="L67" s="105" t="s">
        <v>162</v>
      </c>
      <c r="M67" s="105" t="s">
        <v>162</v>
      </c>
      <c r="N67" s="105" t="s">
        <v>162</v>
      </c>
      <c r="O67" s="105" t="s">
        <v>162</v>
      </c>
      <c r="P67" s="106">
        <v>0</v>
      </c>
      <c r="Q67" s="106">
        <v>0</v>
      </c>
      <c r="R67" s="106">
        <v>0</v>
      </c>
      <c r="S67" s="106">
        <v>0</v>
      </c>
      <c r="T67" s="106">
        <v>0</v>
      </c>
      <c r="U67" s="106">
        <v>0</v>
      </c>
      <c r="V67" s="106">
        <v>0</v>
      </c>
      <c r="W67" s="107" t="str">
        <f t="shared" si="22"/>
        <v/>
      </c>
      <c r="X67" s="107" t="str">
        <f t="shared" si="22"/>
        <v/>
      </c>
      <c r="Y67" s="107" t="str">
        <f t="shared" si="22"/>
        <v/>
      </c>
      <c r="Z67" s="107" t="str">
        <f t="shared" si="22"/>
        <v/>
      </c>
      <c r="AA67" s="107" t="str">
        <f t="shared" si="22"/>
        <v/>
      </c>
      <c r="AB67" s="107" t="str">
        <f t="shared" si="22"/>
        <v/>
      </c>
      <c r="AC67" s="107" t="str">
        <f t="shared" si="22"/>
        <v/>
      </c>
      <c r="AD67" s="108"/>
      <c r="AE67" s="109" t="s">
        <v>80</v>
      </c>
      <c r="AF67" s="110" t="s">
        <v>80</v>
      </c>
      <c r="AG67" s="111" t="str">
        <f t="shared" si="23"/>
        <v>OK</v>
      </c>
      <c r="AI67" s="246" t="s">
        <v>143</v>
      </c>
      <c r="AJ67" s="247"/>
      <c r="AK67" s="247"/>
      <c r="AL67" s="247"/>
      <c r="AM67" s="247"/>
      <c r="AN67" s="247"/>
      <c r="AO67" s="247"/>
      <c r="AP67" s="247"/>
      <c r="AQ67" s="248"/>
    </row>
    <row r="68" spans="1:43">
      <c r="A68" s="114" t="s">
        <v>14</v>
      </c>
      <c r="B68" s="104">
        <v>7.2510000000000003</v>
      </c>
      <c r="C68" s="104">
        <v>5.9459999999999997</v>
      </c>
      <c r="D68" s="104">
        <v>6.9009999999999998</v>
      </c>
      <c r="E68" s="104">
        <v>8.5510000000000002</v>
      </c>
      <c r="F68" s="104">
        <v>8.5410000000000004</v>
      </c>
      <c r="G68" s="104">
        <v>8.9909999999999997</v>
      </c>
      <c r="H68" s="104">
        <v>9.7169999999999987</v>
      </c>
      <c r="I68" s="105">
        <v>9.7349999999999994</v>
      </c>
      <c r="J68" s="105">
        <v>9.5090000000000003</v>
      </c>
      <c r="K68" s="105">
        <v>9.3060000000000009</v>
      </c>
      <c r="L68" s="105">
        <v>9.4139999999999997</v>
      </c>
      <c r="M68" s="105">
        <v>9.1319999999999997</v>
      </c>
      <c r="N68" s="105">
        <v>9.3060000000000009</v>
      </c>
      <c r="O68" s="105">
        <v>9.0970000000000013</v>
      </c>
      <c r="P68" s="106">
        <f t="shared" si="24"/>
        <v>10.146571428571427</v>
      </c>
      <c r="Q68" s="106">
        <f t="shared" si="21"/>
        <v>10.686857142857143</v>
      </c>
      <c r="R68" s="106">
        <f t="shared" si="21"/>
        <v>11.227142857142855</v>
      </c>
      <c r="S68" s="106">
        <f t="shared" si="21"/>
        <v>11.767428571428571</v>
      </c>
      <c r="T68" s="106">
        <f t="shared" si="21"/>
        <v>12.307714285714285</v>
      </c>
      <c r="U68" s="106">
        <f t="shared" si="21"/>
        <v>12.847999999999999</v>
      </c>
      <c r="V68" s="106">
        <f t="shared" si="21"/>
        <v>13.388285714285713</v>
      </c>
      <c r="W68" s="107">
        <f t="shared" si="22"/>
        <v>9.7349999999999994</v>
      </c>
      <c r="X68" s="107">
        <f t="shared" si="22"/>
        <v>9.5090000000000003</v>
      </c>
      <c r="Y68" s="107">
        <f t="shared" si="22"/>
        <v>9.3060000000000009</v>
      </c>
      <c r="Z68" s="107">
        <f t="shared" si="22"/>
        <v>9.4139999999999997</v>
      </c>
      <c r="AA68" s="107">
        <f t="shared" si="22"/>
        <v>9.1319999999999997</v>
      </c>
      <c r="AB68" s="107">
        <f t="shared" si="22"/>
        <v>9.3060000000000009</v>
      </c>
      <c r="AC68" s="107">
        <f t="shared" si="22"/>
        <v>9.0970000000000013</v>
      </c>
      <c r="AD68" s="108"/>
      <c r="AE68" s="109" t="s">
        <v>80</v>
      </c>
      <c r="AF68" s="110" t="s">
        <v>80</v>
      </c>
      <c r="AG68" s="111" t="str">
        <f t="shared" si="23"/>
        <v>OK</v>
      </c>
      <c r="AI68" s="246"/>
      <c r="AJ68" s="247"/>
      <c r="AK68" s="247"/>
      <c r="AL68" s="247"/>
      <c r="AM68" s="247"/>
      <c r="AN68" s="247"/>
      <c r="AO68" s="247"/>
      <c r="AP68" s="247"/>
      <c r="AQ68" s="248"/>
    </row>
    <row r="69" spans="1:43">
      <c r="A69" s="103" t="s">
        <v>15</v>
      </c>
      <c r="B69" s="104">
        <v>25.312000000000001</v>
      </c>
      <c r="C69" s="104">
        <v>25.768000000000001</v>
      </c>
      <c r="D69" s="104">
        <v>22.106999999999999</v>
      </c>
      <c r="E69" s="104">
        <v>31.154999999999998</v>
      </c>
      <c r="F69" s="104">
        <v>35.347000000000001</v>
      </c>
      <c r="G69" s="104">
        <v>41.638999999999996</v>
      </c>
      <c r="H69" s="104">
        <v>38.911000000000001</v>
      </c>
      <c r="I69" s="105">
        <v>46.824999999999996</v>
      </c>
      <c r="J69" s="105">
        <v>48.561999999999998</v>
      </c>
      <c r="K69" s="105">
        <v>47.704000000000001</v>
      </c>
      <c r="L69" s="105">
        <v>45.138999999999996</v>
      </c>
      <c r="M69" s="105">
        <v>41.955999999999996</v>
      </c>
      <c r="N69" s="105">
        <v>40.768000000000001</v>
      </c>
      <c r="O69" s="105">
        <v>39.969000000000001</v>
      </c>
      <c r="P69" s="106">
        <f t="shared" si="24"/>
        <v>43.716857142857137</v>
      </c>
      <c r="Q69" s="106">
        <f t="shared" si="21"/>
        <v>46.78039285714285</v>
      </c>
      <c r="R69" s="106">
        <f t="shared" si="21"/>
        <v>49.843928571428563</v>
      </c>
      <c r="S69" s="106">
        <f t="shared" si="21"/>
        <v>52.907464285714276</v>
      </c>
      <c r="T69" s="106">
        <f t="shared" si="21"/>
        <v>55.970999999999997</v>
      </c>
      <c r="U69" s="106">
        <f t="shared" si="21"/>
        <v>59.03453571428571</v>
      </c>
      <c r="V69" s="106">
        <f t="shared" si="21"/>
        <v>62.098071428571423</v>
      </c>
      <c r="W69" s="107">
        <f t="shared" si="22"/>
        <v>46.824999999999996</v>
      </c>
      <c r="X69" s="107">
        <f t="shared" si="22"/>
        <v>48.561999999999998</v>
      </c>
      <c r="Y69" s="107">
        <f t="shared" si="22"/>
        <v>47.704000000000001</v>
      </c>
      <c r="Z69" s="107">
        <f t="shared" si="22"/>
        <v>45.138999999999996</v>
      </c>
      <c r="AA69" s="107">
        <f t="shared" si="22"/>
        <v>41.955999999999996</v>
      </c>
      <c r="AB69" s="107">
        <f t="shared" si="22"/>
        <v>40.768000000000001</v>
      </c>
      <c r="AC69" s="107">
        <f t="shared" si="22"/>
        <v>39.969000000000001</v>
      </c>
      <c r="AD69" s="108"/>
      <c r="AE69" s="109" t="s">
        <v>80</v>
      </c>
      <c r="AF69" s="110" t="s">
        <v>80</v>
      </c>
      <c r="AG69" s="111" t="str">
        <f t="shared" si="23"/>
        <v>OK</v>
      </c>
      <c r="AI69" s="246"/>
      <c r="AJ69" s="247"/>
      <c r="AK69" s="247"/>
      <c r="AL69" s="247"/>
      <c r="AM69" s="247"/>
      <c r="AN69" s="247"/>
      <c r="AO69" s="247"/>
      <c r="AP69" s="247"/>
      <c r="AQ69" s="248"/>
    </row>
    <row r="70" spans="1:43">
      <c r="A70" s="103" t="s">
        <v>16</v>
      </c>
      <c r="B70" s="104">
        <v>7.5730000000000004</v>
      </c>
      <c r="C70" s="104">
        <v>5.2990000000000004</v>
      </c>
      <c r="D70" s="104">
        <v>6.4649999999999999</v>
      </c>
      <c r="E70" s="104">
        <v>7.4260000000000002</v>
      </c>
      <c r="F70" s="104">
        <v>7.5630000000000006</v>
      </c>
      <c r="G70" s="104">
        <v>6.91</v>
      </c>
      <c r="H70" s="104">
        <v>7.0279999999999996</v>
      </c>
      <c r="I70" s="105">
        <v>7.0830000000000002</v>
      </c>
      <c r="J70" s="105">
        <v>8.6510000000000016</v>
      </c>
      <c r="K70" s="105">
        <v>8.859</v>
      </c>
      <c r="L70" s="105">
        <v>9</v>
      </c>
      <c r="M70" s="105">
        <v>9.1390000000000011</v>
      </c>
      <c r="N70" s="105">
        <v>9.1719999999999988</v>
      </c>
      <c r="O70" s="105">
        <v>9.2030000000000012</v>
      </c>
      <c r="P70" s="106">
        <f t="shared" si="24"/>
        <v>7.2784285714285719</v>
      </c>
      <c r="Q70" s="106">
        <f t="shared" si="21"/>
        <v>7.3743214285714291</v>
      </c>
      <c r="R70" s="106">
        <f t="shared" si="21"/>
        <v>7.4702142857142855</v>
      </c>
      <c r="S70" s="106">
        <f t="shared" si="21"/>
        <v>7.5661071428571427</v>
      </c>
      <c r="T70" s="106">
        <f t="shared" si="21"/>
        <v>7.6619999999999999</v>
      </c>
      <c r="U70" s="106">
        <f t="shared" si="21"/>
        <v>7.7578928571428571</v>
      </c>
      <c r="V70" s="106">
        <f t="shared" si="21"/>
        <v>7.8537857142857135</v>
      </c>
      <c r="W70" s="107">
        <f t="shared" si="22"/>
        <v>7.0830000000000002</v>
      </c>
      <c r="X70" s="107">
        <f t="shared" si="22"/>
        <v>8.6510000000000016</v>
      </c>
      <c r="Y70" s="107">
        <f t="shared" si="22"/>
        <v>8.859</v>
      </c>
      <c r="Z70" s="107">
        <f t="shared" si="22"/>
        <v>9</v>
      </c>
      <c r="AA70" s="107">
        <f t="shared" si="22"/>
        <v>9.1390000000000011</v>
      </c>
      <c r="AB70" s="107">
        <f t="shared" si="22"/>
        <v>9.1719999999999988</v>
      </c>
      <c r="AC70" s="107">
        <f t="shared" si="22"/>
        <v>9.2030000000000012</v>
      </c>
      <c r="AD70" s="108"/>
      <c r="AE70" s="109" t="s">
        <v>80</v>
      </c>
      <c r="AF70" s="110" t="s">
        <v>80</v>
      </c>
      <c r="AG70" s="111" t="str">
        <f t="shared" si="23"/>
        <v>OK</v>
      </c>
      <c r="AI70" s="222"/>
      <c r="AJ70" s="91"/>
      <c r="AK70" s="91"/>
      <c r="AL70" s="91"/>
      <c r="AM70" s="91"/>
      <c r="AN70" s="91"/>
      <c r="AO70" s="91"/>
      <c r="AP70" s="91"/>
      <c r="AQ70" s="223"/>
    </row>
    <row r="71" spans="1:43">
      <c r="A71" s="103" t="s">
        <v>17</v>
      </c>
      <c r="B71" s="104">
        <v>5.6800000000000006</v>
      </c>
      <c r="C71" s="104">
        <v>4.9470000000000001</v>
      </c>
      <c r="D71" s="104">
        <v>5.2159999999999993</v>
      </c>
      <c r="E71" s="104">
        <v>5.5990000000000002</v>
      </c>
      <c r="F71" s="104">
        <v>5.4370000000000003</v>
      </c>
      <c r="G71" s="104">
        <v>5.7080000000000002</v>
      </c>
      <c r="H71" s="104">
        <v>5.1969999999999992</v>
      </c>
      <c r="I71" s="105">
        <v>7.4979999999999993</v>
      </c>
      <c r="J71" s="105">
        <v>7.4039999999999999</v>
      </c>
      <c r="K71" s="105">
        <v>7.3439999999999994</v>
      </c>
      <c r="L71" s="105">
        <v>6.8520000000000003</v>
      </c>
      <c r="M71" s="105">
        <v>6.5779999999999994</v>
      </c>
      <c r="N71" s="105">
        <v>6.4009999999999998</v>
      </c>
      <c r="O71" s="105">
        <v>6.1219999999999999</v>
      </c>
      <c r="P71" s="106">
        <f t="shared" si="24"/>
        <v>5.4397142857142855</v>
      </c>
      <c r="Q71" s="106">
        <f t="shared" si="21"/>
        <v>5.4502142857142859</v>
      </c>
      <c r="R71" s="106">
        <f t="shared" si="21"/>
        <v>5.4607142857142854</v>
      </c>
      <c r="S71" s="106">
        <f t="shared" si="21"/>
        <v>5.4712142857142858</v>
      </c>
      <c r="T71" s="106">
        <f t="shared" si="21"/>
        <v>5.4817142857142853</v>
      </c>
      <c r="U71" s="106">
        <f t="shared" si="21"/>
        <v>5.4922142857142857</v>
      </c>
      <c r="V71" s="106">
        <f t="shared" si="21"/>
        <v>5.5027142857142852</v>
      </c>
      <c r="W71" s="107">
        <f t="shared" si="22"/>
        <v>7.4979999999999993</v>
      </c>
      <c r="X71" s="107">
        <f t="shared" si="22"/>
        <v>7.4039999999999999</v>
      </c>
      <c r="Y71" s="107">
        <f t="shared" si="22"/>
        <v>7.3439999999999994</v>
      </c>
      <c r="Z71" s="107">
        <f t="shared" si="22"/>
        <v>6.8520000000000003</v>
      </c>
      <c r="AA71" s="107">
        <f t="shared" si="22"/>
        <v>6.5779999999999994</v>
      </c>
      <c r="AB71" s="107">
        <f t="shared" si="22"/>
        <v>6.4009999999999998</v>
      </c>
      <c r="AC71" s="107">
        <f t="shared" si="22"/>
        <v>6.1219999999999999</v>
      </c>
      <c r="AD71" s="108"/>
      <c r="AE71" s="109" t="s">
        <v>80</v>
      </c>
      <c r="AF71" s="110" t="s">
        <v>80</v>
      </c>
      <c r="AG71" s="111" t="str">
        <f t="shared" si="23"/>
        <v>OK</v>
      </c>
      <c r="AI71" s="224" t="s">
        <v>144</v>
      </c>
      <c r="AJ71" s="91"/>
      <c r="AK71" s="91"/>
      <c r="AL71" s="91"/>
      <c r="AM71" s="91"/>
      <c r="AN71" s="91"/>
      <c r="AO71" s="91"/>
      <c r="AP71" s="91"/>
      <c r="AQ71" s="223"/>
    </row>
    <row r="72" spans="1:43">
      <c r="A72" s="103" t="s">
        <v>18</v>
      </c>
      <c r="B72" s="104">
        <v>11.950999999999999</v>
      </c>
      <c r="C72" s="104">
        <v>9.1349999999999998</v>
      </c>
      <c r="D72" s="104">
        <v>10.457000000000001</v>
      </c>
      <c r="E72" s="104">
        <v>13.657</v>
      </c>
      <c r="F72" s="104">
        <v>13.888</v>
      </c>
      <c r="G72" s="104">
        <v>15.171999999999999</v>
      </c>
      <c r="H72" s="104">
        <v>14.782</v>
      </c>
      <c r="I72" s="105">
        <v>24.621110674924402</v>
      </c>
      <c r="J72" s="105">
        <v>23.969070984432701</v>
      </c>
      <c r="K72" s="105">
        <v>23.645195086403302</v>
      </c>
      <c r="L72" s="105">
        <v>21.4659597039246</v>
      </c>
      <c r="M72" s="105">
        <v>21.566554319512701</v>
      </c>
      <c r="N72" s="105">
        <v>21.530530378797401</v>
      </c>
      <c r="O72" s="105">
        <v>21.573215025422801</v>
      </c>
      <c r="P72" s="106">
        <f t="shared" si="24"/>
        <v>16.148571428571429</v>
      </c>
      <c r="Q72" s="106">
        <f t="shared" si="21"/>
        <v>17.005642857142856</v>
      </c>
      <c r="R72" s="106">
        <f t="shared" si="21"/>
        <v>17.862714285714283</v>
      </c>
      <c r="S72" s="106">
        <f t="shared" si="21"/>
        <v>18.719785714285713</v>
      </c>
      <c r="T72" s="106">
        <f t="shared" si="21"/>
        <v>19.576857142857143</v>
      </c>
      <c r="U72" s="106">
        <f t="shared" si="21"/>
        <v>20.43392857142857</v>
      </c>
      <c r="V72" s="106">
        <f t="shared" si="21"/>
        <v>21.290999999999997</v>
      </c>
      <c r="W72" s="107">
        <f t="shared" si="22"/>
        <v>24.621110674924402</v>
      </c>
      <c r="X72" s="107">
        <f t="shared" si="22"/>
        <v>23.969070984432701</v>
      </c>
      <c r="Y72" s="107">
        <f t="shared" si="22"/>
        <v>23.645195086403302</v>
      </c>
      <c r="Z72" s="107">
        <f t="shared" si="22"/>
        <v>21.4659597039246</v>
      </c>
      <c r="AA72" s="107">
        <f t="shared" si="22"/>
        <v>21.566554319512701</v>
      </c>
      <c r="AB72" s="107">
        <f t="shared" si="22"/>
        <v>21.530530378797401</v>
      </c>
      <c r="AC72" s="107">
        <f t="shared" si="22"/>
        <v>21.573215025422801</v>
      </c>
      <c r="AD72" s="108"/>
      <c r="AE72" s="109" t="s">
        <v>80</v>
      </c>
      <c r="AF72" s="110" t="s">
        <v>80</v>
      </c>
      <c r="AG72" s="111" t="str">
        <f t="shared" si="23"/>
        <v>OK</v>
      </c>
      <c r="AI72" s="222"/>
      <c r="AJ72" s="91"/>
      <c r="AK72" s="91"/>
      <c r="AL72" s="91"/>
      <c r="AM72" s="91"/>
      <c r="AN72" s="91"/>
      <c r="AO72" s="91"/>
      <c r="AP72" s="91"/>
      <c r="AQ72" s="223"/>
    </row>
    <row r="73" spans="1:43">
      <c r="A73" s="103" t="s">
        <v>19</v>
      </c>
      <c r="B73" s="104">
        <v>11.239000000000001</v>
      </c>
      <c r="C73" s="104">
        <v>10.085000000000001</v>
      </c>
      <c r="D73" s="104">
        <v>11.42</v>
      </c>
      <c r="E73" s="104">
        <v>11.227</v>
      </c>
      <c r="F73" s="104">
        <v>13.497</v>
      </c>
      <c r="G73" s="104">
        <v>25.131</v>
      </c>
      <c r="H73" s="104">
        <v>14.700999999999999</v>
      </c>
      <c r="I73" s="105">
        <v>16.398902465971034</v>
      </c>
      <c r="J73" s="105">
        <v>16.40983240204605</v>
      </c>
      <c r="K73" s="105">
        <v>15.555743671018918</v>
      </c>
      <c r="L73" s="105">
        <v>16.431848635098376</v>
      </c>
      <c r="M73" s="105">
        <v>16.441070993276369</v>
      </c>
      <c r="N73" s="105">
        <v>16.449899734827998</v>
      </c>
      <c r="O73" s="105">
        <v>16.458368117495823</v>
      </c>
      <c r="P73" s="106">
        <f t="shared" si="24"/>
        <v>19.979285714285712</v>
      </c>
      <c r="Q73" s="106">
        <f t="shared" si="21"/>
        <v>21.499107142857142</v>
      </c>
      <c r="R73" s="106">
        <f t="shared" si="21"/>
        <v>23.018928571428571</v>
      </c>
      <c r="S73" s="106">
        <f t="shared" si="21"/>
        <v>24.53875</v>
      </c>
      <c r="T73" s="106">
        <f t="shared" si="21"/>
        <v>26.058571428571426</v>
      </c>
      <c r="U73" s="106">
        <f t="shared" si="21"/>
        <v>27.578392857142855</v>
      </c>
      <c r="V73" s="106">
        <f t="shared" si="21"/>
        <v>29.098214285714285</v>
      </c>
      <c r="W73" s="107">
        <f t="shared" si="22"/>
        <v>16.398902465971034</v>
      </c>
      <c r="X73" s="107">
        <f t="shared" si="22"/>
        <v>16.40983240204605</v>
      </c>
      <c r="Y73" s="107">
        <f t="shared" si="22"/>
        <v>15.555743671018918</v>
      </c>
      <c r="Z73" s="107">
        <f t="shared" si="22"/>
        <v>16.431848635098376</v>
      </c>
      <c r="AA73" s="107">
        <f t="shared" si="22"/>
        <v>16.441070993276369</v>
      </c>
      <c r="AB73" s="107">
        <f t="shared" si="22"/>
        <v>16.449899734827998</v>
      </c>
      <c r="AC73" s="107">
        <f t="shared" si="22"/>
        <v>16.458368117495823</v>
      </c>
      <c r="AD73" s="108"/>
      <c r="AE73" s="109" t="s">
        <v>80</v>
      </c>
      <c r="AF73" s="110" t="s">
        <v>80</v>
      </c>
      <c r="AG73" s="111" t="str">
        <f t="shared" si="23"/>
        <v>OK</v>
      </c>
      <c r="AI73" s="222"/>
      <c r="AJ73" s="91"/>
      <c r="AK73" s="91"/>
      <c r="AL73" s="91"/>
      <c r="AM73" s="91"/>
      <c r="AN73" s="91"/>
      <c r="AO73" s="91"/>
      <c r="AP73" s="91"/>
      <c r="AQ73" s="223"/>
    </row>
    <row r="74" spans="1:43">
      <c r="A74" s="103" t="s">
        <v>20</v>
      </c>
      <c r="B74" s="104">
        <v>3.657</v>
      </c>
      <c r="C74" s="104">
        <v>3.1539999999999999</v>
      </c>
      <c r="D74" s="104">
        <v>3.254</v>
      </c>
      <c r="E74" s="104">
        <v>3.7629999999999999</v>
      </c>
      <c r="F74" s="104">
        <v>2.3159999999999998</v>
      </c>
      <c r="G74" s="104">
        <v>4.33</v>
      </c>
      <c r="H74" s="104">
        <v>5.1689999999999996</v>
      </c>
      <c r="I74" s="105">
        <v>5.891</v>
      </c>
      <c r="J74" s="105">
        <v>6.0649999999999995</v>
      </c>
      <c r="K74" s="105">
        <v>6.6499999999999995</v>
      </c>
      <c r="L74" s="105">
        <v>5.76</v>
      </c>
      <c r="M74" s="105">
        <v>5.6909999999999998</v>
      </c>
      <c r="N74" s="105">
        <v>5.5779999999999994</v>
      </c>
      <c r="O74" s="105">
        <v>5.46</v>
      </c>
      <c r="P74" s="106">
        <f t="shared" si="24"/>
        <v>4.513285714285713</v>
      </c>
      <c r="Q74" s="106">
        <f t="shared" si="21"/>
        <v>4.7257857142857134</v>
      </c>
      <c r="R74" s="106">
        <f t="shared" si="21"/>
        <v>4.9382857142857137</v>
      </c>
      <c r="S74" s="106">
        <f t="shared" si="21"/>
        <v>5.1507857142857132</v>
      </c>
      <c r="T74" s="106">
        <f t="shared" si="21"/>
        <v>5.3632857142857135</v>
      </c>
      <c r="U74" s="106">
        <f t="shared" si="21"/>
        <v>5.575785714285713</v>
      </c>
      <c r="V74" s="106">
        <f t="shared" si="21"/>
        <v>5.7882857142857134</v>
      </c>
      <c r="W74" s="107">
        <f t="shared" si="22"/>
        <v>5.891</v>
      </c>
      <c r="X74" s="107">
        <f t="shared" si="22"/>
        <v>6.0649999999999995</v>
      </c>
      <c r="Y74" s="107">
        <f t="shared" si="22"/>
        <v>6.6499999999999995</v>
      </c>
      <c r="Z74" s="107">
        <f t="shared" si="22"/>
        <v>5.76</v>
      </c>
      <c r="AA74" s="107">
        <f t="shared" si="22"/>
        <v>5.6909999999999998</v>
      </c>
      <c r="AB74" s="107">
        <f t="shared" si="22"/>
        <v>5.5779999999999994</v>
      </c>
      <c r="AC74" s="107">
        <f t="shared" si="22"/>
        <v>5.46</v>
      </c>
      <c r="AD74" s="108"/>
      <c r="AE74" s="109" t="s">
        <v>80</v>
      </c>
      <c r="AF74" s="110" t="s">
        <v>80</v>
      </c>
      <c r="AG74" s="111" t="str">
        <f t="shared" si="23"/>
        <v>OK</v>
      </c>
      <c r="AI74" s="243" t="s">
        <v>145</v>
      </c>
      <c r="AJ74" s="244"/>
      <c r="AK74" s="244"/>
      <c r="AL74" s="244"/>
      <c r="AM74" s="244"/>
      <c r="AN74" s="244"/>
      <c r="AO74" s="244"/>
      <c r="AP74" s="244"/>
      <c r="AQ74" s="245"/>
    </row>
    <row r="75" spans="1:43">
      <c r="A75" s="103" t="s">
        <v>22</v>
      </c>
      <c r="B75" s="104">
        <v>0.93100000000000005</v>
      </c>
      <c r="C75" s="104">
        <v>0.68300000000000005</v>
      </c>
      <c r="D75" s="104">
        <v>0.79400000000000004</v>
      </c>
      <c r="E75" s="104">
        <v>0.94000000000000006</v>
      </c>
      <c r="F75" s="104">
        <v>1.0189999999999999</v>
      </c>
      <c r="G75" s="104">
        <v>0.74199999999999999</v>
      </c>
      <c r="H75" s="104">
        <v>0.40900000000000003</v>
      </c>
      <c r="I75" s="105" t="s">
        <v>162</v>
      </c>
      <c r="J75" s="105" t="s">
        <v>162</v>
      </c>
      <c r="K75" s="105" t="s">
        <v>162</v>
      </c>
      <c r="L75" s="105" t="s">
        <v>162</v>
      </c>
      <c r="M75" s="105" t="s">
        <v>162</v>
      </c>
      <c r="N75" s="105" t="s">
        <v>162</v>
      </c>
      <c r="O75" s="105" t="s">
        <v>162</v>
      </c>
      <c r="P75" s="106">
        <v>0</v>
      </c>
      <c r="Q75" s="106">
        <v>0</v>
      </c>
      <c r="R75" s="106">
        <v>0</v>
      </c>
      <c r="S75" s="106">
        <v>0</v>
      </c>
      <c r="T75" s="106">
        <v>0</v>
      </c>
      <c r="U75" s="106">
        <v>0</v>
      </c>
      <c r="V75" s="106">
        <v>0</v>
      </c>
      <c r="W75" s="107" t="str">
        <f t="shared" si="22"/>
        <v/>
      </c>
      <c r="X75" s="107" t="str">
        <f t="shared" si="22"/>
        <v/>
      </c>
      <c r="Y75" s="107" t="str">
        <f t="shared" si="22"/>
        <v/>
      </c>
      <c r="Z75" s="107" t="str">
        <f t="shared" si="22"/>
        <v/>
      </c>
      <c r="AA75" s="107" t="str">
        <f t="shared" si="22"/>
        <v/>
      </c>
      <c r="AB75" s="107" t="str">
        <f t="shared" si="22"/>
        <v/>
      </c>
      <c r="AC75" s="107" t="str">
        <f t="shared" si="22"/>
        <v/>
      </c>
      <c r="AD75" s="108"/>
      <c r="AE75" s="109" t="s">
        <v>80</v>
      </c>
      <c r="AF75" s="110" t="s">
        <v>80</v>
      </c>
      <c r="AG75" s="111" t="str">
        <f t="shared" si="23"/>
        <v>OK</v>
      </c>
      <c r="AI75" s="243"/>
      <c r="AJ75" s="244"/>
      <c r="AK75" s="244"/>
      <c r="AL75" s="244"/>
      <c r="AM75" s="244"/>
      <c r="AN75" s="244"/>
      <c r="AO75" s="244"/>
      <c r="AP75" s="244"/>
      <c r="AQ75" s="245"/>
    </row>
    <row r="76" spans="1:43">
      <c r="A76" s="103" t="s">
        <v>23</v>
      </c>
      <c r="B76" s="104">
        <v>1.7929999999999999</v>
      </c>
      <c r="C76" s="104">
        <v>1.508</v>
      </c>
      <c r="D76" s="104">
        <v>1.6930000000000001</v>
      </c>
      <c r="E76" s="104">
        <v>2.444</v>
      </c>
      <c r="F76" s="104">
        <v>2.351</v>
      </c>
      <c r="G76" s="104">
        <v>2.4550000000000001</v>
      </c>
      <c r="H76" s="104">
        <v>2.1240000000000001</v>
      </c>
      <c r="I76" s="105">
        <v>2.5</v>
      </c>
      <c r="J76" s="105">
        <v>2.5</v>
      </c>
      <c r="K76" s="105">
        <v>1.9159999999999999</v>
      </c>
      <c r="L76" s="105">
        <v>1.8840000000000001</v>
      </c>
      <c r="M76" s="105">
        <v>1.897</v>
      </c>
      <c r="N76" s="105">
        <v>1.9339999999999999</v>
      </c>
      <c r="O76" s="105">
        <v>1.998</v>
      </c>
      <c r="P76" s="106">
        <f t="shared" si="24"/>
        <v>2.5590000000000002</v>
      </c>
      <c r="Q76" s="106">
        <f t="shared" si="21"/>
        <v>2.6856071428571431</v>
      </c>
      <c r="R76" s="106">
        <f t="shared" si="21"/>
        <v>2.812214285714286</v>
      </c>
      <c r="S76" s="106">
        <f t="shared" si="21"/>
        <v>2.9388214285714285</v>
      </c>
      <c r="T76" s="106">
        <f t="shared" si="21"/>
        <v>3.0654285714285714</v>
      </c>
      <c r="U76" s="106">
        <f t="shared" si="21"/>
        <v>3.1920357142857143</v>
      </c>
      <c r="V76" s="106">
        <f t="shared" si="21"/>
        <v>3.3186428571428568</v>
      </c>
      <c r="W76" s="107">
        <f t="shared" si="22"/>
        <v>2.5</v>
      </c>
      <c r="X76" s="107">
        <f t="shared" si="22"/>
        <v>2.5</v>
      </c>
      <c r="Y76" s="107">
        <f t="shared" si="22"/>
        <v>1.9159999999999999</v>
      </c>
      <c r="Z76" s="107">
        <f t="shared" si="22"/>
        <v>1.8840000000000001</v>
      </c>
      <c r="AA76" s="107">
        <f t="shared" si="22"/>
        <v>1.897</v>
      </c>
      <c r="AB76" s="107">
        <f t="shared" si="22"/>
        <v>1.9339999999999999</v>
      </c>
      <c r="AC76" s="107">
        <f t="shared" si="22"/>
        <v>1.998</v>
      </c>
      <c r="AD76" s="108"/>
      <c r="AE76" s="109" t="s">
        <v>80</v>
      </c>
      <c r="AF76" s="110" t="s">
        <v>80</v>
      </c>
      <c r="AG76" s="111" t="str">
        <f t="shared" si="23"/>
        <v>OK</v>
      </c>
      <c r="AI76" s="243"/>
      <c r="AJ76" s="244"/>
      <c r="AK76" s="244"/>
      <c r="AL76" s="244"/>
      <c r="AM76" s="244"/>
      <c r="AN76" s="244"/>
      <c r="AO76" s="244"/>
      <c r="AP76" s="244"/>
      <c r="AQ76" s="245"/>
    </row>
    <row r="77" spans="1:43">
      <c r="A77" s="103" t="s">
        <v>24</v>
      </c>
      <c r="B77" s="104">
        <v>1.43</v>
      </c>
      <c r="C77" s="104">
        <v>1.887</v>
      </c>
      <c r="D77" s="104">
        <v>1.986</v>
      </c>
      <c r="E77" s="104">
        <v>2.1149999999999998</v>
      </c>
      <c r="F77" s="104">
        <v>1.891</v>
      </c>
      <c r="G77" s="104">
        <v>1.9149999999999998</v>
      </c>
      <c r="H77" s="104">
        <v>2.1619999999999999</v>
      </c>
      <c r="I77" s="105">
        <v>2.25</v>
      </c>
      <c r="J77" s="105">
        <v>2.3580000000000001</v>
      </c>
      <c r="K77" s="105">
        <v>2.407</v>
      </c>
      <c r="L77" s="105">
        <v>2.4489999999999998</v>
      </c>
      <c r="M77" s="105">
        <v>2.5409999999999999</v>
      </c>
      <c r="N77" s="105">
        <v>2.62</v>
      </c>
      <c r="O77" s="105">
        <v>2.6120000000000001</v>
      </c>
      <c r="P77" s="106">
        <f t="shared" si="24"/>
        <v>2.2204285714285712</v>
      </c>
      <c r="Q77" s="106">
        <f t="shared" si="21"/>
        <v>2.2974642857142857</v>
      </c>
      <c r="R77" s="106">
        <f t="shared" si="21"/>
        <v>2.3744999999999998</v>
      </c>
      <c r="S77" s="106">
        <f t="shared" si="21"/>
        <v>2.4515357142857139</v>
      </c>
      <c r="T77" s="106">
        <f t="shared" si="21"/>
        <v>2.5285714285714285</v>
      </c>
      <c r="U77" s="106">
        <f t="shared" si="21"/>
        <v>2.605607142857143</v>
      </c>
      <c r="V77" s="106">
        <f t="shared" si="21"/>
        <v>2.6826428571428567</v>
      </c>
      <c r="W77" s="107">
        <f t="shared" si="22"/>
        <v>2.25</v>
      </c>
      <c r="X77" s="107">
        <f t="shared" si="22"/>
        <v>2.3580000000000001</v>
      </c>
      <c r="Y77" s="107">
        <f t="shared" si="22"/>
        <v>2.407</v>
      </c>
      <c r="Z77" s="107">
        <f t="shared" si="22"/>
        <v>2.4489999999999998</v>
      </c>
      <c r="AA77" s="107">
        <f t="shared" si="22"/>
        <v>2.5409999999999999</v>
      </c>
      <c r="AB77" s="107">
        <f t="shared" si="22"/>
        <v>2.62</v>
      </c>
      <c r="AC77" s="107">
        <f t="shared" si="22"/>
        <v>2.6120000000000001</v>
      </c>
      <c r="AD77" s="108"/>
      <c r="AE77" s="109" t="s">
        <v>80</v>
      </c>
      <c r="AF77" s="110" t="s">
        <v>80</v>
      </c>
      <c r="AG77" s="111" t="str">
        <f t="shared" si="23"/>
        <v>OK</v>
      </c>
      <c r="AI77" s="243"/>
      <c r="AJ77" s="244"/>
      <c r="AK77" s="244"/>
      <c r="AL77" s="244"/>
      <c r="AM77" s="244"/>
      <c r="AN77" s="244"/>
      <c r="AO77" s="244"/>
      <c r="AP77" s="244"/>
      <c r="AQ77" s="245"/>
    </row>
    <row r="78" spans="1:43">
      <c r="A78" s="103" t="s">
        <v>25</v>
      </c>
      <c r="B78" s="104">
        <v>6.1790000000000003</v>
      </c>
      <c r="C78" s="104">
        <v>7.6920000000000002</v>
      </c>
      <c r="D78" s="104">
        <v>7.0619999999999994</v>
      </c>
      <c r="E78" s="104">
        <v>7.1669999999999998</v>
      </c>
      <c r="F78" s="104">
        <v>9.0640000000000001</v>
      </c>
      <c r="G78" s="104">
        <v>9.2620000000000005</v>
      </c>
      <c r="H78" s="104">
        <v>7.5149999999999997</v>
      </c>
      <c r="I78" s="105">
        <v>8.5</v>
      </c>
      <c r="J78" s="105">
        <v>8.75</v>
      </c>
      <c r="K78" s="105">
        <v>9</v>
      </c>
      <c r="L78" s="105">
        <v>9.1349999999999998</v>
      </c>
      <c r="M78" s="105">
        <v>9.2719999999999985</v>
      </c>
      <c r="N78" s="105">
        <v>9.4109999999999996</v>
      </c>
      <c r="O78" s="105">
        <v>9.5519999999999996</v>
      </c>
      <c r="P78" s="106">
        <f t="shared" si="24"/>
        <v>9.0129999999999999</v>
      </c>
      <c r="Q78" s="106">
        <f t="shared" si="21"/>
        <v>9.3397857142857141</v>
      </c>
      <c r="R78" s="106">
        <f t="shared" si="21"/>
        <v>9.6665714285714284</v>
      </c>
      <c r="S78" s="106">
        <f t="shared" si="21"/>
        <v>9.9933571428571426</v>
      </c>
      <c r="T78" s="106">
        <f t="shared" si="21"/>
        <v>10.320142857142857</v>
      </c>
      <c r="U78" s="106">
        <f t="shared" si="21"/>
        <v>10.646928571428571</v>
      </c>
      <c r="V78" s="106">
        <f t="shared" si="21"/>
        <v>10.973714285714285</v>
      </c>
      <c r="W78" s="107">
        <f t="shared" si="22"/>
        <v>8.5</v>
      </c>
      <c r="X78" s="107">
        <f t="shared" si="22"/>
        <v>8.75</v>
      </c>
      <c r="Y78" s="107">
        <f t="shared" si="22"/>
        <v>9</v>
      </c>
      <c r="Z78" s="107">
        <f t="shared" si="22"/>
        <v>9.1349999999999998</v>
      </c>
      <c r="AA78" s="107">
        <f t="shared" si="22"/>
        <v>9.2719999999999985</v>
      </c>
      <c r="AB78" s="107">
        <f t="shared" si="22"/>
        <v>9.4109999999999996</v>
      </c>
      <c r="AC78" s="107">
        <f t="shared" si="22"/>
        <v>9.5519999999999996</v>
      </c>
      <c r="AD78" s="108"/>
      <c r="AE78" s="109" t="s">
        <v>80</v>
      </c>
      <c r="AF78" s="110" t="s">
        <v>80</v>
      </c>
      <c r="AG78" s="111" t="str">
        <f t="shared" si="23"/>
        <v>OK</v>
      </c>
      <c r="AI78" s="225"/>
      <c r="AJ78" s="226"/>
      <c r="AK78" s="226"/>
      <c r="AL78" s="226"/>
      <c r="AM78" s="226"/>
      <c r="AN78" s="226"/>
      <c r="AO78" s="226"/>
      <c r="AP78" s="226"/>
      <c r="AQ78" s="227"/>
    </row>
    <row r="79" spans="1:43">
      <c r="A79" s="103" t="s">
        <v>26</v>
      </c>
      <c r="B79" s="104">
        <v>3.8959999999999999</v>
      </c>
      <c r="C79" s="104">
        <v>3.4319999999999999</v>
      </c>
      <c r="D79" s="104">
        <v>4.8239999999999998</v>
      </c>
      <c r="E79" s="104">
        <v>4.4139999999999997</v>
      </c>
      <c r="F79" s="104">
        <v>4.1760000000000002</v>
      </c>
      <c r="G79" s="104">
        <v>4.258</v>
      </c>
      <c r="H79" s="104">
        <v>6.8919999999999995</v>
      </c>
      <c r="I79" s="105">
        <v>9.0247017925770407</v>
      </c>
      <c r="J79" s="105">
        <v>9.1450479052063898</v>
      </c>
      <c r="K79" s="105">
        <v>8.9507154047250097</v>
      </c>
      <c r="L79" s="105">
        <v>8.47937917501614</v>
      </c>
      <c r="M79" s="105">
        <v>8.0946964623069704</v>
      </c>
      <c r="N79" s="105">
        <v>7.8615588215057102</v>
      </c>
      <c r="O79" s="105">
        <v>7.6626374815587788</v>
      </c>
      <c r="P79" s="106">
        <f t="shared" si="24"/>
        <v>5.9834285714285702</v>
      </c>
      <c r="Q79" s="106">
        <f t="shared" si="24"/>
        <v>6.340285714285713</v>
      </c>
      <c r="R79" s="106">
        <f t="shared" si="24"/>
        <v>6.6971428571428557</v>
      </c>
      <c r="S79" s="106">
        <f t="shared" si="24"/>
        <v>7.0539999999999985</v>
      </c>
      <c r="T79" s="106">
        <f t="shared" si="24"/>
        <v>7.4108571428571421</v>
      </c>
      <c r="U79" s="106">
        <f t="shared" si="24"/>
        <v>7.7677142857142849</v>
      </c>
      <c r="V79" s="106">
        <f t="shared" si="24"/>
        <v>8.1245714285714286</v>
      </c>
      <c r="W79" s="107">
        <f t="shared" si="22"/>
        <v>9.0247017925770407</v>
      </c>
      <c r="X79" s="107">
        <f t="shared" si="22"/>
        <v>9.1450479052063898</v>
      </c>
      <c r="Y79" s="107">
        <f t="shared" si="22"/>
        <v>8.9507154047250097</v>
      </c>
      <c r="Z79" s="107">
        <f t="shared" si="22"/>
        <v>8.47937917501614</v>
      </c>
      <c r="AA79" s="107">
        <f t="shared" si="22"/>
        <v>8.0946964623069704</v>
      </c>
      <c r="AB79" s="107">
        <f t="shared" si="22"/>
        <v>7.8615588215057102</v>
      </c>
      <c r="AC79" s="107">
        <f t="shared" si="22"/>
        <v>7.6626374815587788</v>
      </c>
      <c r="AD79" s="108"/>
      <c r="AE79" s="109" t="s">
        <v>80</v>
      </c>
      <c r="AF79" s="110" t="s">
        <v>80</v>
      </c>
      <c r="AG79" s="111" t="str">
        <f t="shared" si="23"/>
        <v>OK</v>
      </c>
    </row>
    <row r="80" spans="1:43">
      <c r="A80" s="115" t="s">
        <v>27</v>
      </c>
      <c r="B80" s="104" t="s">
        <v>162</v>
      </c>
      <c r="C80" s="104" t="s">
        <v>162</v>
      </c>
      <c r="D80" s="104" t="s">
        <v>162</v>
      </c>
      <c r="E80" s="104" t="s">
        <v>162</v>
      </c>
      <c r="F80" s="104" t="s">
        <v>162</v>
      </c>
      <c r="G80" s="104" t="s">
        <v>162</v>
      </c>
      <c r="H80" s="104">
        <v>23.172000000000001</v>
      </c>
      <c r="I80" s="105">
        <v>23.172000000000001</v>
      </c>
      <c r="J80" s="105">
        <v>23.172000000000001</v>
      </c>
      <c r="K80" s="105">
        <v>23.574568527066699</v>
      </c>
      <c r="L80" s="105">
        <v>25.135658523489891</v>
      </c>
      <c r="M80" s="105">
        <v>26.600626577181181</v>
      </c>
      <c r="N80" s="105">
        <v>27.02985288590601</v>
      </c>
      <c r="O80" s="105">
        <v>27.458042416107411</v>
      </c>
      <c r="P80" s="116"/>
      <c r="Q80" s="116"/>
      <c r="R80" s="116"/>
      <c r="S80" s="116"/>
      <c r="T80" s="116"/>
      <c r="U80" s="116"/>
      <c r="V80" s="116"/>
      <c r="W80" s="107">
        <f t="shared" si="22"/>
        <v>23.172000000000001</v>
      </c>
      <c r="X80" s="107">
        <f t="shared" si="22"/>
        <v>23.172000000000001</v>
      </c>
      <c r="Y80" s="107">
        <f t="shared" si="22"/>
        <v>23.574568527066699</v>
      </c>
      <c r="Z80" s="107">
        <f t="shared" si="22"/>
        <v>25.135658523489891</v>
      </c>
      <c r="AA80" s="107">
        <f t="shared" si="22"/>
        <v>26.600626577181181</v>
      </c>
      <c r="AB80" s="107">
        <f t="shared" si="22"/>
        <v>27.02985288590601</v>
      </c>
      <c r="AC80" s="107">
        <f t="shared" si="22"/>
        <v>27.458042416107411</v>
      </c>
      <c r="AD80" s="108"/>
      <c r="AE80" s="109" t="s">
        <v>80</v>
      </c>
      <c r="AF80" s="110" t="s">
        <v>80</v>
      </c>
      <c r="AG80" s="111" t="str">
        <f t="shared" si="23"/>
        <v>OK</v>
      </c>
    </row>
    <row r="81" spans="1:33">
      <c r="A81" s="115" t="s">
        <v>28</v>
      </c>
      <c r="B81" s="104" t="s">
        <v>162</v>
      </c>
      <c r="C81" s="104" t="s">
        <v>162</v>
      </c>
      <c r="D81" s="104" t="s">
        <v>162</v>
      </c>
      <c r="E81" s="104" t="s">
        <v>162</v>
      </c>
      <c r="F81" s="104" t="s">
        <v>162</v>
      </c>
      <c r="G81" s="104" t="s">
        <v>162</v>
      </c>
      <c r="H81" s="104">
        <v>0.42700000000000005</v>
      </c>
      <c r="I81" s="105">
        <v>0.42700000000000005</v>
      </c>
      <c r="J81" s="105">
        <v>0.42700000000000005</v>
      </c>
      <c r="K81" s="105">
        <v>0.43500000000000005</v>
      </c>
      <c r="L81" s="105">
        <v>0.46299999999999997</v>
      </c>
      <c r="M81" s="105">
        <v>0.49</v>
      </c>
      <c r="N81" s="105">
        <v>0.498</v>
      </c>
      <c r="O81" s="105">
        <v>0.50600000000000001</v>
      </c>
      <c r="P81" s="116"/>
      <c r="Q81" s="116"/>
      <c r="R81" s="116"/>
      <c r="S81" s="116"/>
      <c r="T81" s="116"/>
      <c r="U81" s="116"/>
      <c r="V81" s="116"/>
      <c r="W81" s="107">
        <f t="shared" si="22"/>
        <v>0.42700000000000005</v>
      </c>
      <c r="X81" s="107">
        <f t="shared" si="22"/>
        <v>0.42700000000000005</v>
      </c>
      <c r="Y81" s="107">
        <f t="shared" si="22"/>
        <v>0.43500000000000005</v>
      </c>
      <c r="Z81" s="107">
        <f t="shared" si="22"/>
        <v>0.46299999999999997</v>
      </c>
      <c r="AA81" s="107">
        <f t="shared" si="22"/>
        <v>0.49</v>
      </c>
      <c r="AB81" s="107">
        <f t="shared" si="22"/>
        <v>0.498</v>
      </c>
      <c r="AC81" s="107">
        <f t="shared" si="22"/>
        <v>0.50600000000000001</v>
      </c>
      <c r="AD81" s="108"/>
      <c r="AE81" s="109" t="s">
        <v>80</v>
      </c>
      <c r="AF81" s="110" t="s">
        <v>80</v>
      </c>
      <c r="AG81" s="111" t="str">
        <f t="shared" si="23"/>
        <v>OK</v>
      </c>
    </row>
    <row r="82" spans="1:33" s="134" customFormat="1">
      <c r="A82" s="117" t="s">
        <v>129</v>
      </c>
      <c r="B82" s="104">
        <f>SUMIF($A$63:$A$81,$A$67,B$63:B$81)+SUMIF($A$63:$A$81,$A$75,B$63:B$81)</f>
        <v>16.989000000000001</v>
      </c>
      <c r="C82" s="104">
        <f t="shared" ref="C82:H82" si="25">SUMIF($A$63:$A$81,$A$67,C$63:C$81)+SUMIF($A$63:$A$81,$A$75,C$63:C$81)</f>
        <v>13.853000000000002</v>
      </c>
      <c r="D82" s="104">
        <f t="shared" si="25"/>
        <v>16.303000000000001</v>
      </c>
      <c r="E82" s="104">
        <f t="shared" si="25"/>
        <v>19.501000000000001</v>
      </c>
      <c r="F82" s="104">
        <f t="shared" si="25"/>
        <v>22.260999999999999</v>
      </c>
      <c r="G82" s="104">
        <f t="shared" si="25"/>
        <v>20.514000000000003</v>
      </c>
      <c r="H82" s="104">
        <f t="shared" si="25"/>
        <v>23.598999999999997</v>
      </c>
      <c r="I82" s="105">
        <f>SUMIF($A$63:$A$81,$A$80,I$63:I$81)+SUMIF($A$63:$A$81,$A$81,I$63:I$81)</f>
        <v>23.599</v>
      </c>
      <c r="J82" s="105">
        <f t="shared" ref="J82:O82" si="26">SUMIF($A$63:$A$81,$A$80,J$63:J$81)+SUMIF($A$63:$A$81,$A$81,J$63:J$81)</f>
        <v>23.599</v>
      </c>
      <c r="K82" s="105">
        <f t="shared" si="26"/>
        <v>24.009568527066698</v>
      </c>
      <c r="L82" s="105">
        <f t="shared" si="26"/>
        <v>25.598658523489892</v>
      </c>
      <c r="M82" s="105">
        <f t="shared" si="26"/>
        <v>27.09062657718118</v>
      </c>
      <c r="N82" s="105">
        <f t="shared" si="26"/>
        <v>27.527852885906011</v>
      </c>
      <c r="O82" s="105">
        <f t="shared" si="26"/>
        <v>27.964042416107411</v>
      </c>
      <c r="P82" s="106">
        <f t="shared" ref="P82:V82" si="27">IFERROR(INTERCEPT($B82:$H82, $B$62:$H$62) +SLOPE($B82:$H82, $B$62:$H$62)*P$62,"")</f>
        <v>24.589999999999996</v>
      </c>
      <c r="Q82" s="106">
        <f t="shared" si="27"/>
        <v>25.986785714285713</v>
      </c>
      <c r="R82" s="106">
        <f t="shared" si="27"/>
        <v>27.383571428571425</v>
      </c>
      <c r="S82" s="106">
        <f t="shared" si="27"/>
        <v>28.780357142857142</v>
      </c>
      <c r="T82" s="106">
        <f t="shared" si="27"/>
        <v>30.177142857142854</v>
      </c>
      <c r="U82" s="106">
        <f t="shared" si="27"/>
        <v>31.573928571428567</v>
      </c>
      <c r="V82" s="106">
        <f t="shared" si="27"/>
        <v>32.97071428571428</v>
      </c>
      <c r="W82" s="107">
        <f t="shared" si="22"/>
        <v>23.599</v>
      </c>
      <c r="X82" s="107">
        <f t="shared" si="22"/>
        <v>23.599</v>
      </c>
      <c r="Y82" s="107">
        <f t="shared" si="22"/>
        <v>24.009568527066698</v>
      </c>
      <c r="Z82" s="107">
        <f t="shared" si="22"/>
        <v>25.598658523489892</v>
      </c>
      <c r="AA82" s="107">
        <f t="shared" si="22"/>
        <v>27.09062657718118</v>
      </c>
      <c r="AB82" s="107">
        <f t="shared" si="22"/>
        <v>27.527852885906011</v>
      </c>
      <c r="AC82" s="107">
        <f t="shared" si="22"/>
        <v>27.964042416107411</v>
      </c>
      <c r="AD82" s="108"/>
      <c r="AE82" s="109" t="s">
        <v>80</v>
      </c>
      <c r="AF82" s="110" t="s">
        <v>80</v>
      </c>
      <c r="AG82" s="111" t="str">
        <f t="shared" si="23"/>
        <v>OK</v>
      </c>
    </row>
    <row r="83" spans="1:33" ht="13.9">
      <c r="A83" s="118" t="s">
        <v>130</v>
      </c>
      <c r="B83" s="119">
        <f t="shared" ref="B83" si="28">SUM(B63:B81)</f>
        <v>147.15100000000004</v>
      </c>
      <c r="C83" s="119">
        <f t="shared" ref="C83:AC83" si="29">SUM(C63:C81)</f>
        <v>133.11100000000002</v>
      </c>
      <c r="D83" s="119">
        <f t="shared" si="29"/>
        <v>142.286</v>
      </c>
      <c r="E83" s="119">
        <f t="shared" si="29"/>
        <v>171.36099999999999</v>
      </c>
      <c r="F83" s="119">
        <f t="shared" si="29"/>
        <v>182.535</v>
      </c>
      <c r="G83" s="119">
        <f t="shared" si="29"/>
        <v>202.74</v>
      </c>
      <c r="H83" s="119">
        <f t="shared" si="29"/>
        <v>228.46199999999999</v>
      </c>
      <c r="I83" s="120">
        <f t="shared" si="29"/>
        <v>232.97571493347246</v>
      </c>
      <c r="J83" s="120">
        <f t="shared" si="29"/>
        <v>241.22495129168513</v>
      </c>
      <c r="K83" s="120">
        <f t="shared" si="29"/>
        <v>257.05622268921394</v>
      </c>
      <c r="L83" s="120">
        <f t="shared" si="29"/>
        <v>257.46484603752901</v>
      </c>
      <c r="M83" s="120">
        <f t="shared" si="29"/>
        <v>257.24794835227721</v>
      </c>
      <c r="N83" s="120">
        <f t="shared" si="29"/>
        <v>256.61084182103713</v>
      </c>
      <c r="O83" s="120">
        <f t="shared" si="29"/>
        <v>253.38326304058484</v>
      </c>
      <c r="P83" s="121">
        <f t="shared" si="29"/>
        <v>194.93714285714282</v>
      </c>
      <c r="Q83" s="121">
        <f t="shared" si="29"/>
        <v>206.13474999999994</v>
      </c>
      <c r="R83" s="121">
        <f t="shared" si="29"/>
        <v>217.33235714285712</v>
      </c>
      <c r="S83" s="121">
        <f t="shared" si="29"/>
        <v>228.52996428571427</v>
      </c>
      <c r="T83" s="121">
        <f t="shared" si="29"/>
        <v>239.72757142857145</v>
      </c>
      <c r="U83" s="121">
        <f t="shared" si="29"/>
        <v>250.92517857142849</v>
      </c>
      <c r="V83" s="121">
        <f t="shared" si="29"/>
        <v>262.12278571428573</v>
      </c>
      <c r="W83" s="122">
        <f t="shared" si="29"/>
        <v>232.97571493347246</v>
      </c>
      <c r="X83" s="122">
        <f t="shared" si="29"/>
        <v>241.22495129168513</v>
      </c>
      <c r="Y83" s="122">
        <f t="shared" si="29"/>
        <v>257.05622268921394</v>
      </c>
      <c r="Z83" s="122">
        <f t="shared" si="29"/>
        <v>257.46484603752901</v>
      </c>
      <c r="AA83" s="122">
        <f t="shared" si="29"/>
        <v>257.24794835227721</v>
      </c>
      <c r="AB83" s="122">
        <f t="shared" si="29"/>
        <v>256.61084182103713</v>
      </c>
      <c r="AC83" s="122">
        <f t="shared" si="29"/>
        <v>253.38326304058484</v>
      </c>
      <c r="AD83" s="123"/>
      <c r="AE83" s="108"/>
      <c r="AF83" s="124"/>
      <c r="AG83" s="125"/>
    </row>
    <row r="85" spans="1:33" s="139" customFormat="1" ht="17.649999999999999">
      <c r="A85" s="138"/>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row>
    <row r="86" spans="1:33" s="139" customFormat="1">
      <c r="A86" s="140"/>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row>
    <row r="87" spans="1:33" s="139" customFormat="1" ht="14.85" customHeight="1">
      <c r="A87" s="142"/>
      <c r="B87" s="143"/>
      <c r="C87" s="143"/>
      <c r="D87" s="143"/>
      <c r="E87" s="143"/>
      <c r="F87" s="143"/>
      <c r="G87" s="143"/>
      <c r="H87" s="143"/>
      <c r="I87" s="144"/>
      <c r="J87" s="144"/>
      <c r="K87" s="144"/>
      <c r="L87" s="144"/>
      <c r="M87" s="144"/>
      <c r="N87" s="144"/>
      <c r="O87" s="144"/>
      <c r="P87" s="144"/>
      <c r="Q87" s="144"/>
      <c r="R87" s="144"/>
      <c r="S87" s="144"/>
      <c r="T87" s="144"/>
      <c r="U87" s="144"/>
      <c r="V87" s="144"/>
      <c r="W87" s="144"/>
      <c r="X87" s="144"/>
      <c r="Y87" s="144"/>
      <c r="Z87" s="144"/>
      <c r="AA87" s="144"/>
      <c r="AB87" s="144"/>
      <c r="AC87" s="144"/>
      <c r="AD87" s="254"/>
    </row>
    <row r="88" spans="1:33" s="139" customFormat="1" ht="14.85" customHeight="1">
      <c r="A88" s="145" t="s">
        <v>140</v>
      </c>
      <c r="B88" s="146"/>
      <c r="C88" s="146"/>
      <c r="D88" s="146"/>
      <c r="E88" s="146"/>
      <c r="F88" s="146"/>
      <c r="G88" s="146"/>
      <c r="H88" s="146"/>
      <c r="I88" s="146"/>
      <c r="J88" s="146"/>
      <c r="K88" s="146"/>
      <c r="L88" s="146"/>
      <c r="M88" s="146"/>
      <c r="N88" s="146"/>
      <c r="O88" s="146"/>
      <c r="P88" s="146"/>
      <c r="Q88" s="146"/>
      <c r="R88" s="146"/>
      <c r="S88" s="146"/>
      <c r="T88" s="146"/>
      <c r="U88" s="146"/>
      <c r="V88" s="146"/>
      <c r="W88" s="147"/>
      <c r="X88" s="147"/>
      <c r="Y88" s="147"/>
      <c r="Z88" s="147"/>
      <c r="AA88" s="147"/>
      <c r="AB88" s="147"/>
      <c r="AC88" s="147"/>
      <c r="AD88" s="254"/>
      <c r="AE88" s="254"/>
      <c r="AF88" s="254"/>
      <c r="AG88" s="254"/>
    </row>
    <row r="89" spans="1:33" s="139" customFormat="1">
      <c r="A89" s="148" t="e">
        <f>#REF!</f>
        <v>#REF!</v>
      </c>
      <c r="B89" s="149">
        <v>1</v>
      </c>
      <c r="C89" s="150"/>
      <c r="D89" s="150"/>
      <c r="E89" s="150"/>
      <c r="F89" s="150"/>
      <c r="G89" s="150"/>
      <c r="H89" s="150"/>
      <c r="I89" s="151"/>
      <c r="J89" s="151"/>
      <c r="K89" s="151"/>
      <c r="L89" s="151"/>
      <c r="M89" s="151"/>
      <c r="N89" s="151"/>
      <c r="O89" s="151"/>
      <c r="P89" s="150"/>
      <c r="Q89" s="150"/>
      <c r="R89" s="150"/>
      <c r="S89" s="150"/>
      <c r="T89" s="150"/>
      <c r="U89" s="150"/>
      <c r="V89" s="150"/>
      <c r="W89" s="150"/>
      <c r="X89" s="150"/>
      <c r="Y89" s="150"/>
      <c r="Z89" s="150"/>
      <c r="AA89" s="150"/>
      <c r="AB89" s="150"/>
      <c r="AC89" s="150"/>
      <c r="AD89" s="102"/>
      <c r="AE89" s="254"/>
      <c r="AF89" s="254"/>
      <c r="AG89" s="254"/>
    </row>
    <row r="90" spans="1:33" s="139" customFormat="1" ht="25.5">
      <c r="A90" s="152" t="str">
        <f>A4</f>
        <v>000s, Total number of new household connections</v>
      </c>
      <c r="B90" s="153">
        <v>2</v>
      </c>
      <c r="C90" s="153"/>
      <c r="D90" s="153"/>
      <c r="E90" s="153"/>
      <c r="F90" s="153"/>
      <c r="G90" s="153"/>
      <c r="H90" s="153"/>
      <c r="I90" s="153"/>
      <c r="J90" s="153"/>
      <c r="K90" s="153"/>
      <c r="L90" s="153"/>
      <c r="M90" s="153"/>
      <c r="N90" s="153"/>
      <c r="O90" s="153"/>
      <c r="P90" s="154"/>
      <c r="Q90" s="154"/>
      <c r="R90" s="154"/>
      <c r="S90" s="154"/>
      <c r="T90" s="154"/>
      <c r="U90" s="154"/>
      <c r="V90" s="154"/>
      <c r="W90" s="155"/>
      <c r="X90" s="155"/>
      <c r="Y90" s="155"/>
      <c r="Z90" s="155"/>
      <c r="AA90" s="155"/>
      <c r="AB90" s="155"/>
      <c r="AC90" s="155"/>
      <c r="AD90" s="108"/>
      <c r="AE90" s="108"/>
      <c r="AF90" s="124"/>
      <c r="AG90" s="125"/>
    </row>
    <row r="91" spans="1:33" s="139" customFormat="1" ht="25.5">
      <c r="A91" s="152" t="str">
        <f>A31</f>
        <v>000s, Total number of new non-household connections</v>
      </c>
      <c r="B91" s="153">
        <v>3</v>
      </c>
      <c r="C91" s="153"/>
      <c r="D91" s="153"/>
      <c r="E91" s="153"/>
      <c r="F91" s="153"/>
      <c r="G91" s="153"/>
      <c r="H91" s="153"/>
      <c r="I91" s="153"/>
      <c r="J91" s="153"/>
      <c r="K91" s="153"/>
      <c r="L91" s="153"/>
      <c r="M91" s="153"/>
      <c r="N91" s="153"/>
      <c r="O91" s="153"/>
      <c r="P91" s="154"/>
      <c r="Q91" s="154"/>
      <c r="R91" s="154"/>
      <c r="S91" s="154"/>
      <c r="T91" s="154"/>
      <c r="U91" s="154"/>
      <c r="V91" s="154"/>
      <c r="W91" s="155"/>
      <c r="X91" s="155"/>
      <c r="Y91" s="155"/>
      <c r="Z91" s="155"/>
      <c r="AA91" s="155"/>
      <c r="AB91" s="155"/>
      <c r="AC91" s="155"/>
      <c r="AD91" s="108"/>
      <c r="AE91" s="108"/>
      <c r="AF91" s="124"/>
      <c r="AG91" s="125"/>
    </row>
    <row r="92" spans="1:33" s="139" customFormat="1" ht="51">
      <c r="A92" s="152" t="str">
        <f>A58</f>
        <v xml:space="preserve"> &amp; Total number of new household connections &amp; Total number of new non-household connections &amp; </v>
      </c>
      <c r="B92" s="153">
        <v>4</v>
      </c>
      <c r="C92" s="153"/>
      <c r="D92" s="153"/>
      <c r="E92" s="153"/>
      <c r="F92" s="153"/>
      <c r="G92" s="153"/>
      <c r="H92" s="153"/>
      <c r="I92" s="153"/>
      <c r="J92" s="153"/>
      <c r="K92" s="153"/>
      <c r="L92" s="153"/>
      <c r="M92" s="153"/>
      <c r="N92" s="153"/>
      <c r="O92" s="153"/>
      <c r="P92" s="154"/>
      <c r="Q92" s="154"/>
      <c r="R92" s="154"/>
      <c r="S92" s="154"/>
      <c r="T92" s="154"/>
      <c r="U92" s="154"/>
      <c r="V92" s="154"/>
      <c r="W92" s="155"/>
      <c r="X92" s="155"/>
      <c r="Y92" s="155"/>
      <c r="Z92" s="155"/>
      <c r="AA92" s="155"/>
      <c r="AB92" s="155"/>
      <c r="AC92" s="155"/>
      <c r="AD92" s="108"/>
      <c r="AE92" s="108"/>
      <c r="AF92" s="124"/>
      <c r="AG92" s="125"/>
    </row>
    <row r="93" spans="1:33" s="139" customFormat="1">
      <c r="A93" s="152" t="e">
        <f>#REF!</f>
        <v>#REF!</v>
      </c>
      <c r="B93" s="153">
        <v>5</v>
      </c>
      <c r="C93" s="153"/>
      <c r="D93" s="153"/>
      <c r="E93" s="153"/>
      <c r="F93" s="153"/>
      <c r="G93" s="153"/>
      <c r="H93" s="153"/>
      <c r="I93" s="153"/>
      <c r="J93" s="153"/>
      <c r="K93" s="153"/>
      <c r="L93" s="153"/>
      <c r="M93" s="153"/>
      <c r="N93" s="153"/>
      <c r="O93" s="153"/>
      <c r="P93" s="154"/>
      <c r="Q93" s="154"/>
      <c r="R93" s="154"/>
      <c r="S93" s="154"/>
      <c r="T93" s="154"/>
      <c r="U93" s="154"/>
      <c r="V93" s="154"/>
      <c r="W93" s="155"/>
      <c r="X93" s="155"/>
      <c r="Y93" s="155"/>
      <c r="Z93" s="155"/>
      <c r="AA93" s="155"/>
      <c r="AB93" s="155"/>
      <c r="AC93" s="155"/>
      <c r="AD93" s="108"/>
      <c r="AE93" s="108"/>
      <c r="AF93" s="124"/>
      <c r="AG93" s="125"/>
    </row>
    <row r="94" spans="1:33" s="139" customFormat="1">
      <c r="A94" s="156"/>
      <c r="B94" s="153"/>
      <c r="C94" s="153"/>
      <c r="D94" s="153"/>
      <c r="E94" s="153"/>
      <c r="F94" s="153"/>
      <c r="G94" s="153"/>
      <c r="H94" s="153"/>
      <c r="I94" s="153"/>
      <c r="J94" s="153"/>
      <c r="K94" s="153"/>
      <c r="L94" s="153"/>
      <c r="M94" s="153"/>
      <c r="N94" s="153"/>
      <c r="O94" s="153"/>
      <c r="P94" s="154"/>
      <c r="Q94" s="154"/>
      <c r="R94" s="154"/>
      <c r="S94" s="154"/>
      <c r="T94" s="154"/>
      <c r="U94" s="154"/>
      <c r="V94" s="154"/>
      <c r="W94" s="155"/>
      <c r="X94" s="155"/>
      <c r="Y94" s="155"/>
      <c r="Z94" s="155"/>
      <c r="AA94" s="155"/>
      <c r="AB94" s="155"/>
      <c r="AC94" s="155"/>
      <c r="AD94" s="108"/>
      <c r="AE94" s="108"/>
      <c r="AF94" s="124"/>
      <c r="AG94" s="125"/>
    </row>
    <row r="95" spans="1:33" s="139" customFormat="1">
      <c r="A95" s="156"/>
      <c r="B95" s="153"/>
      <c r="C95" s="153"/>
      <c r="D95" s="153"/>
      <c r="E95" s="153"/>
      <c r="F95" s="153"/>
      <c r="G95" s="153"/>
      <c r="H95" s="153"/>
      <c r="I95" s="153"/>
      <c r="J95" s="153"/>
      <c r="K95" s="153"/>
      <c r="L95" s="153"/>
      <c r="M95" s="153"/>
      <c r="N95" s="153"/>
      <c r="O95" s="153"/>
      <c r="P95" s="154"/>
      <c r="Q95" s="154"/>
      <c r="R95" s="154"/>
      <c r="S95" s="154"/>
      <c r="T95" s="154"/>
      <c r="U95" s="154"/>
      <c r="V95" s="154"/>
      <c r="W95" s="155"/>
      <c r="X95" s="155"/>
      <c r="Y95" s="155"/>
      <c r="Z95" s="155"/>
      <c r="AA95" s="155"/>
      <c r="AB95" s="155"/>
      <c r="AC95" s="155"/>
      <c r="AD95" s="108"/>
      <c r="AE95" s="108"/>
      <c r="AF95" s="124"/>
      <c r="AG95" s="125"/>
    </row>
    <row r="96" spans="1:33" s="139" customFormat="1">
      <c r="A96" s="156"/>
      <c r="B96" s="153"/>
      <c r="C96" s="153"/>
      <c r="D96" s="153"/>
      <c r="E96" s="153"/>
      <c r="F96" s="153"/>
      <c r="G96" s="153"/>
      <c r="H96" s="153"/>
      <c r="I96" s="153"/>
      <c r="J96" s="153"/>
      <c r="K96" s="153"/>
      <c r="L96" s="153"/>
      <c r="M96" s="153"/>
      <c r="N96" s="153"/>
      <c r="O96" s="153"/>
      <c r="P96" s="154"/>
      <c r="Q96" s="154"/>
      <c r="R96" s="154"/>
      <c r="S96" s="154"/>
      <c r="T96" s="154"/>
      <c r="U96" s="154"/>
      <c r="V96" s="154"/>
      <c r="W96" s="155"/>
      <c r="X96" s="155"/>
      <c r="Y96" s="155"/>
      <c r="Z96" s="155"/>
      <c r="AA96" s="155"/>
      <c r="AB96" s="155"/>
      <c r="AC96" s="155"/>
      <c r="AD96" s="108"/>
      <c r="AE96" s="108"/>
      <c r="AF96" s="124"/>
      <c r="AG96" s="125"/>
    </row>
    <row r="97" spans="1:33" s="139" customFormat="1">
      <c r="A97" s="156"/>
      <c r="B97" s="153"/>
      <c r="C97" s="153"/>
      <c r="D97" s="153"/>
      <c r="E97" s="153"/>
      <c r="F97" s="153"/>
      <c r="G97" s="153"/>
      <c r="H97" s="153"/>
      <c r="I97" s="153"/>
      <c r="J97" s="153"/>
      <c r="K97" s="153"/>
      <c r="L97" s="153"/>
      <c r="M97" s="153"/>
      <c r="N97" s="153"/>
      <c r="O97" s="153"/>
      <c r="P97" s="154"/>
      <c r="Q97" s="154"/>
      <c r="R97" s="154"/>
      <c r="S97" s="154"/>
      <c r="T97" s="154"/>
      <c r="U97" s="154"/>
      <c r="V97" s="154"/>
      <c r="W97" s="155"/>
      <c r="X97" s="155"/>
      <c r="Y97" s="155"/>
      <c r="Z97" s="155"/>
      <c r="AA97" s="155"/>
      <c r="AB97" s="155"/>
      <c r="AC97" s="155"/>
      <c r="AD97" s="108"/>
      <c r="AE97" s="108"/>
      <c r="AF97" s="124"/>
      <c r="AG97" s="125"/>
    </row>
    <row r="98" spans="1:33" s="139" customFormat="1">
      <c r="A98" s="156"/>
      <c r="B98" s="153"/>
      <c r="C98" s="153"/>
      <c r="D98" s="153"/>
      <c r="E98" s="153"/>
      <c r="F98" s="153"/>
      <c r="G98" s="153"/>
      <c r="H98" s="153"/>
      <c r="I98" s="153"/>
      <c r="J98" s="153"/>
      <c r="K98" s="153"/>
      <c r="L98" s="153"/>
      <c r="M98" s="153"/>
      <c r="N98" s="153"/>
      <c r="O98" s="153"/>
      <c r="P98" s="154"/>
      <c r="Q98" s="154"/>
      <c r="R98" s="154"/>
      <c r="S98" s="154"/>
      <c r="T98" s="154"/>
      <c r="U98" s="154"/>
      <c r="V98" s="154"/>
      <c r="W98" s="155"/>
      <c r="X98" s="155"/>
      <c r="Y98" s="155"/>
      <c r="Z98" s="155"/>
      <c r="AA98" s="155"/>
      <c r="AB98" s="155"/>
      <c r="AC98" s="155"/>
      <c r="AD98" s="108"/>
      <c r="AE98" s="108"/>
      <c r="AF98" s="124"/>
      <c r="AG98" s="125"/>
    </row>
    <row r="99" spans="1:33" s="139" customFormat="1">
      <c r="A99" s="156"/>
      <c r="B99" s="153"/>
      <c r="C99" s="153"/>
      <c r="D99" s="153"/>
      <c r="E99" s="153"/>
      <c r="F99" s="153"/>
      <c r="G99" s="153"/>
      <c r="H99" s="153"/>
      <c r="I99" s="153"/>
      <c r="J99" s="153"/>
      <c r="K99" s="153"/>
      <c r="L99" s="153"/>
      <c r="M99" s="153"/>
      <c r="N99" s="153"/>
      <c r="O99" s="153"/>
      <c r="P99" s="154"/>
      <c r="Q99" s="154"/>
      <c r="R99" s="154"/>
      <c r="S99" s="154"/>
      <c r="T99" s="154"/>
      <c r="U99" s="154"/>
      <c r="V99" s="154"/>
      <c r="W99" s="155"/>
      <c r="X99" s="155"/>
      <c r="Y99" s="155"/>
      <c r="Z99" s="155"/>
      <c r="AA99" s="155"/>
      <c r="AB99" s="155"/>
      <c r="AC99" s="155"/>
      <c r="AD99" s="108"/>
      <c r="AE99" s="108"/>
      <c r="AF99" s="124"/>
      <c r="AG99" s="125"/>
    </row>
    <row r="100" spans="1:33" s="139" customFormat="1" ht="13.9">
      <c r="A100" s="157"/>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9"/>
      <c r="X100" s="159"/>
      <c r="Y100" s="159"/>
      <c r="Z100" s="159"/>
      <c r="AA100" s="159"/>
      <c r="AB100" s="159"/>
      <c r="AC100" s="159"/>
      <c r="AD100" s="160"/>
      <c r="AE100" s="108"/>
      <c r="AF100" s="124"/>
      <c r="AG100" s="125"/>
    </row>
    <row r="101" spans="1:33" s="139" customFormat="1"/>
    <row r="102" spans="1:33" s="139" customFormat="1" ht="17.649999999999999">
      <c r="A102" s="138"/>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s="139" customFormat="1">
      <c r="A103" s="140"/>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row>
    <row r="104" spans="1:33" s="139" customFormat="1" ht="14.85" customHeight="1">
      <c r="A104" s="142"/>
      <c r="B104" s="143"/>
      <c r="C104" s="143"/>
      <c r="D104" s="143"/>
      <c r="E104" s="143"/>
      <c r="F104" s="143"/>
      <c r="G104" s="143"/>
      <c r="H104" s="143"/>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254"/>
    </row>
    <row r="105" spans="1:33" s="139" customFormat="1" ht="18" customHeight="1">
      <c r="A105" s="161"/>
      <c r="B105" s="161"/>
      <c r="C105" s="161"/>
      <c r="D105" s="161"/>
      <c r="E105" s="161"/>
      <c r="F105" s="161"/>
      <c r="G105" s="161"/>
      <c r="H105" s="161"/>
      <c r="I105" s="162"/>
      <c r="J105" s="162"/>
      <c r="K105" s="162"/>
      <c r="L105" s="162"/>
      <c r="M105" s="162"/>
      <c r="N105" s="162"/>
      <c r="O105" s="162"/>
      <c r="P105" s="146"/>
      <c r="Q105" s="146"/>
      <c r="R105" s="146"/>
      <c r="S105" s="146"/>
      <c r="T105" s="146"/>
      <c r="U105" s="146"/>
      <c r="V105" s="146"/>
      <c r="W105" s="147"/>
      <c r="X105" s="147"/>
      <c r="Y105" s="147"/>
      <c r="Z105" s="147"/>
      <c r="AA105" s="147"/>
      <c r="AB105" s="147"/>
      <c r="AC105" s="147"/>
      <c r="AD105" s="254"/>
      <c r="AE105" s="254"/>
      <c r="AF105" s="254"/>
      <c r="AG105" s="254"/>
    </row>
    <row r="106" spans="1:33" s="139" customFormat="1">
      <c r="A106" s="150"/>
      <c r="B106" s="150"/>
      <c r="C106" s="150"/>
      <c r="D106" s="150"/>
      <c r="E106" s="150"/>
      <c r="F106" s="150"/>
      <c r="G106" s="150"/>
      <c r="H106" s="150"/>
      <c r="I106" s="151"/>
      <c r="J106" s="151"/>
      <c r="K106" s="151"/>
      <c r="L106" s="151"/>
      <c r="M106" s="151"/>
      <c r="N106" s="151"/>
      <c r="O106" s="151"/>
      <c r="P106" s="150"/>
      <c r="Q106" s="150"/>
      <c r="R106" s="150"/>
      <c r="S106" s="150"/>
      <c r="T106" s="150"/>
      <c r="U106" s="150"/>
      <c r="V106" s="150"/>
      <c r="W106" s="150"/>
      <c r="X106" s="150"/>
      <c r="Y106" s="150"/>
      <c r="Z106" s="150"/>
      <c r="AA106" s="150"/>
      <c r="AB106" s="150"/>
      <c r="AC106" s="150"/>
      <c r="AD106" s="102"/>
      <c r="AE106" s="254"/>
      <c r="AF106" s="254"/>
      <c r="AG106" s="254"/>
    </row>
    <row r="107" spans="1:33" s="139" customFormat="1">
      <c r="A107" s="156"/>
      <c r="B107" s="153"/>
      <c r="C107" s="153"/>
      <c r="D107" s="153"/>
      <c r="E107" s="153"/>
      <c r="F107" s="153"/>
      <c r="G107" s="153"/>
      <c r="H107" s="153"/>
      <c r="I107" s="153"/>
      <c r="J107" s="153"/>
      <c r="K107" s="153"/>
      <c r="L107" s="153"/>
      <c r="M107" s="153"/>
      <c r="N107" s="153"/>
      <c r="O107" s="153"/>
      <c r="P107" s="154"/>
      <c r="Q107" s="154"/>
      <c r="R107" s="154"/>
      <c r="S107" s="154"/>
      <c r="T107" s="154"/>
      <c r="U107" s="154"/>
      <c r="V107" s="154"/>
      <c r="W107" s="155"/>
      <c r="X107" s="155"/>
      <c r="Y107" s="155"/>
      <c r="Z107" s="155"/>
      <c r="AA107" s="155"/>
      <c r="AB107" s="155"/>
      <c r="AC107" s="155"/>
      <c r="AD107" s="108"/>
      <c r="AE107" s="108"/>
      <c r="AF107" s="124"/>
      <c r="AG107" s="125"/>
    </row>
    <row r="108" spans="1:33" s="139" customFormat="1">
      <c r="A108" s="156"/>
      <c r="B108" s="153"/>
      <c r="C108" s="153"/>
      <c r="D108" s="153"/>
      <c r="E108" s="153"/>
      <c r="F108" s="153"/>
      <c r="G108" s="153"/>
      <c r="H108" s="153"/>
      <c r="I108" s="153"/>
      <c r="J108" s="153"/>
      <c r="K108" s="153"/>
      <c r="L108" s="153"/>
      <c r="M108" s="153"/>
      <c r="N108" s="153"/>
      <c r="O108" s="153"/>
      <c r="P108" s="154"/>
      <c r="Q108" s="154"/>
      <c r="R108" s="154"/>
      <c r="S108" s="154"/>
      <c r="T108" s="154"/>
      <c r="U108" s="154"/>
      <c r="V108" s="154"/>
      <c r="W108" s="155"/>
      <c r="X108" s="155"/>
      <c r="Y108" s="155"/>
      <c r="Z108" s="155"/>
      <c r="AA108" s="155"/>
      <c r="AB108" s="155"/>
      <c r="AC108" s="155"/>
      <c r="AD108" s="108"/>
      <c r="AE108" s="108"/>
      <c r="AF108" s="124"/>
      <c r="AG108" s="125"/>
    </row>
    <row r="109" spans="1:33" s="139" customFormat="1">
      <c r="A109" s="156"/>
      <c r="B109" s="153"/>
      <c r="C109" s="153"/>
      <c r="D109" s="153"/>
      <c r="E109" s="153"/>
      <c r="F109" s="153"/>
      <c r="G109" s="153"/>
      <c r="H109" s="153"/>
      <c r="I109" s="153"/>
      <c r="J109" s="153"/>
      <c r="K109" s="153"/>
      <c r="L109" s="153"/>
      <c r="M109" s="153"/>
      <c r="N109" s="153"/>
      <c r="O109" s="153"/>
      <c r="P109" s="154"/>
      <c r="Q109" s="154"/>
      <c r="R109" s="154"/>
      <c r="S109" s="154"/>
      <c r="T109" s="154"/>
      <c r="U109" s="154"/>
      <c r="V109" s="154"/>
      <c r="W109" s="155"/>
      <c r="X109" s="155"/>
      <c r="Y109" s="155"/>
      <c r="Z109" s="155"/>
      <c r="AA109" s="155"/>
      <c r="AB109" s="155"/>
      <c r="AC109" s="155"/>
      <c r="AD109" s="108"/>
      <c r="AE109" s="108"/>
      <c r="AF109" s="124"/>
      <c r="AG109" s="125"/>
    </row>
    <row r="110" spans="1:33" s="139" customFormat="1">
      <c r="A110" s="156"/>
      <c r="B110" s="153"/>
      <c r="C110" s="153"/>
      <c r="D110" s="153"/>
      <c r="E110" s="153"/>
      <c r="F110" s="153"/>
      <c r="G110" s="153"/>
      <c r="H110" s="153"/>
      <c r="I110" s="153"/>
      <c r="J110" s="153"/>
      <c r="K110" s="153"/>
      <c r="L110" s="153"/>
      <c r="M110" s="153"/>
      <c r="N110" s="153"/>
      <c r="O110" s="153"/>
      <c r="P110" s="154"/>
      <c r="Q110" s="154"/>
      <c r="R110" s="154"/>
      <c r="S110" s="154"/>
      <c r="T110" s="154"/>
      <c r="U110" s="154"/>
      <c r="V110" s="154"/>
      <c r="W110" s="155"/>
      <c r="X110" s="155"/>
      <c r="Y110" s="155"/>
      <c r="Z110" s="155"/>
      <c r="AA110" s="155"/>
      <c r="AB110" s="155"/>
      <c r="AC110" s="155"/>
      <c r="AD110" s="108"/>
      <c r="AE110" s="108"/>
      <c r="AF110" s="124"/>
      <c r="AG110" s="125"/>
    </row>
    <row r="111" spans="1:33" s="139" customFormat="1">
      <c r="A111" s="156"/>
      <c r="B111" s="153"/>
      <c r="C111" s="153"/>
      <c r="D111" s="153"/>
      <c r="E111" s="153"/>
      <c r="F111" s="153"/>
      <c r="G111" s="153"/>
      <c r="H111" s="153"/>
      <c r="I111" s="153"/>
      <c r="J111" s="153"/>
      <c r="K111" s="153"/>
      <c r="L111" s="153"/>
      <c r="M111" s="153"/>
      <c r="N111" s="153"/>
      <c r="O111" s="153"/>
      <c r="P111" s="154"/>
      <c r="Q111" s="154"/>
      <c r="R111" s="154"/>
      <c r="S111" s="154"/>
      <c r="T111" s="154"/>
      <c r="U111" s="154"/>
      <c r="V111" s="154"/>
      <c r="W111" s="155"/>
      <c r="X111" s="155"/>
      <c r="Y111" s="155"/>
      <c r="Z111" s="155"/>
      <c r="AA111" s="155"/>
      <c r="AB111" s="155"/>
      <c r="AC111" s="155"/>
      <c r="AD111" s="108"/>
      <c r="AE111" s="108"/>
      <c r="AF111" s="124"/>
      <c r="AG111" s="125"/>
    </row>
    <row r="112" spans="1:33" s="139" customFormat="1">
      <c r="A112" s="156"/>
      <c r="B112" s="153"/>
      <c r="C112" s="153"/>
      <c r="D112" s="153"/>
      <c r="E112" s="153"/>
      <c r="F112" s="153"/>
      <c r="G112" s="153"/>
      <c r="H112" s="153"/>
      <c r="I112" s="153"/>
      <c r="J112" s="153"/>
      <c r="K112" s="153"/>
      <c r="L112" s="153"/>
      <c r="M112" s="153"/>
      <c r="N112" s="153"/>
      <c r="O112" s="153"/>
      <c r="P112" s="154"/>
      <c r="Q112" s="154"/>
      <c r="R112" s="154"/>
      <c r="S112" s="154"/>
      <c r="T112" s="154"/>
      <c r="U112" s="154"/>
      <c r="V112" s="154"/>
      <c r="W112" s="155"/>
      <c r="X112" s="155"/>
      <c r="Y112" s="155"/>
      <c r="Z112" s="155"/>
      <c r="AA112" s="155"/>
      <c r="AB112" s="155"/>
      <c r="AC112" s="155"/>
      <c r="AD112" s="108"/>
      <c r="AE112" s="108"/>
      <c r="AF112" s="124"/>
      <c r="AG112" s="125"/>
    </row>
    <row r="113" spans="1:33" s="139" customFormat="1">
      <c r="A113" s="156"/>
      <c r="B113" s="153"/>
      <c r="C113" s="153"/>
      <c r="D113" s="153"/>
      <c r="E113" s="153"/>
      <c r="F113" s="153"/>
      <c r="G113" s="153"/>
      <c r="H113" s="153"/>
      <c r="I113" s="153"/>
      <c r="J113" s="153"/>
      <c r="K113" s="153"/>
      <c r="L113" s="153"/>
      <c r="M113" s="153"/>
      <c r="N113" s="153"/>
      <c r="O113" s="153"/>
      <c r="P113" s="154"/>
      <c r="Q113" s="154"/>
      <c r="R113" s="154"/>
      <c r="S113" s="154"/>
      <c r="T113" s="154"/>
      <c r="U113" s="154"/>
      <c r="V113" s="154"/>
      <c r="W113" s="155"/>
      <c r="X113" s="155"/>
      <c r="Y113" s="155"/>
      <c r="Z113" s="155"/>
      <c r="AA113" s="155"/>
      <c r="AB113" s="155"/>
      <c r="AC113" s="155"/>
      <c r="AD113" s="108"/>
      <c r="AE113" s="108"/>
      <c r="AF113" s="124"/>
      <c r="AG113" s="125"/>
    </row>
    <row r="114" spans="1:33" s="139" customFormat="1">
      <c r="A114" s="156"/>
      <c r="B114" s="153"/>
      <c r="C114" s="153"/>
      <c r="D114" s="153"/>
      <c r="E114" s="153"/>
      <c r="F114" s="153"/>
      <c r="G114" s="153"/>
      <c r="H114" s="153"/>
      <c r="I114" s="153"/>
      <c r="J114" s="153"/>
      <c r="K114" s="153"/>
      <c r="L114" s="153"/>
      <c r="M114" s="153"/>
      <c r="N114" s="153"/>
      <c r="O114" s="153"/>
      <c r="P114" s="154"/>
      <c r="Q114" s="154"/>
      <c r="R114" s="154"/>
      <c r="S114" s="154"/>
      <c r="T114" s="154"/>
      <c r="U114" s="154"/>
      <c r="V114" s="154"/>
      <c r="W114" s="155"/>
      <c r="X114" s="155"/>
      <c r="Y114" s="155"/>
      <c r="Z114" s="155"/>
      <c r="AA114" s="155"/>
      <c r="AB114" s="155"/>
      <c r="AC114" s="155"/>
      <c r="AD114" s="108"/>
      <c r="AE114" s="108"/>
      <c r="AF114" s="124"/>
      <c r="AG114" s="125"/>
    </row>
    <row r="115" spans="1:33" s="139" customFormat="1">
      <c r="A115" s="156"/>
      <c r="B115" s="153"/>
      <c r="C115" s="153"/>
      <c r="D115" s="153"/>
      <c r="E115" s="153"/>
      <c r="F115" s="153"/>
      <c r="G115" s="153"/>
      <c r="H115" s="153"/>
      <c r="I115" s="153"/>
      <c r="J115" s="153"/>
      <c r="K115" s="153"/>
      <c r="L115" s="153"/>
      <c r="M115" s="153"/>
      <c r="N115" s="153"/>
      <c r="O115" s="153"/>
      <c r="P115" s="154"/>
      <c r="Q115" s="154"/>
      <c r="R115" s="154"/>
      <c r="S115" s="154"/>
      <c r="T115" s="154"/>
      <c r="U115" s="154"/>
      <c r="V115" s="154"/>
      <c r="W115" s="155"/>
      <c r="X115" s="155"/>
      <c r="Y115" s="155"/>
      <c r="Z115" s="155"/>
      <c r="AA115" s="155"/>
      <c r="AB115" s="155"/>
      <c r="AC115" s="155"/>
      <c r="AD115" s="108"/>
      <c r="AE115" s="108"/>
      <c r="AF115" s="124"/>
      <c r="AG115" s="125"/>
    </row>
    <row r="116" spans="1:33" s="139" customFormat="1">
      <c r="A116" s="156"/>
      <c r="B116" s="153"/>
      <c r="C116" s="153"/>
      <c r="D116" s="153"/>
      <c r="E116" s="153"/>
      <c r="F116" s="153"/>
      <c r="G116" s="153"/>
      <c r="H116" s="153"/>
      <c r="I116" s="153"/>
      <c r="J116" s="153"/>
      <c r="K116" s="153"/>
      <c r="L116" s="153"/>
      <c r="M116" s="153"/>
      <c r="N116" s="153"/>
      <c r="O116" s="153"/>
      <c r="P116" s="154"/>
      <c r="Q116" s="154"/>
      <c r="R116" s="154"/>
      <c r="S116" s="154"/>
      <c r="T116" s="154"/>
      <c r="U116" s="154"/>
      <c r="V116" s="154"/>
      <c r="W116" s="155"/>
      <c r="X116" s="155"/>
      <c r="Y116" s="155"/>
      <c r="Z116" s="155"/>
      <c r="AA116" s="155"/>
      <c r="AB116" s="155"/>
      <c r="AC116" s="155"/>
      <c r="AD116" s="108"/>
      <c r="AE116" s="108"/>
      <c r="AF116" s="124"/>
      <c r="AG116" s="125"/>
    </row>
    <row r="117" spans="1:33" s="139" customFormat="1" ht="13.9">
      <c r="A117" s="157"/>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9"/>
      <c r="X117" s="159"/>
      <c r="Y117" s="159"/>
      <c r="Z117" s="159"/>
      <c r="AA117" s="159"/>
      <c r="AB117" s="159"/>
      <c r="AC117" s="159"/>
      <c r="AD117" s="160"/>
      <c r="AE117" s="108"/>
      <c r="AF117" s="124"/>
      <c r="AG117" s="125"/>
    </row>
    <row r="118" spans="1:33" s="139" customFormat="1"/>
    <row r="119" spans="1:33" s="139" customFormat="1"/>
  </sheetData>
  <mergeCells count="25">
    <mergeCell ref="AD104:AD105"/>
    <mergeCell ref="AE105:AE106"/>
    <mergeCell ref="AF105:AF106"/>
    <mergeCell ref="AG105:AG106"/>
    <mergeCell ref="AD60:AD61"/>
    <mergeCell ref="AE61:AE62"/>
    <mergeCell ref="AF61:AF62"/>
    <mergeCell ref="AG61:AG62"/>
    <mergeCell ref="AD87:AD88"/>
    <mergeCell ref="AE88:AE89"/>
    <mergeCell ref="AF88:AF89"/>
    <mergeCell ref="AG88:AG89"/>
    <mergeCell ref="AD6:AD7"/>
    <mergeCell ref="AE7:AE8"/>
    <mergeCell ref="AF7:AF8"/>
    <mergeCell ref="AG7:AG8"/>
    <mergeCell ref="AD33:AD34"/>
    <mergeCell ref="AE34:AE35"/>
    <mergeCell ref="AF34:AF35"/>
    <mergeCell ref="AG34:AG35"/>
    <mergeCell ref="AI9:AP18"/>
    <mergeCell ref="AI37:AQ47"/>
    <mergeCell ref="AI64:AQ66"/>
    <mergeCell ref="AI67:AQ69"/>
    <mergeCell ref="AI74:AQ77"/>
  </mergeCells>
  <conditionalFormatting sqref="AG10:AG27 AD9:AD28 AE56:AG56 AD36:AD55 I7:O8 I35:O35 AF13:AF27 AE29:AG29 AF28:AG28 AF37:AG55 A29:V29 A56:V56 B83:V83 B100:V100 B117:V117">
    <cfRule type="cellIs" dxfId="65" priority="88" operator="equal">
      <formula>0</formula>
    </cfRule>
  </conditionalFormatting>
  <conditionalFormatting sqref="AF36:AG56 AF9:AG29">
    <cfRule type="expression" dxfId="64" priority="85">
      <formula>AF9="error"</formula>
    </cfRule>
    <cfRule type="expression" dxfId="63" priority="86">
      <formula>AF9="OK"</formula>
    </cfRule>
  </conditionalFormatting>
  <conditionalFormatting sqref="I7:O8">
    <cfRule type="cellIs" dxfId="62" priority="83" operator="equal">
      <formula>0</formula>
    </cfRule>
  </conditionalFormatting>
  <conditionalFormatting sqref="AF10:AF12">
    <cfRule type="cellIs" dxfId="61" priority="82" operator="equal">
      <formula>0</formula>
    </cfRule>
  </conditionalFormatting>
  <conditionalFormatting sqref="AF9">
    <cfRule type="cellIs" dxfId="60" priority="81" operator="equal">
      <formula>0</formula>
    </cfRule>
  </conditionalFormatting>
  <conditionalFormatting sqref="I35:O35">
    <cfRule type="cellIs" dxfId="59" priority="80" operator="equal">
      <formula>0</formula>
    </cfRule>
  </conditionalFormatting>
  <conditionalFormatting sqref="AF36">
    <cfRule type="cellIs" dxfId="58" priority="79" operator="equal">
      <formula>0</formula>
    </cfRule>
  </conditionalFormatting>
  <conditionalFormatting sqref="B6:H6">
    <cfRule type="cellIs" dxfId="57" priority="78" operator="equal">
      <formula>0</formula>
    </cfRule>
  </conditionalFormatting>
  <conditionalFormatting sqref="B33:H33">
    <cfRule type="cellIs" dxfId="56" priority="77" operator="equal">
      <formula>0</formula>
    </cfRule>
  </conditionalFormatting>
  <conditionalFormatting sqref="A83 AE83:AG83 AD63:AD82 I62:O62 AF64:AG82">
    <cfRule type="cellIs" dxfId="55" priority="76" operator="equal">
      <formula>0</formula>
    </cfRule>
  </conditionalFormatting>
  <conditionalFormatting sqref="AF63:AG83">
    <cfRule type="expression" dxfId="54" priority="74">
      <formula>AF63="error"</formula>
    </cfRule>
    <cfRule type="expression" dxfId="53" priority="75">
      <formula>AF63="OK"</formula>
    </cfRule>
  </conditionalFormatting>
  <conditionalFormatting sqref="I62:O62">
    <cfRule type="cellIs" dxfId="52" priority="73" operator="equal">
      <formula>0</formula>
    </cfRule>
  </conditionalFormatting>
  <conditionalFormatting sqref="AF63:AF82">
    <cfRule type="cellIs" dxfId="51" priority="72" operator="equal">
      <formula>0</formula>
    </cfRule>
  </conditionalFormatting>
  <conditionalFormatting sqref="B60:H60">
    <cfRule type="cellIs" dxfId="50" priority="71" operator="equal">
      <formula>0</formula>
    </cfRule>
  </conditionalFormatting>
  <conditionalFormatting sqref="A90:A100 AE91:AG100 AE90 AD90:AD99 B90:H99 I89:O99 P90:V99">
    <cfRule type="cellIs" dxfId="49" priority="70" operator="equal">
      <formula>0</formula>
    </cfRule>
  </conditionalFormatting>
  <conditionalFormatting sqref="AF90:AG100">
    <cfRule type="expression" dxfId="48" priority="68">
      <formula>AF90="error"</formula>
    </cfRule>
    <cfRule type="expression" dxfId="47" priority="69">
      <formula>AF90="OK"</formula>
    </cfRule>
  </conditionalFormatting>
  <conditionalFormatting sqref="I89:O89">
    <cfRule type="cellIs" dxfId="46" priority="67" operator="equal">
      <formula>0</formula>
    </cfRule>
  </conditionalFormatting>
  <conditionalFormatting sqref="AF90">
    <cfRule type="cellIs" dxfId="45" priority="66" operator="equal">
      <formula>0</formula>
    </cfRule>
  </conditionalFormatting>
  <conditionalFormatting sqref="B87:H87">
    <cfRule type="cellIs" dxfId="44" priority="65" operator="equal">
      <formula>0</formula>
    </cfRule>
  </conditionalFormatting>
  <conditionalFormatting sqref="A107:A117 AE108:AG117 AE107 AD107:AD116 B107:H116 P107:V116 I105:O116">
    <cfRule type="cellIs" dxfId="43" priority="64" operator="equal">
      <formula>0</formula>
    </cfRule>
  </conditionalFormatting>
  <conditionalFormatting sqref="AF107:AG117">
    <cfRule type="expression" dxfId="42" priority="62">
      <formula>AF107="error"</formula>
    </cfRule>
    <cfRule type="expression" dxfId="41" priority="63">
      <formula>AF107="OK"</formula>
    </cfRule>
  </conditionalFormatting>
  <conditionalFormatting sqref="I105:O106">
    <cfRule type="cellIs" dxfId="40" priority="61" operator="equal">
      <formula>0</formula>
    </cfRule>
  </conditionalFormatting>
  <conditionalFormatting sqref="AF107">
    <cfRule type="cellIs" dxfId="39" priority="60" operator="equal">
      <formula>0</formula>
    </cfRule>
  </conditionalFormatting>
  <conditionalFormatting sqref="B104:H104">
    <cfRule type="cellIs" dxfId="38" priority="59" operator="equal">
      <formula>0</formula>
    </cfRule>
  </conditionalFormatting>
  <conditionalFormatting sqref="A27:A28">
    <cfRule type="cellIs" dxfId="37" priority="47" operator="equal">
      <formula>0</formula>
    </cfRule>
  </conditionalFormatting>
  <conditionalFormatting sqref="A54:A55">
    <cfRule type="cellIs" dxfId="36" priority="43" operator="equal">
      <formula>0</formula>
    </cfRule>
  </conditionalFormatting>
  <conditionalFormatting sqref="A81:A82">
    <cfRule type="cellIs" dxfId="35" priority="39" operator="equal">
      <formula>0</formula>
    </cfRule>
  </conditionalFormatting>
  <conditionalFormatting sqref="A9:A13 A15:A25">
    <cfRule type="cellIs" dxfId="34" priority="50" operator="equal">
      <formula>0</formula>
    </cfRule>
  </conditionalFormatting>
  <conditionalFormatting sqref="A14">
    <cfRule type="cellIs" dxfId="33" priority="49" operator="equal">
      <formula>0</formula>
    </cfRule>
  </conditionalFormatting>
  <conditionalFormatting sqref="A26">
    <cfRule type="cellIs" dxfId="32" priority="48" operator="equal">
      <formula>0</formula>
    </cfRule>
  </conditionalFormatting>
  <conditionalFormatting sqref="A36:A40 A42:A52">
    <cfRule type="cellIs" dxfId="31" priority="46" operator="equal">
      <formula>0</formula>
    </cfRule>
  </conditionalFormatting>
  <conditionalFormatting sqref="A41">
    <cfRule type="cellIs" dxfId="30" priority="45" operator="equal">
      <formula>0</formula>
    </cfRule>
  </conditionalFormatting>
  <conditionalFormatting sqref="A53">
    <cfRule type="cellIs" dxfId="29" priority="44" operator="equal">
      <formula>0</formula>
    </cfRule>
  </conditionalFormatting>
  <conditionalFormatting sqref="A63:A67 A69:A79">
    <cfRule type="cellIs" dxfId="28" priority="42" operator="equal">
      <formula>0</formula>
    </cfRule>
  </conditionalFormatting>
  <conditionalFormatting sqref="A68">
    <cfRule type="cellIs" dxfId="27" priority="41" operator="equal">
      <formula>0</formula>
    </cfRule>
  </conditionalFormatting>
  <conditionalFormatting sqref="A80">
    <cfRule type="cellIs" dxfId="26" priority="40" operator="equal">
      <formula>0</formula>
    </cfRule>
  </conditionalFormatting>
  <conditionalFormatting sqref="B9:O28">
    <cfRule type="cellIs" dxfId="25" priority="37" operator="equal">
      <formula>0</formula>
    </cfRule>
  </conditionalFormatting>
  <conditionalFormatting sqref="B36:O55">
    <cfRule type="cellIs" dxfId="24" priority="36" operator="equal">
      <formula>0</formula>
    </cfRule>
  </conditionalFormatting>
  <conditionalFormatting sqref="B63:O82">
    <cfRule type="cellIs" dxfId="23" priority="35" operator="equal">
      <formula>0</formula>
    </cfRule>
  </conditionalFormatting>
  <conditionalFormatting sqref="P9:V12 P14:V20 P22:V28">
    <cfRule type="cellIs" dxfId="22" priority="33" operator="equal">
      <formula>0</formula>
    </cfRule>
  </conditionalFormatting>
  <conditionalFormatting sqref="P36:V39 P41:V47 P49:V55">
    <cfRule type="cellIs" dxfId="21" priority="32" operator="equal">
      <formula>0</formula>
    </cfRule>
  </conditionalFormatting>
  <conditionalFormatting sqref="P63:V82">
    <cfRule type="cellIs" dxfId="20" priority="31" operator="equal">
      <formula>0</formula>
    </cfRule>
  </conditionalFormatting>
  <conditionalFormatting sqref="W13:AC13">
    <cfRule type="cellIs" dxfId="19" priority="19" operator="equal">
      <formula>0</formula>
    </cfRule>
  </conditionalFormatting>
  <conditionalFormatting sqref="AE63:AE82">
    <cfRule type="cellIs" dxfId="18" priority="28" operator="equal">
      <formula>0</formula>
    </cfRule>
  </conditionalFormatting>
  <conditionalFormatting sqref="P13:V13">
    <cfRule type="cellIs" dxfId="17" priority="22" operator="equal">
      <formula>0</formula>
    </cfRule>
  </conditionalFormatting>
  <conditionalFormatting sqref="P21:V21">
    <cfRule type="cellIs" dxfId="16" priority="21" operator="equal">
      <formula>0</formula>
    </cfRule>
  </conditionalFormatting>
  <conditionalFormatting sqref="W21:AC21">
    <cfRule type="cellIs" dxfId="15" priority="20" operator="equal">
      <formula>0</formula>
    </cfRule>
  </conditionalFormatting>
  <conditionalFormatting sqref="P40:V40">
    <cfRule type="cellIs" dxfId="14" priority="18" operator="equal">
      <formula>0</formula>
    </cfRule>
  </conditionalFormatting>
  <conditionalFormatting sqref="P48:V48">
    <cfRule type="cellIs" dxfId="13" priority="17" operator="equal">
      <formula>0</formula>
    </cfRule>
  </conditionalFormatting>
  <conditionalFormatting sqref="AF37:AF55">
    <cfRule type="cellIs" dxfId="12" priority="16" operator="equal">
      <formula>0</formula>
    </cfRule>
  </conditionalFormatting>
  <conditionalFormatting sqref="AF10:AF28">
    <cfRule type="cellIs" dxfId="11" priority="15" operator="equal">
      <formula>0</formula>
    </cfRule>
  </conditionalFormatting>
  <conditionalFormatting sqref="AE13:AE28">
    <cfRule type="cellIs" dxfId="10" priority="11" operator="equal">
      <formula>0</formula>
    </cfRule>
  </conditionalFormatting>
  <conditionalFormatting sqref="AE9:AE28">
    <cfRule type="expression" dxfId="9" priority="9">
      <formula>AE9="error"</formula>
    </cfRule>
    <cfRule type="expression" dxfId="8" priority="10">
      <formula>AE9="OK"</formula>
    </cfRule>
  </conditionalFormatting>
  <conditionalFormatting sqref="AE10:AE12">
    <cfRule type="cellIs" dxfId="7" priority="8" operator="equal">
      <formula>0</formula>
    </cfRule>
  </conditionalFormatting>
  <conditionalFormatting sqref="AE9">
    <cfRule type="cellIs" dxfId="6" priority="7" operator="equal">
      <formula>0</formula>
    </cfRule>
  </conditionalFormatting>
  <conditionalFormatting sqref="AE10:AE28">
    <cfRule type="cellIs" dxfId="5" priority="6" operator="equal">
      <formula>0</formula>
    </cfRule>
  </conditionalFormatting>
  <conditionalFormatting sqref="AE37:AE55">
    <cfRule type="cellIs" dxfId="4" priority="5" operator="equal">
      <formula>0</formula>
    </cfRule>
  </conditionalFormatting>
  <conditionalFormatting sqref="AE36:AE55">
    <cfRule type="expression" dxfId="3" priority="3">
      <formula>AE36="error"</formula>
    </cfRule>
    <cfRule type="expression" dxfId="2" priority="4">
      <formula>AE36="OK"</formula>
    </cfRule>
  </conditionalFormatting>
  <conditionalFormatting sqref="AE36">
    <cfRule type="cellIs" dxfId="1" priority="2" operator="equal">
      <formula>0</formula>
    </cfRule>
  </conditionalFormatting>
  <conditionalFormatting sqref="AE37:AE55">
    <cfRule type="cellIs" dxfId="0" priority="1" operator="equal">
      <formula>0</formula>
    </cfRule>
  </conditionalFormatting>
  <dataValidations count="1">
    <dataValidation type="list" allowBlank="1" showInputMessage="1" showErrorMessage="1" promptTitle="Ofwat forecast" prompt="Please choose a forecasting approach. The decision will be used to populate the block &quot;Final decision&quot;." sqref="AE63:AE83 AD107:AD116 AE29 AD63:AD82 AE90:AE100 AD90:AD99 AE107:AE117 AD9:AD28 AD36:AD55 AE56">
      <formula1>"Company forecast, Ofwat forecast"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3"/>
  <sheetViews>
    <sheetView showGridLines="0" zoomScale="80" zoomScaleNormal="80" workbookViewId="0"/>
  </sheetViews>
  <sheetFormatPr defaultColWidth="9" defaultRowHeight="12.75"/>
  <cols>
    <col min="1" max="4" width="9" style="3"/>
    <col min="5" max="5" width="15.375" style="3" customWidth="1"/>
    <col min="6" max="6" width="15.125" style="3" customWidth="1"/>
    <col min="7" max="7" width="14.625" style="3" customWidth="1"/>
    <col min="8" max="8" width="15.625" style="3" customWidth="1"/>
    <col min="9" max="16384" width="9" style="3"/>
  </cols>
  <sheetData>
    <row r="1" spans="1:8" ht="17.649999999999999">
      <c r="A1" s="192" t="s">
        <v>46</v>
      </c>
    </row>
    <row r="2" spans="1:8">
      <c r="A2" s="58" t="s">
        <v>47</v>
      </c>
    </row>
    <row r="4" spans="1:8" ht="13.15">
      <c r="E4" s="14" t="s">
        <v>48</v>
      </c>
    </row>
    <row r="5" spans="1:8" ht="13.15">
      <c r="E5" s="59" t="s">
        <v>50</v>
      </c>
      <c r="F5" s="60"/>
      <c r="G5" s="59" t="s">
        <v>51</v>
      </c>
      <c r="H5" s="60"/>
    </row>
    <row r="6" spans="1:8" ht="26.25">
      <c r="A6" s="61" t="s">
        <v>29</v>
      </c>
      <c r="B6" s="61" t="s">
        <v>6</v>
      </c>
      <c r="C6" s="45" t="s">
        <v>146</v>
      </c>
      <c r="D6" s="61" t="s">
        <v>7</v>
      </c>
      <c r="E6" s="62" t="s">
        <v>80</v>
      </c>
      <c r="F6" s="62" t="s">
        <v>49</v>
      </c>
      <c r="G6" s="62" t="s">
        <v>80</v>
      </c>
      <c r="H6" s="62" t="s">
        <v>49</v>
      </c>
    </row>
    <row r="7" spans="1:8">
      <c r="A7" s="63" t="str">
        <f>B7&amp;RIGHT(D7,2)</f>
        <v>ANH21</v>
      </c>
      <c r="B7" s="63" t="s">
        <v>8</v>
      </c>
      <c r="C7" s="63" t="s">
        <v>124</v>
      </c>
      <c r="D7" s="63">
        <v>2021</v>
      </c>
      <c r="E7" s="22">
        <f>INDEX(Data!$L$8:$L$252,MATCH($A7,Data!$A$8:$A$252,0))</f>
        <v>33.315000000000005</v>
      </c>
      <c r="F7" s="22">
        <f>INDEX('Forecast drivers'!$W$61:$AC$82,MATCH('Selected forecast drivers'!B7,'Forecast drivers'!$A$61:$A$82,0),MATCH('Selected forecast drivers'!C7,'Forecast drivers'!$W$61:$AC$61))</f>
        <v>33.315000000000005</v>
      </c>
      <c r="G7" s="64">
        <f>LN(E7)</f>
        <v>3.5060077460145007</v>
      </c>
      <c r="H7" s="64">
        <f>LN(F7)</f>
        <v>3.5060077460145007</v>
      </c>
    </row>
    <row r="8" spans="1:8">
      <c r="A8" s="63" t="str">
        <f t="shared" ref="A8:A71" si="0">B8&amp;RIGHT(D8,2)</f>
        <v>ANH22</v>
      </c>
      <c r="B8" s="63" t="s">
        <v>8</v>
      </c>
      <c r="C8" s="63" t="s">
        <v>125</v>
      </c>
      <c r="D8" s="63">
        <v>2022</v>
      </c>
      <c r="E8" s="22">
        <f>INDEX(Data!$L$8:$L$252,MATCH($A8,Data!$A$8:$A$252,0))</f>
        <v>37.161999999999999</v>
      </c>
      <c r="F8" s="22">
        <f>INDEX('Forecast drivers'!$W$61:$AC$82,MATCH('Selected forecast drivers'!B8,'Forecast drivers'!$A$61:$A$82,0),MATCH('Selected forecast drivers'!C8,'Forecast drivers'!$W$61:$AC$61))</f>
        <v>37.161999999999999</v>
      </c>
      <c r="G8" s="64">
        <f t="shared" ref="G8:G71" si="1">LN(E8)</f>
        <v>3.6152867338105628</v>
      </c>
      <c r="H8" s="64">
        <f t="shared" ref="H8:H71" si="2">LN(F8)</f>
        <v>3.6152867338105628</v>
      </c>
    </row>
    <row r="9" spans="1:8">
      <c r="A9" s="63" t="str">
        <f t="shared" si="0"/>
        <v>ANH23</v>
      </c>
      <c r="B9" s="65" t="s">
        <v>8</v>
      </c>
      <c r="C9" s="65" t="s">
        <v>126</v>
      </c>
      <c r="D9" s="65">
        <v>2023</v>
      </c>
      <c r="E9" s="22">
        <f>INDEX(Data!$L$8:$L$252,MATCH($A9,Data!$A$8:$A$252,0))</f>
        <v>38.911999999999999</v>
      </c>
      <c r="F9" s="22">
        <f>INDEX('Forecast drivers'!$W$61:$AC$82,MATCH('Selected forecast drivers'!B9,'Forecast drivers'!$A$61:$A$82,0),MATCH('Selected forecast drivers'!C9,'Forecast drivers'!$W$61:$AC$61))</f>
        <v>38.911999999999999</v>
      </c>
      <c r="G9" s="64">
        <f t="shared" si="1"/>
        <v>3.6613026863437019</v>
      </c>
      <c r="H9" s="64">
        <f t="shared" si="2"/>
        <v>3.6613026863437019</v>
      </c>
    </row>
    <row r="10" spans="1:8">
      <c r="A10" s="65" t="str">
        <f t="shared" si="0"/>
        <v>ANH24</v>
      </c>
      <c r="B10" s="65" t="s">
        <v>8</v>
      </c>
      <c r="C10" s="65" t="s">
        <v>127</v>
      </c>
      <c r="D10" s="65">
        <v>2024</v>
      </c>
      <c r="E10" s="22">
        <f>INDEX(Data!$L$8:$L$252,MATCH($A10,Data!$A$8:$A$252,0))</f>
        <v>38.713000000000001</v>
      </c>
      <c r="F10" s="22">
        <f>INDEX('Forecast drivers'!$W$61:$AC$82,MATCH('Selected forecast drivers'!B10,'Forecast drivers'!$A$61:$A$82,0),MATCH('Selected forecast drivers'!C10,'Forecast drivers'!$W$61:$AC$61))</f>
        <v>38.713000000000001</v>
      </c>
      <c r="G10" s="64">
        <f t="shared" si="1"/>
        <v>3.6561754609408088</v>
      </c>
      <c r="H10" s="64">
        <f t="shared" si="2"/>
        <v>3.6561754609408088</v>
      </c>
    </row>
    <row r="11" spans="1:8">
      <c r="A11" s="65" t="str">
        <f t="shared" si="0"/>
        <v>ANH25</v>
      </c>
      <c r="B11" s="65" t="s">
        <v>8</v>
      </c>
      <c r="C11" s="65" t="s">
        <v>128</v>
      </c>
      <c r="D11" s="65">
        <v>2025</v>
      </c>
      <c r="E11" s="22">
        <f>INDEX(Data!$L$8:$L$252,MATCH($A11,Data!$A$8:$A$252,0))</f>
        <v>35.708000000000006</v>
      </c>
      <c r="F11" s="22">
        <f>INDEX('Forecast drivers'!$W$61:$AC$82,MATCH('Selected forecast drivers'!B11,'Forecast drivers'!$A$61:$A$82,0),MATCH('Selected forecast drivers'!C11,'Forecast drivers'!$W$61:$AC$61))</f>
        <v>35.708000000000006</v>
      </c>
      <c r="G11" s="64">
        <f t="shared" si="1"/>
        <v>3.5753747533171159</v>
      </c>
      <c r="H11" s="64">
        <f t="shared" si="2"/>
        <v>3.5753747533171159</v>
      </c>
    </row>
    <row r="12" spans="1:8">
      <c r="A12" s="65" t="str">
        <f t="shared" si="0"/>
        <v>HDD21</v>
      </c>
      <c r="B12" s="65" t="s">
        <v>28</v>
      </c>
      <c r="C12" s="63" t="s">
        <v>124</v>
      </c>
      <c r="D12" s="65">
        <v>2021</v>
      </c>
      <c r="E12" s="22">
        <f>INDEX(Data!$L$8:$L$252,MATCH($A12,Data!$A$8:$A$252,0))</f>
        <v>0.43500000000000005</v>
      </c>
      <c r="F12" s="22">
        <f>INDEX('Forecast drivers'!$W$61:$AC$82,MATCH('Selected forecast drivers'!B12,'Forecast drivers'!$A$61:$A$82,0),MATCH('Selected forecast drivers'!C12,'Forecast drivers'!$W$61:$AC$61))</f>
        <v>0.43500000000000005</v>
      </c>
      <c r="G12" s="64">
        <f t="shared" si="1"/>
        <v>-0.83240924789345283</v>
      </c>
      <c r="H12" s="64">
        <f t="shared" si="2"/>
        <v>-0.83240924789345283</v>
      </c>
    </row>
    <row r="13" spans="1:8">
      <c r="A13" s="65" t="str">
        <f t="shared" si="0"/>
        <v>HDD22</v>
      </c>
      <c r="B13" s="65" t="s">
        <v>28</v>
      </c>
      <c r="C13" s="63" t="s">
        <v>125</v>
      </c>
      <c r="D13" s="65">
        <v>2022</v>
      </c>
      <c r="E13" s="22">
        <f>INDEX(Data!$L$8:$L$252,MATCH($A13,Data!$A$8:$A$252,0))</f>
        <v>0.46299999999999997</v>
      </c>
      <c r="F13" s="22">
        <f>INDEX('Forecast drivers'!$W$61:$AC$82,MATCH('Selected forecast drivers'!B13,'Forecast drivers'!$A$61:$A$82,0),MATCH('Selected forecast drivers'!C13,'Forecast drivers'!$W$61:$AC$61))</f>
        <v>0.46299999999999997</v>
      </c>
      <c r="G13" s="64">
        <f t="shared" si="1"/>
        <v>-0.77002822489590306</v>
      </c>
      <c r="H13" s="64">
        <f t="shared" si="2"/>
        <v>-0.77002822489590306</v>
      </c>
    </row>
    <row r="14" spans="1:8">
      <c r="A14" s="65" t="str">
        <f t="shared" si="0"/>
        <v>HDD23</v>
      </c>
      <c r="B14" s="65" t="s">
        <v>28</v>
      </c>
      <c r="C14" s="65" t="s">
        <v>126</v>
      </c>
      <c r="D14" s="65">
        <v>2023</v>
      </c>
      <c r="E14" s="22">
        <f>INDEX(Data!$L$8:$L$252,MATCH($A14,Data!$A$8:$A$252,0))</f>
        <v>0.49</v>
      </c>
      <c r="F14" s="22">
        <f>INDEX('Forecast drivers'!$W$61:$AC$82,MATCH('Selected forecast drivers'!B14,'Forecast drivers'!$A$61:$A$82,0),MATCH('Selected forecast drivers'!C14,'Forecast drivers'!$W$61:$AC$61))</f>
        <v>0.49</v>
      </c>
      <c r="G14" s="64">
        <f t="shared" si="1"/>
        <v>-0.71334988787746478</v>
      </c>
      <c r="H14" s="64">
        <f t="shared" si="2"/>
        <v>-0.71334988787746478</v>
      </c>
    </row>
    <row r="15" spans="1:8">
      <c r="A15" s="65" t="str">
        <f t="shared" si="0"/>
        <v>HDD24</v>
      </c>
      <c r="B15" s="65" t="s">
        <v>28</v>
      </c>
      <c r="C15" s="65" t="s">
        <v>127</v>
      </c>
      <c r="D15" s="65">
        <v>2024</v>
      </c>
      <c r="E15" s="22">
        <f>INDEX(Data!$L$8:$L$252,MATCH($A15,Data!$A$8:$A$252,0))</f>
        <v>0.498</v>
      </c>
      <c r="F15" s="22">
        <f>INDEX('Forecast drivers'!$W$61:$AC$82,MATCH('Selected forecast drivers'!B15,'Forecast drivers'!$A$61:$A$82,0),MATCH('Selected forecast drivers'!C15,'Forecast drivers'!$W$61:$AC$61))</f>
        <v>0.498</v>
      </c>
      <c r="G15" s="64">
        <f t="shared" si="1"/>
        <v>-0.69715520195748415</v>
      </c>
      <c r="H15" s="64">
        <f t="shared" si="2"/>
        <v>-0.69715520195748415</v>
      </c>
    </row>
    <row r="16" spans="1:8">
      <c r="A16" s="65" t="str">
        <f t="shared" si="0"/>
        <v>HDD25</v>
      </c>
      <c r="B16" s="65" t="s">
        <v>28</v>
      </c>
      <c r="C16" s="65" t="s">
        <v>128</v>
      </c>
      <c r="D16" s="65">
        <v>2025</v>
      </c>
      <c r="E16" s="22">
        <f>INDEX(Data!$L$8:$L$252,MATCH($A16,Data!$A$8:$A$252,0))</f>
        <v>0.50600000000000001</v>
      </c>
      <c r="F16" s="22">
        <f>INDEX('Forecast drivers'!$W$61:$AC$82,MATCH('Selected forecast drivers'!B16,'Forecast drivers'!$A$61:$A$82,0),MATCH('Selected forecast drivers'!C16,'Forecast drivers'!$W$61:$AC$61))</f>
        <v>0.50600000000000001</v>
      </c>
      <c r="G16" s="64">
        <f t="shared" si="1"/>
        <v>-0.68121860969467152</v>
      </c>
      <c r="H16" s="64">
        <f t="shared" si="2"/>
        <v>-0.68121860969467152</v>
      </c>
    </row>
    <row r="17" spans="1:8">
      <c r="A17" s="65" t="str">
        <f t="shared" si="0"/>
        <v>NES21</v>
      </c>
      <c r="B17" s="65" t="s">
        <v>9</v>
      </c>
      <c r="C17" s="63" t="s">
        <v>124</v>
      </c>
      <c r="D17" s="65">
        <v>2021</v>
      </c>
      <c r="E17" s="22">
        <f>INDEX(Data!$L$8:$L$252,MATCH($A17,Data!$A$8:$A$252,0))</f>
        <v>18.954000000000001</v>
      </c>
      <c r="F17" s="22">
        <f>INDEX('Forecast drivers'!$W$61:$AC$82,MATCH('Selected forecast drivers'!B17,'Forecast drivers'!$A$61:$A$82,0),MATCH('Selected forecast drivers'!C17,'Forecast drivers'!$W$61:$AC$61))</f>
        <v>18.954000000000001</v>
      </c>
      <c r="G17" s="64">
        <f t="shared" si="1"/>
        <v>2.9420149910480031</v>
      </c>
      <c r="H17" s="64">
        <f t="shared" si="2"/>
        <v>2.9420149910480031</v>
      </c>
    </row>
    <row r="18" spans="1:8">
      <c r="A18" s="65" t="str">
        <f t="shared" si="0"/>
        <v>NES22</v>
      </c>
      <c r="B18" s="65" t="s">
        <v>9</v>
      </c>
      <c r="C18" s="63" t="s">
        <v>125</v>
      </c>
      <c r="D18" s="65">
        <v>2022</v>
      </c>
      <c r="E18" s="22">
        <f>INDEX(Data!$L$8:$L$252,MATCH($A18,Data!$A$8:$A$252,0))</f>
        <v>18.742000000000001</v>
      </c>
      <c r="F18" s="22">
        <f>INDEX('Forecast drivers'!$W$61:$AC$82,MATCH('Selected forecast drivers'!B18,'Forecast drivers'!$A$61:$A$82,0),MATCH('Selected forecast drivers'!C18,'Forecast drivers'!$W$61:$AC$61))</f>
        <v>18.742000000000001</v>
      </c>
      <c r="G18" s="64">
        <f t="shared" si="1"/>
        <v>2.9307669947016319</v>
      </c>
      <c r="H18" s="64">
        <f t="shared" si="2"/>
        <v>2.9307669947016319</v>
      </c>
    </row>
    <row r="19" spans="1:8">
      <c r="A19" s="65" t="str">
        <f t="shared" si="0"/>
        <v>NES23</v>
      </c>
      <c r="B19" s="65" t="s">
        <v>9</v>
      </c>
      <c r="C19" s="65" t="s">
        <v>126</v>
      </c>
      <c r="D19" s="65">
        <v>2023</v>
      </c>
      <c r="E19" s="22">
        <f>INDEX(Data!$L$8:$L$252,MATCH($A19,Data!$A$8:$A$252,0))</f>
        <v>18.196999999999999</v>
      </c>
      <c r="F19" s="22">
        <f>INDEX('Forecast drivers'!$W$61:$AC$82,MATCH('Selected forecast drivers'!B19,'Forecast drivers'!$A$61:$A$82,0),MATCH('Selected forecast drivers'!C19,'Forecast drivers'!$W$61:$AC$61))</f>
        <v>18.196999999999999</v>
      </c>
      <c r="G19" s="64">
        <f t="shared" si="1"/>
        <v>2.9012567453311058</v>
      </c>
      <c r="H19" s="64">
        <f t="shared" si="2"/>
        <v>2.9012567453311058</v>
      </c>
    </row>
    <row r="20" spans="1:8">
      <c r="A20" s="65" t="str">
        <f t="shared" si="0"/>
        <v>NES24</v>
      </c>
      <c r="B20" s="65" t="s">
        <v>9</v>
      </c>
      <c r="C20" s="65" t="s">
        <v>127</v>
      </c>
      <c r="D20" s="65">
        <v>2024</v>
      </c>
      <c r="E20" s="22">
        <f>INDEX(Data!$L$8:$L$252,MATCH($A20,Data!$A$8:$A$252,0))</f>
        <v>17.559999999999999</v>
      </c>
      <c r="F20" s="22">
        <f>INDEX('Forecast drivers'!$W$61:$AC$82,MATCH('Selected forecast drivers'!B20,'Forecast drivers'!$A$61:$A$82,0),MATCH('Selected forecast drivers'!C20,'Forecast drivers'!$W$61:$AC$61))</f>
        <v>17.559999999999999</v>
      </c>
      <c r="G20" s="64">
        <f t="shared" si="1"/>
        <v>2.8656235882069705</v>
      </c>
      <c r="H20" s="64">
        <f t="shared" si="2"/>
        <v>2.8656235882069705</v>
      </c>
    </row>
    <row r="21" spans="1:8">
      <c r="A21" s="65" t="str">
        <f t="shared" si="0"/>
        <v>NES25</v>
      </c>
      <c r="B21" s="65" t="s">
        <v>9</v>
      </c>
      <c r="C21" s="65" t="s">
        <v>128</v>
      </c>
      <c r="D21" s="65">
        <v>2025</v>
      </c>
      <c r="E21" s="22">
        <f>INDEX(Data!$L$8:$L$252,MATCH($A21,Data!$A$8:$A$252,0))</f>
        <v>17.727999999999998</v>
      </c>
      <c r="F21" s="22">
        <f>INDEX('Forecast drivers'!$W$61:$AC$82,MATCH('Selected forecast drivers'!B21,'Forecast drivers'!$A$61:$A$82,0),MATCH('Selected forecast drivers'!C21,'Forecast drivers'!$W$61:$AC$61))</f>
        <v>17.727999999999998</v>
      </c>
      <c r="G21" s="64">
        <f t="shared" si="1"/>
        <v>2.8751453105648732</v>
      </c>
      <c r="H21" s="64">
        <f t="shared" si="2"/>
        <v>2.8751453105648732</v>
      </c>
    </row>
    <row r="22" spans="1:8">
      <c r="A22" s="65" t="str">
        <f t="shared" si="0"/>
        <v>NWT21</v>
      </c>
      <c r="B22" s="65" t="s">
        <v>10</v>
      </c>
      <c r="C22" s="63" t="s">
        <v>124</v>
      </c>
      <c r="D22" s="65">
        <v>2021</v>
      </c>
      <c r="E22" s="22">
        <f>INDEX(Data!$L$8:$L$252,MATCH($A22,Data!$A$8:$A$252,0))</f>
        <v>25.544</v>
      </c>
      <c r="F22" s="22">
        <f>INDEX('Forecast drivers'!$W$61:$AC$82,MATCH('Selected forecast drivers'!B22,'Forecast drivers'!$A$61:$A$82,0),MATCH('Selected forecast drivers'!C22,'Forecast drivers'!$W$61:$AC$61))</f>
        <v>25.544</v>
      </c>
      <c r="G22" s="64">
        <f t="shared" si="1"/>
        <v>3.2404024554124811</v>
      </c>
      <c r="H22" s="64">
        <f t="shared" si="2"/>
        <v>3.2404024554124811</v>
      </c>
    </row>
    <row r="23" spans="1:8">
      <c r="A23" s="65" t="str">
        <f t="shared" si="0"/>
        <v>NWT22</v>
      </c>
      <c r="B23" s="65" t="s">
        <v>10</v>
      </c>
      <c r="C23" s="63" t="s">
        <v>125</v>
      </c>
      <c r="D23" s="65">
        <v>2022</v>
      </c>
      <c r="E23" s="22">
        <f>INDEX(Data!$L$8:$L$252,MATCH($A23,Data!$A$8:$A$252,0))</f>
        <v>26.695</v>
      </c>
      <c r="F23" s="22">
        <f>INDEX('Forecast drivers'!$W$61:$AC$82,MATCH('Selected forecast drivers'!B23,'Forecast drivers'!$A$61:$A$82,0),MATCH('Selected forecast drivers'!C23,'Forecast drivers'!$W$61:$AC$61))</f>
        <v>26.695</v>
      </c>
      <c r="G23" s="64">
        <f t="shared" si="1"/>
        <v>3.2844762819521494</v>
      </c>
      <c r="H23" s="64">
        <f t="shared" si="2"/>
        <v>3.2844762819521494</v>
      </c>
    </row>
    <row r="24" spans="1:8">
      <c r="A24" s="65" t="str">
        <f t="shared" si="0"/>
        <v>NWT23</v>
      </c>
      <c r="B24" s="65" t="s">
        <v>10</v>
      </c>
      <c r="C24" s="65" t="s">
        <v>126</v>
      </c>
      <c r="D24" s="65">
        <v>2023</v>
      </c>
      <c r="E24" s="22">
        <f>INDEX(Data!$L$8:$L$252,MATCH($A24,Data!$A$8:$A$252,0))</f>
        <v>27.844999999999999</v>
      </c>
      <c r="F24" s="22">
        <f>INDEX('Forecast drivers'!$W$61:$AC$82,MATCH('Selected forecast drivers'!B24,'Forecast drivers'!$A$61:$A$82,0),MATCH('Selected forecast drivers'!C24,'Forecast drivers'!$W$61:$AC$61))</f>
        <v>27.844999999999999</v>
      </c>
      <c r="G24" s="64">
        <f t="shared" si="1"/>
        <v>3.3266534170416318</v>
      </c>
      <c r="H24" s="64">
        <f t="shared" si="2"/>
        <v>3.3266534170416318</v>
      </c>
    </row>
    <row r="25" spans="1:8">
      <c r="A25" s="65" t="str">
        <f t="shared" si="0"/>
        <v>NWT24</v>
      </c>
      <c r="B25" s="65" t="s">
        <v>10</v>
      </c>
      <c r="C25" s="65" t="s">
        <v>127</v>
      </c>
      <c r="D25" s="65">
        <v>2024</v>
      </c>
      <c r="E25" s="22">
        <f>INDEX(Data!$L$8:$L$252,MATCH($A25,Data!$A$8:$A$252,0))</f>
        <v>28.995000000000001</v>
      </c>
      <c r="F25" s="22">
        <f>INDEX('Forecast drivers'!$W$61:$AC$82,MATCH('Selected forecast drivers'!B25,'Forecast drivers'!$A$61:$A$82,0),MATCH('Selected forecast drivers'!C25,'Forecast drivers'!$W$61:$AC$61))</f>
        <v>28.995000000000001</v>
      </c>
      <c r="G25" s="64">
        <f t="shared" si="1"/>
        <v>3.3671234013284042</v>
      </c>
      <c r="H25" s="64">
        <f t="shared" si="2"/>
        <v>3.3671234013284042</v>
      </c>
    </row>
    <row r="26" spans="1:8">
      <c r="A26" s="65" t="str">
        <f t="shared" si="0"/>
        <v>NWT25</v>
      </c>
      <c r="B26" s="65" t="s">
        <v>10</v>
      </c>
      <c r="C26" s="65" t="s">
        <v>128</v>
      </c>
      <c r="D26" s="65">
        <v>2025</v>
      </c>
      <c r="E26" s="22">
        <f>INDEX(Data!$L$8:$L$252,MATCH($A26,Data!$A$8:$A$252,0))</f>
        <v>30.143999999999998</v>
      </c>
      <c r="F26" s="22">
        <f>INDEX('Forecast drivers'!$W$61:$AC$82,MATCH('Selected forecast drivers'!B26,'Forecast drivers'!$A$61:$A$82,0),MATCH('Selected forecast drivers'!C26,'Forecast drivers'!$W$61:$AC$61))</f>
        <v>30.143999999999998</v>
      </c>
      <c r="G26" s="64">
        <f t="shared" si="1"/>
        <v>3.4059858983939524</v>
      </c>
      <c r="H26" s="64">
        <f t="shared" si="2"/>
        <v>3.4059858983939524</v>
      </c>
    </row>
    <row r="27" spans="1:8">
      <c r="A27" s="65" t="str">
        <f t="shared" si="0"/>
        <v>SRN21</v>
      </c>
      <c r="B27" s="65" t="s">
        <v>11</v>
      </c>
      <c r="C27" s="63" t="s">
        <v>124</v>
      </c>
      <c r="D27" s="65">
        <v>2021</v>
      </c>
      <c r="E27" s="22">
        <f>INDEX(Data!$L$8:$L$252,MATCH($A27,Data!$A$8:$A$252,0))</f>
        <v>13.896000000000001</v>
      </c>
      <c r="F27" s="22">
        <f>INDEX('Forecast drivers'!$W$61:$AC$82,MATCH('Selected forecast drivers'!B27,'Forecast drivers'!$A$61:$A$82,0),MATCH('Selected forecast drivers'!C27,'Forecast drivers'!$W$61:$AC$61))</f>
        <v>13.896000000000001</v>
      </c>
      <c r="G27" s="64">
        <f t="shared" si="1"/>
        <v>2.6316010289388037</v>
      </c>
      <c r="H27" s="64">
        <f t="shared" si="2"/>
        <v>2.6316010289388037</v>
      </c>
    </row>
    <row r="28" spans="1:8">
      <c r="A28" s="65" t="str">
        <f t="shared" si="0"/>
        <v>SRN22</v>
      </c>
      <c r="B28" s="65" t="s">
        <v>11</v>
      </c>
      <c r="C28" s="63" t="s">
        <v>125</v>
      </c>
      <c r="D28" s="65">
        <v>2022</v>
      </c>
      <c r="E28" s="22">
        <f>INDEX(Data!$L$8:$L$252,MATCH($A28,Data!$A$8:$A$252,0))</f>
        <v>13.257000000000001</v>
      </c>
      <c r="F28" s="22">
        <f>INDEX('Forecast drivers'!$W$61:$AC$82,MATCH('Selected forecast drivers'!B28,'Forecast drivers'!$A$61:$A$82,0),MATCH('Selected forecast drivers'!C28,'Forecast drivers'!$W$61:$AC$61))</f>
        <v>13.257000000000001</v>
      </c>
      <c r="G28" s="64">
        <f t="shared" si="1"/>
        <v>2.5845257148167127</v>
      </c>
      <c r="H28" s="64">
        <f t="shared" si="2"/>
        <v>2.5845257148167127</v>
      </c>
    </row>
    <row r="29" spans="1:8">
      <c r="A29" s="65" t="str">
        <f t="shared" si="0"/>
        <v>SRN23</v>
      </c>
      <c r="B29" s="65" t="s">
        <v>11</v>
      </c>
      <c r="C29" s="65" t="s">
        <v>126</v>
      </c>
      <c r="D29" s="65">
        <v>2023</v>
      </c>
      <c r="E29" s="22">
        <f>INDEX(Data!$L$8:$L$252,MATCH($A29,Data!$A$8:$A$252,0))</f>
        <v>12.895000000000001</v>
      </c>
      <c r="F29" s="22">
        <f>INDEX('Forecast drivers'!$W$61:$AC$82,MATCH('Selected forecast drivers'!B29,'Forecast drivers'!$A$61:$A$82,0),MATCH('Selected forecast drivers'!C29,'Forecast drivers'!$W$61:$AC$61))</f>
        <v>12.895000000000001</v>
      </c>
      <c r="G29" s="64">
        <f t="shared" si="1"/>
        <v>2.5568396393333082</v>
      </c>
      <c r="H29" s="64">
        <f t="shared" si="2"/>
        <v>2.5568396393333082</v>
      </c>
    </row>
    <row r="30" spans="1:8">
      <c r="A30" s="65" t="str">
        <f t="shared" si="0"/>
        <v>SRN24</v>
      </c>
      <c r="B30" s="65" t="s">
        <v>11</v>
      </c>
      <c r="C30" s="65" t="s">
        <v>127</v>
      </c>
      <c r="D30" s="65">
        <v>2024</v>
      </c>
      <c r="E30" s="22">
        <f>INDEX(Data!$L$8:$L$252,MATCH($A30,Data!$A$8:$A$252,0))</f>
        <v>12.782999999999999</v>
      </c>
      <c r="F30" s="22">
        <f>INDEX('Forecast drivers'!$W$61:$AC$82,MATCH('Selected forecast drivers'!B30,'Forecast drivers'!$A$61:$A$82,0),MATCH('Selected forecast drivers'!C30,'Forecast drivers'!$W$61:$AC$61))</f>
        <v>12.782999999999999</v>
      </c>
      <c r="G30" s="64">
        <f t="shared" si="1"/>
        <v>2.5481161631858846</v>
      </c>
      <c r="H30" s="64">
        <f t="shared" si="2"/>
        <v>2.5481161631858846</v>
      </c>
    </row>
    <row r="31" spans="1:8">
      <c r="A31" s="65" t="str">
        <f t="shared" si="0"/>
        <v>SRN25</v>
      </c>
      <c r="B31" s="65" t="s">
        <v>11</v>
      </c>
      <c r="C31" s="65" t="s">
        <v>128</v>
      </c>
      <c r="D31" s="65">
        <v>2025</v>
      </c>
      <c r="E31" s="22">
        <f>INDEX(Data!$L$8:$L$252,MATCH($A31,Data!$A$8:$A$252,0))</f>
        <v>12.132000000000001</v>
      </c>
      <c r="F31" s="22">
        <f>INDEX('Forecast drivers'!$W$61:$AC$82,MATCH('Selected forecast drivers'!B31,'Forecast drivers'!$A$61:$A$82,0),MATCH('Selected forecast drivers'!C31,'Forecast drivers'!$W$61:$AC$61))</f>
        <v>12.132000000000001</v>
      </c>
      <c r="G31" s="64">
        <f t="shared" si="1"/>
        <v>2.4958465898263347</v>
      </c>
      <c r="H31" s="64">
        <f t="shared" si="2"/>
        <v>2.4958465898263347</v>
      </c>
    </row>
    <row r="32" spans="1:8">
      <c r="A32" s="65" t="str">
        <f t="shared" si="0"/>
        <v>SVE21</v>
      </c>
      <c r="B32" s="65" t="s">
        <v>27</v>
      </c>
      <c r="C32" s="63" t="s">
        <v>124</v>
      </c>
      <c r="D32" s="65">
        <v>2021</v>
      </c>
      <c r="E32" s="22">
        <f>INDEX(Data!$L$8:$L$252,MATCH($A32,Data!$A$8:$A$252,0))</f>
        <v>23.574568527066699</v>
      </c>
      <c r="F32" s="22">
        <f>INDEX('Forecast drivers'!$W$61:$AC$82,MATCH('Selected forecast drivers'!B32,'Forecast drivers'!$A$61:$A$82,0),MATCH('Selected forecast drivers'!C32,'Forecast drivers'!$W$61:$AC$61))</f>
        <v>23.574568527066699</v>
      </c>
      <c r="G32" s="64">
        <f t="shared" si="1"/>
        <v>3.1601685262127646</v>
      </c>
      <c r="H32" s="64">
        <f t="shared" si="2"/>
        <v>3.1601685262127646</v>
      </c>
    </row>
    <row r="33" spans="1:8">
      <c r="A33" s="65" t="str">
        <f t="shared" si="0"/>
        <v>SVE22</v>
      </c>
      <c r="B33" s="65" t="s">
        <v>27</v>
      </c>
      <c r="C33" s="63" t="s">
        <v>125</v>
      </c>
      <c r="D33" s="65">
        <v>2022</v>
      </c>
      <c r="E33" s="22">
        <f>INDEX(Data!$L$8:$L$252,MATCH($A33,Data!$A$8:$A$252,0))</f>
        <v>25.135658523489891</v>
      </c>
      <c r="F33" s="22">
        <f>INDEX('Forecast drivers'!$W$61:$AC$82,MATCH('Selected forecast drivers'!B33,'Forecast drivers'!$A$61:$A$82,0),MATCH('Selected forecast drivers'!C33,'Forecast drivers'!$W$61:$AC$61))</f>
        <v>25.135658523489891</v>
      </c>
      <c r="G33" s="64">
        <f t="shared" si="1"/>
        <v>3.2242874962638366</v>
      </c>
      <c r="H33" s="64">
        <f t="shared" si="2"/>
        <v>3.2242874962638366</v>
      </c>
    </row>
    <row r="34" spans="1:8">
      <c r="A34" s="65" t="str">
        <f t="shared" si="0"/>
        <v>SVE23</v>
      </c>
      <c r="B34" s="65" t="s">
        <v>27</v>
      </c>
      <c r="C34" s="65" t="s">
        <v>126</v>
      </c>
      <c r="D34" s="65">
        <v>2023</v>
      </c>
      <c r="E34" s="22">
        <f>INDEX(Data!$L$8:$L$252,MATCH($A34,Data!$A$8:$A$252,0))</f>
        <v>26.600626577181181</v>
      </c>
      <c r="F34" s="22">
        <f>INDEX('Forecast drivers'!$W$61:$AC$82,MATCH('Selected forecast drivers'!B34,'Forecast drivers'!$A$61:$A$82,0),MATCH('Selected forecast drivers'!C34,'Forecast drivers'!$W$61:$AC$61))</f>
        <v>26.600626577181181</v>
      </c>
      <c r="G34" s="64">
        <f t="shared" si="1"/>
        <v>3.2809347710433534</v>
      </c>
      <c r="H34" s="64">
        <f t="shared" si="2"/>
        <v>3.2809347710433534</v>
      </c>
    </row>
    <row r="35" spans="1:8">
      <c r="A35" s="65" t="str">
        <f t="shared" si="0"/>
        <v>SVE24</v>
      </c>
      <c r="B35" s="65" t="s">
        <v>27</v>
      </c>
      <c r="C35" s="65" t="s">
        <v>127</v>
      </c>
      <c r="D35" s="65">
        <v>2024</v>
      </c>
      <c r="E35" s="22">
        <f>INDEX(Data!$L$8:$L$252,MATCH($A35,Data!$A$8:$A$252,0))</f>
        <v>27.02985288590601</v>
      </c>
      <c r="F35" s="22">
        <f>INDEX('Forecast drivers'!$W$61:$AC$82,MATCH('Selected forecast drivers'!B35,'Forecast drivers'!$A$61:$A$82,0),MATCH('Selected forecast drivers'!C35,'Forecast drivers'!$W$61:$AC$61))</f>
        <v>27.02985288590601</v>
      </c>
      <c r="G35" s="64">
        <f t="shared" si="1"/>
        <v>3.2969419176507562</v>
      </c>
      <c r="H35" s="64">
        <f t="shared" si="2"/>
        <v>3.2969419176507562</v>
      </c>
    </row>
    <row r="36" spans="1:8">
      <c r="A36" s="65" t="str">
        <f t="shared" si="0"/>
        <v>SVE25</v>
      </c>
      <c r="B36" s="65" t="s">
        <v>27</v>
      </c>
      <c r="C36" s="65" t="s">
        <v>128</v>
      </c>
      <c r="D36" s="65">
        <v>2025</v>
      </c>
      <c r="E36" s="22">
        <f>INDEX(Data!$L$8:$L$252,MATCH($A36,Data!$A$8:$A$252,0))</f>
        <v>27.458042416107411</v>
      </c>
      <c r="F36" s="22">
        <f>INDEX('Forecast drivers'!$W$61:$AC$82,MATCH('Selected forecast drivers'!B36,'Forecast drivers'!$A$61:$A$82,0),MATCH('Selected forecast drivers'!C36,'Forecast drivers'!$W$61:$AC$61))</f>
        <v>27.458042416107411</v>
      </c>
      <c r="G36" s="64">
        <f t="shared" si="1"/>
        <v>3.3126591092374005</v>
      </c>
      <c r="H36" s="64">
        <f t="shared" si="2"/>
        <v>3.3126591092374005</v>
      </c>
    </row>
    <row r="37" spans="1:8">
      <c r="A37" s="65" t="str">
        <f t="shared" si="0"/>
        <v>SWB21</v>
      </c>
      <c r="B37" s="65" t="s">
        <v>14</v>
      </c>
      <c r="C37" s="63" t="s">
        <v>124</v>
      </c>
      <c r="D37" s="65">
        <v>2021</v>
      </c>
      <c r="E37" s="22">
        <f>INDEX(Data!$L$8:$L$252,MATCH($A37,Data!$A$8:$A$252,0))</f>
        <v>9.3060000000000009</v>
      </c>
      <c r="F37" s="22">
        <f>INDEX('Forecast drivers'!$W$61:$AC$82,MATCH('Selected forecast drivers'!B37,'Forecast drivers'!$A$61:$A$82,0),MATCH('Selected forecast drivers'!C37,'Forecast drivers'!$W$61:$AC$61))</f>
        <v>9.3060000000000009</v>
      </c>
      <c r="G37" s="64">
        <f t="shared" si="1"/>
        <v>2.2306593534224568</v>
      </c>
      <c r="H37" s="64">
        <f t="shared" si="2"/>
        <v>2.2306593534224568</v>
      </c>
    </row>
    <row r="38" spans="1:8">
      <c r="A38" s="65" t="str">
        <f t="shared" si="0"/>
        <v>SWB22</v>
      </c>
      <c r="B38" s="65" t="s">
        <v>14</v>
      </c>
      <c r="C38" s="63" t="s">
        <v>125</v>
      </c>
      <c r="D38" s="65">
        <v>2022</v>
      </c>
      <c r="E38" s="22">
        <f>INDEX(Data!$L$8:$L$252,MATCH($A38,Data!$A$8:$A$252,0))</f>
        <v>9.4139999999999997</v>
      </c>
      <c r="F38" s="22">
        <f>INDEX('Forecast drivers'!$W$61:$AC$82,MATCH('Selected forecast drivers'!B38,'Forecast drivers'!$A$61:$A$82,0),MATCH('Selected forecast drivers'!C38,'Forecast drivers'!$W$61:$AC$61))</f>
        <v>9.4139999999999997</v>
      </c>
      <c r="G38" s="64">
        <f t="shared" si="1"/>
        <v>2.2421979429789505</v>
      </c>
      <c r="H38" s="64">
        <f t="shared" si="2"/>
        <v>2.2421979429789505</v>
      </c>
    </row>
    <row r="39" spans="1:8">
      <c r="A39" s="65" t="str">
        <f t="shared" si="0"/>
        <v>SWB23</v>
      </c>
      <c r="B39" s="65" t="s">
        <v>14</v>
      </c>
      <c r="C39" s="65" t="s">
        <v>126</v>
      </c>
      <c r="D39" s="65">
        <v>2023</v>
      </c>
      <c r="E39" s="22">
        <f>INDEX(Data!$L$8:$L$252,MATCH($A39,Data!$A$8:$A$252,0))</f>
        <v>9.1319999999999997</v>
      </c>
      <c r="F39" s="22">
        <f>INDEX('Forecast drivers'!$W$61:$AC$82,MATCH('Selected forecast drivers'!B39,'Forecast drivers'!$A$61:$A$82,0),MATCH('Selected forecast drivers'!C39,'Forecast drivers'!$W$61:$AC$61))</f>
        <v>9.1319999999999997</v>
      </c>
      <c r="G39" s="64">
        <f t="shared" si="1"/>
        <v>2.2117847286675492</v>
      </c>
      <c r="H39" s="64">
        <f t="shared" si="2"/>
        <v>2.2117847286675492</v>
      </c>
    </row>
    <row r="40" spans="1:8">
      <c r="A40" s="65" t="str">
        <f t="shared" si="0"/>
        <v>SWB24</v>
      </c>
      <c r="B40" s="65" t="s">
        <v>14</v>
      </c>
      <c r="C40" s="65" t="s">
        <v>127</v>
      </c>
      <c r="D40" s="65">
        <v>2024</v>
      </c>
      <c r="E40" s="22">
        <f>INDEX(Data!$L$8:$L$252,MATCH($A40,Data!$A$8:$A$252,0))</f>
        <v>9.3060000000000009</v>
      </c>
      <c r="F40" s="22">
        <f>INDEX('Forecast drivers'!$W$61:$AC$82,MATCH('Selected forecast drivers'!B40,'Forecast drivers'!$A$61:$A$82,0),MATCH('Selected forecast drivers'!C40,'Forecast drivers'!$W$61:$AC$61))</f>
        <v>9.3060000000000009</v>
      </c>
      <c r="G40" s="64">
        <f t="shared" si="1"/>
        <v>2.2306593534224568</v>
      </c>
      <c r="H40" s="64">
        <f t="shared" si="2"/>
        <v>2.2306593534224568</v>
      </c>
    </row>
    <row r="41" spans="1:8">
      <c r="A41" s="65" t="str">
        <f t="shared" si="0"/>
        <v>SWB25</v>
      </c>
      <c r="B41" s="65" t="s">
        <v>14</v>
      </c>
      <c r="C41" s="65" t="s">
        <v>128</v>
      </c>
      <c r="D41" s="65">
        <v>2025</v>
      </c>
      <c r="E41" s="22">
        <f>INDEX(Data!$L$8:$L$252,MATCH($A41,Data!$A$8:$A$252,0))</f>
        <v>9.0970000000000013</v>
      </c>
      <c r="F41" s="22">
        <f>INDEX('Forecast drivers'!$W$61:$AC$82,MATCH('Selected forecast drivers'!B41,'Forecast drivers'!$A$61:$A$82,0),MATCH('Selected forecast drivers'!C41,'Forecast drivers'!$W$61:$AC$61))</f>
        <v>9.0970000000000013</v>
      </c>
      <c r="G41" s="64">
        <f t="shared" si="1"/>
        <v>2.207944688839925</v>
      </c>
      <c r="H41" s="64">
        <f t="shared" si="2"/>
        <v>2.207944688839925</v>
      </c>
    </row>
    <row r="42" spans="1:8">
      <c r="A42" s="65" t="str">
        <f t="shared" si="0"/>
        <v>TMS21</v>
      </c>
      <c r="B42" s="65" t="s">
        <v>15</v>
      </c>
      <c r="C42" s="63" t="s">
        <v>124</v>
      </c>
      <c r="D42" s="65">
        <v>2021</v>
      </c>
      <c r="E42" s="22">
        <f>INDEX(Data!$L$8:$L$252,MATCH($A42,Data!$A$8:$A$252,0))</f>
        <v>47.704000000000001</v>
      </c>
      <c r="F42" s="22">
        <f>INDEX('Forecast drivers'!$W$61:$AC$82,MATCH('Selected forecast drivers'!B42,'Forecast drivers'!$A$61:$A$82,0),MATCH('Selected forecast drivers'!C42,'Forecast drivers'!$W$61:$AC$61))</f>
        <v>47.704000000000001</v>
      </c>
      <c r="G42" s="64">
        <f t="shared" si="1"/>
        <v>3.8650152518208047</v>
      </c>
      <c r="H42" s="64">
        <f t="shared" si="2"/>
        <v>3.8650152518208047</v>
      </c>
    </row>
    <row r="43" spans="1:8">
      <c r="A43" s="65" t="str">
        <f t="shared" si="0"/>
        <v>TMS22</v>
      </c>
      <c r="B43" s="65" t="s">
        <v>15</v>
      </c>
      <c r="C43" s="63" t="s">
        <v>125</v>
      </c>
      <c r="D43" s="65">
        <v>2022</v>
      </c>
      <c r="E43" s="22">
        <f>INDEX(Data!$L$8:$L$252,MATCH($A43,Data!$A$8:$A$252,0))</f>
        <v>45.138999999999996</v>
      </c>
      <c r="F43" s="22">
        <f>INDEX('Forecast drivers'!$W$61:$AC$82,MATCH('Selected forecast drivers'!B43,'Forecast drivers'!$A$61:$A$82,0),MATCH('Selected forecast drivers'!C43,'Forecast drivers'!$W$61:$AC$61))</f>
        <v>45.138999999999996</v>
      </c>
      <c r="G43" s="64">
        <f t="shared" si="1"/>
        <v>3.8097466178431598</v>
      </c>
      <c r="H43" s="64">
        <f t="shared" si="2"/>
        <v>3.8097466178431598</v>
      </c>
    </row>
    <row r="44" spans="1:8">
      <c r="A44" s="65" t="str">
        <f t="shared" si="0"/>
        <v>TMS23</v>
      </c>
      <c r="B44" s="65" t="s">
        <v>15</v>
      </c>
      <c r="C44" s="65" t="s">
        <v>126</v>
      </c>
      <c r="D44" s="65">
        <v>2023</v>
      </c>
      <c r="E44" s="22">
        <f>INDEX(Data!$L$8:$L$252,MATCH($A44,Data!$A$8:$A$252,0))</f>
        <v>41.955999999999996</v>
      </c>
      <c r="F44" s="22">
        <f>INDEX('Forecast drivers'!$W$61:$AC$82,MATCH('Selected forecast drivers'!B44,'Forecast drivers'!$A$61:$A$82,0),MATCH('Selected forecast drivers'!C44,'Forecast drivers'!$W$61:$AC$61))</f>
        <v>41.955999999999996</v>
      </c>
      <c r="G44" s="64">
        <f t="shared" si="1"/>
        <v>3.7366214500993573</v>
      </c>
      <c r="H44" s="64">
        <f t="shared" si="2"/>
        <v>3.7366214500993573</v>
      </c>
    </row>
    <row r="45" spans="1:8">
      <c r="A45" s="65" t="str">
        <f t="shared" si="0"/>
        <v>TMS24</v>
      </c>
      <c r="B45" s="65" t="s">
        <v>15</v>
      </c>
      <c r="C45" s="65" t="s">
        <v>127</v>
      </c>
      <c r="D45" s="65">
        <v>2024</v>
      </c>
      <c r="E45" s="22">
        <f>INDEX(Data!$L$8:$L$252,MATCH($A45,Data!$A$8:$A$252,0))</f>
        <v>40.768000000000001</v>
      </c>
      <c r="F45" s="22">
        <f>INDEX('Forecast drivers'!$W$61:$AC$82,MATCH('Selected forecast drivers'!B45,'Forecast drivers'!$A$61:$A$82,0),MATCH('Selected forecast drivers'!C45,'Forecast drivers'!$W$61:$AC$61))</f>
        <v>40.768000000000001</v>
      </c>
      <c r="G45" s="64">
        <f t="shared" si="1"/>
        <v>3.7078974599496983</v>
      </c>
      <c r="H45" s="64">
        <f t="shared" si="2"/>
        <v>3.7078974599496983</v>
      </c>
    </row>
    <row r="46" spans="1:8">
      <c r="A46" s="65" t="str">
        <f t="shared" si="0"/>
        <v>TMS25</v>
      </c>
      <c r="B46" s="65" t="s">
        <v>15</v>
      </c>
      <c r="C46" s="65" t="s">
        <v>128</v>
      </c>
      <c r="D46" s="65">
        <v>2025</v>
      </c>
      <c r="E46" s="22">
        <f>INDEX(Data!$L$8:$L$252,MATCH($A46,Data!$A$8:$A$252,0))</f>
        <v>39.969000000000001</v>
      </c>
      <c r="F46" s="22">
        <f>INDEX('Forecast drivers'!$W$61:$AC$82,MATCH('Selected forecast drivers'!B46,'Forecast drivers'!$A$61:$A$82,0),MATCH('Selected forecast drivers'!C46,'Forecast drivers'!$W$61:$AC$61))</f>
        <v>39.969000000000001</v>
      </c>
      <c r="G46" s="64">
        <f t="shared" si="1"/>
        <v>3.6881041536461847</v>
      </c>
      <c r="H46" s="64">
        <f t="shared" si="2"/>
        <v>3.6881041536461847</v>
      </c>
    </row>
    <row r="47" spans="1:8">
      <c r="A47" s="65" t="str">
        <f t="shared" si="0"/>
        <v>WSH21</v>
      </c>
      <c r="B47" s="65" t="s">
        <v>16</v>
      </c>
      <c r="C47" s="63" t="s">
        <v>124</v>
      </c>
      <c r="D47" s="65">
        <v>2021</v>
      </c>
      <c r="E47" s="22">
        <f>INDEX(Data!$L$8:$L$252,MATCH($A47,Data!$A$8:$A$252,0))</f>
        <v>8.859</v>
      </c>
      <c r="F47" s="22">
        <f>INDEX('Forecast drivers'!$W$61:$AC$82,MATCH('Selected forecast drivers'!B47,'Forecast drivers'!$A$61:$A$82,0),MATCH('Selected forecast drivers'!C47,'Forecast drivers'!$W$61:$AC$61))</f>
        <v>8.859</v>
      </c>
      <c r="G47" s="64">
        <f t="shared" si="1"/>
        <v>2.1814338914298954</v>
      </c>
      <c r="H47" s="64">
        <f t="shared" si="2"/>
        <v>2.1814338914298954</v>
      </c>
    </row>
    <row r="48" spans="1:8">
      <c r="A48" s="65" t="str">
        <f t="shared" si="0"/>
        <v>WSH22</v>
      </c>
      <c r="B48" s="65" t="s">
        <v>16</v>
      </c>
      <c r="C48" s="63" t="s">
        <v>125</v>
      </c>
      <c r="D48" s="65">
        <v>2022</v>
      </c>
      <c r="E48" s="22">
        <f>INDEX(Data!$L$8:$L$252,MATCH($A48,Data!$A$8:$A$252,0))</f>
        <v>9</v>
      </c>
      <c r="F48" s="22">
        <f>INDEX('Forecast drivers'!$W$61:$AC$82,MATCH('Selected forecast drivers'!B48,'Forecast drivers'!$A$61:$A$82,0),MATCH('Selected forecast drivers'!C48,'Forecast drivers'!$W$61:$AC$61))</f>
        <v>9</v>
      </c>
      <c r="G48" s="64">
        <f t="shared" si="1"/>
        <v>2.1972245773362196</v>
      </c>
      <c r="H48" s="64">
        <f t="shared" si="2"/>
        <v>2.1972245773362196</v>
      </c>
    </row>
    <row r="49" spans="1:8">
      <c r="A49" s="65" t="str">
        <f t="shared" si="0"/>
        <v>WSH23</v>
      </c>
      <c r="B49" s="65" t="s">
        <v>16</v>
      </c>
      <c r="C49" s="65" t="s">
        <v>126</v>
      </c>
      <c r="D49" s="65">
        <v>2023</v>
      </c>
      <c r="E49" s="22">
        <f>INDEX(Data!$L$8:$L$252,MATCH($A49,Data!$A$8:$A$252,0))</f>
        <v>9.1390000000000011</v>
      </c>
      <c r="F49" s="22">
        <f>INDEX('Forecast drivers'!$W$61:$AC$82,MATCH('Selected forecast drivers'!B49,'Forecast drivers'!$A$61:$A$82,0),MATCH('Selected forecast drivers'!C49,'Forecast drivers'!$W$61:$AC$61))</f>
        <v>9.1390000000000011</v>
      </c>
      <c r="G49" s="64">
        <f t="shared" si="1"/>
        <v>2.2125509702900645</v>
      </c>
      <c r="H49" s="64">
        <f t="shared" si="2"/>
        <v>2.2125509702900645</v>
      </c>
    </row>
    <row r="50" spans="1:8">
      <c r="A50" s="65" t="str">
        <f t="shared" si="0"/>
        <v>WSH24</v>
      </c>
      <c r="B50" s="65" t="s">
        <v>16</v>
      </c>
      <c r="C50" s="65" t="s">
        <v>127</v>
      </c>
      <c r="D50" s="65">
        <v>2024</v>
      </c>
      <c r="E50" s="22">
        <f>INDEX(Data!$L$8:$L$252,MATCH($A50,Data!$A$8:$A$252,0))</f>
        <v>9.1719999999999988</v>
      </c>
      <c r="F50" s="22">
        <f>INDEX('Forecast drivers'!$W$61:$AC$82,MATCH('Selected forecast drivers'!B50,'Forecast drivers'!$A$61:$A$82,0),MATCH('Selected forecast drivers'!C50,'Forecast drivers'!$W$61:$AC$61))</f>
        <v>9.1719999999999988</v>
      </c>
      <c r="G50" s="64">
        <f t="shared" si="1"/>
        <v>2.2161553649956578</v>
      </c>
      <c r="H50" s="64">
        <f t="shared" si="2"/>
        <v>2.2161553649956578</v>
      </c>
    </row>
    <row r="51" spans="1:8">
      <c r="A51" s="65" t="str">
        <f t="shared" si="0"/>
        <v>WSH25</v>
      </c>
      <c r="B51" s="65" t="s">
        <v>16</v>
      </c>
      <c r="C51" s="65" t="s">
        <v>128</v>
      </c>
      <c r="D51" s="65">
        <v>2025</v>
      </c>
      <c r="E51" s="22">
        <f>INDEX(Data!$L$8:$L$252,MATCH($A51,Data!$A$8:$A$252,0))</f>
        <v>9.2030000000000012</v>
      </c>
      <c r="F51" s="22">
        <f>INDEX('Forecast drivers'!$W$61:$AC$82,MATCH('Selected forecast drivers'!B51,'Forecast drivers'!$A$61:$A$82,0),MATCH('Selected forecast drivers'!C51,'Forecast drivers'!$W$61:$AC$61))</f>
        <v>9.2030000000000012</v>
      </c>
      <c r="G51" s="64">
        <f t="shared" si="1"/>
        <v>2.2195295178567198</v>
      </c>
      <c r="H51" s="64">
        <f t="shared" si="2"/>
        <v>2.2195295178567198</v>
      </c>
    </row>
    <row r="52" spans="1:8">
      <c r="A52" s="65" t="str">
        <f t="shared" si="0"/>
        <v>WSX21</v>
      </c>
      <c r="B52" s="65" t="s">
        <v>17</v>
      </c>
      <c r="C52" s="63" t="s">
        <v>124</v>
      </c>
      <c r="D52" s="65">
        <v>2021</v>
      </c>
      <c r="E52" s="22">
        <f>INDEX(Data!$L$8:$L$252,MATCH($A52,Data!$A$8:$A$252,0))</f>
        <v>7.3439999999999994</v>
      </c>
      <c r="F52" s="22">
        <f>INDEX('Forecast drivers'!$W$61:$AC$82,MATCH('Selected forecast drivers'!B52,'Forecast drivers'!$A$61:$A$82,0),MATCH('Selected forecast drivers'!C52,'Forecast drivers'!$W$61:$AC$61))</f>
        <v>7.3439999999999994</v>
      </c>
      <c r="G52" s="64">
        <f t="shared" si="1"/>
        <v>1.9938836533181892</v>
      </c>
      <c r="H52" s="64">
        <f t="shared" si="2"/>
        <v>1.9938836533181892</v>
      </c>
    </row>
    <row r="53" spans="1:8">
      <c r="A53" s="65" t="str">
        <f t="shared" si="0"/>
        <v>WSX22</v>
      </c>
      <c r="B53" s="65" t="s">
        <v>17</v>
      </c>
      <c r="C53" s="63" t="s">
        <v>125</v>
      </c>
      <c r="D53" s="65">
        <v>2022</v>
      </c>
      <c r="E53" s="22">
        <f>INDEX(Data!$L$8:$L$252,MATCH($A53,Data!$A$8:$A$252,0))</f>
        <v>6.8520000000000003</v>
      </c>
      <c r="F53" s="22">
        <f>INDEX('Forecast drivers'!$W$61:$AC$82,MATCH('Selected forecast drivers'!B53,'Forecast drivers'!$A$61:$A$82,0),MATCH('Selected forecast drivers'!C53,'Forecast drivers'!$W$61:$AC$61))</f>
        <v>6.8520000000000003</v>
      </c>
      <c r="G53" s="64">
        <f t="shared" si="1"/>
        <v>1.9245405804618736</v>
      </c>
      <c r="H53" s="64">
        <f t="shared" si="2"/>
        <v>1.9245405804618736</v>
      </c>
    </row>
    <row r="54" spans="1:8">
      <c r="A54" s="65" t="str">
        <f t="shared" si="0"/>
        <v>WSX23</v>
      </c>
      <c r="B54" s="65" t="s">
        <v>17</v>
      </c>
      <c r="C54" s="65" t="s">
        <v>126</v>
      </c>
      <c r="D54" s="65">
        <v>2023</v>
      </c>
      <c r="E54" s="22">
        <f>INDEX(Data!$L$8:$L$252,MATCH($A54,Data!$A$8:$A$252,0))</f>
        <v>6.5779999999999994</v>
      </c>
      <c r="F54" s="22">
        <f>INDEX('Forecast drivers'!$W$61:$AC$82,MATCH('Selected forecast drivers'!B54,'Forecast drivers'!$A$61:$A$82,0),MATCH('Selected forecast drivers'!C54,'Forecast drivers'!$W$61:$AC$61))</f>
        <v>6.5779999999999994</v>
      </c>
      <c r="G54" s="64">
        <f t="shared" si="1"/>
        <v>1.8837307477668652</v>
      </c>
      <c r="H54" s="64">
        <f t="shared" si="2"/>
        <v>1.8837307477668652</v>
      </c>
    </row>
    <row r="55" spans="1:8">
      <c r="A55" s="65" t="str">
        <f t="shared" si="0"/>
        <v>WSX24</v>
      </c>
      <c r="B55" s="65" t="s">
        <v>17</v>
      </c>
      <c r="C55" s="65" t="s">
        <v>127</v>
      </c>
      <c r="D55" s="65">
        <v>2024</v>
      </c>
      <c r="E55" s="22">
        <f>INDEX(Data!$L$8:$L$252,MATCH($A55,Data!$A$8:$A$252,0))</f>
        <v>6.4009999999999998</v>
      </c>
      <c r="F55" s="22">
        <f>INDEX('Forecast drivers'!$W$61:$AC$82,MATCH('Selected forecast drivers'!B55,'Forecast drivers'!$A$61:$A$82,0),MATCH('Selected forecast drivers'!C55,'Forecast drivers'!$W$61:$AC$61))</f>
        <v>6.4009999999999998</v>
      </c>
      <c r="G55" s="64">
        <f t="shared" si="1"/>
        <v>1.8564542281598664</v>
      </c>
      <c r="H55" s="64">
        <f t="shared" si="2"/>
        <v>1.8564542281598664</v>
      </c>
    </row>
    <row r="56" spans="1:8">
      <c r="A56" s="65" t="str">
        <f t="shared" si="0"/>
        <v>WSX25</v>
      </c>
      <c r="B56" s="65" t="s">
        <v>17</v>
      </c>
      <c r="C56" s="65" t="s">
        <v>128</v>
      </c>
      <c r="D56" s="65">
        <v>2025</v>
      </c>
      <c r="E56" s="22">
        <f>INDEX(Data!$L$8:$L$252,MATCH($A56,Data!$A$8:$A$252,0))</f>
        <v>6.1219999999999999</v>
      </c>
      <c r="F56" s="22">
        <f>INDEX('Forecast drivers'!$W$61:$AC$82,MATCH('Selected forecast drivers'!B56,'Forecast drivers'!$A$61:$A$82,0),MATCH('Selected forecast drivers'!C56,'Forecast drivers'!$W$61:$AC$61))</f>
        <v>6.1219999999999999</v>
      </c>
      <c r="G56" s="64">
        <f t="shared" si="1"/>
        <v>1.8118888405232207</v>
      </c>
      <c r="H56" s="64">
        <f t="shared" si="2"/>
        <v>1.8118888405232207</v>
      </c>
    </row>
    <row r="57" spans="1:8">
      <c r="A57" s="65" t="str">
        <f t="shared" si="0"/>
        <v>YKY21</v>
      </c>
      <c r="B57" s="65" t="s">
        <v>18</v>
      </c>
      <c r="C57" s="63" t="s">
        <v>124</v>
      </c>
      <c r="D57" s="65">
        <v>2021</v>
      </c>
      <c r="E57" s="22">
        <f>INDEX(Data!$L$8:$L$252,MATCH($A57,Data!$A$8:$A$252,0))</f>
        <v>23.645195086403302</v>
      </c>
      <c r="F57" s="22">
        <f>INDEX('Forecast drivers'!$W$61:$AC$82,MATCH('Selected forecast drivers'!B57,'Forecast drivers'!$A$61:$A$82,0),MATCH('Selected forecast drivers'!C57,'Forecast drivers'!$W$61:$AC$61))</f>
        <v>23.645195086403302</v>
      </c>
      <c r="G57" s="64">
        <f t="shared" si="1"/>
        <v>3.16315992670267</v>
      </c>
      <c r="H57" s="64">
        <f t="shared" si="2"/>
        <v>3.16315992670267</v>
      </c>
    </row>
    <row r="58" spans="1:8">
      <c r="A58" s="65" t="str">
        <f t="shared" si="0"/>
        <v>YKY22</v>
      </c>
      <c r="B58" s="65" t="s">
        <v>18</v>
      </c>
      <c r="C58" s="63" t="s">
        <v>125</v>
      </c>
      <c r="D58" s="65">
        <v>2022</v>
      </c>
      <c r="E58" s="22">
        <f>INDEX(Data!$L$8:$L$252,MATCH($A58,Data!$A$8:$A$252,0))</f>
        <v>21.4659597039246</v>
      </c>
      <c r="F58" s="22">
        <f>INDEX('Forecast drivers'!$W$61:$AC$82,MATCH('Selected forecast drivers'!B58,'Forecast drivers'!$A$61:$A$82,0),MATCH('Selected forecast drivers'!C58,'Forecast drivers'!$W$61:$AC$61))</f>
        <v>21.4659597039246</v>
      </c>
      <c r="G58" s="64">
        <f t="shared" si="1"/>
        <v>3.0664684108529028</v>
      </c>
      <c r="H58" s="64">
        <f t="shared" si="2"/>
        <v>3.0664684108529028</v>
      </c>
    </row>
    <row r="59" spans="1:8">
      <c r="A59" s="65" t="str">
        <f t="shared" si="0"/>
        <v>YKY23</v>
      </c>
      <c r="B59" s="65" t="s">
        <v>18</v>
      </c>
      <c r="C59" s="65" t="s">
        <v>126</v>
      </c>
      <c r="D59" s="65">
        <v>2023</v>
      </c>
      <c r="E59" s="22">
        <f>INDEX(Data!$L$8:$L$252,MATCH($A59,Data!$A$8:$A$252,0))</f>
        <v>21.566554319512701</v>
      </c>
      <c r="F59" s="22">
        <f>INDEX('Forecast drivers'!$W$61:$AC$82,MATCH('Selected forecast drivers'!B59,'Forecast drivers'!$A$61:$A$82,0),MATCH('Selected forecast drivers'!C59,'Forecast drivers'!$W$61:$AC$61))</f>
        <v>21.566554319512701</v>
      </c>
      <c r="G59" s="64">
        <f t="shared" si="1"/>
        <v>3.0711437035290112</v>
      </c>
      <c r="H59" s="64">
        <f t="shared" si="2"/>
        <v>3.0711437035290112</v>
      </c>
    </row>
    <row r="60" spans="1:8">
      <c r="A60" s="65" t="str">
        <f t="shared" si="0"/>
        <v>YKY24</v>
      </c>
      <c r="B60" s="65" t="s">
        <v>18</v>
      </c>
      <c r="C60" s="65" t="s">
        <v>127</v>
      </c>
      <c r="D60" s="65">
        <v>2024</v>
      </c>
      <c r="E60" s="22">
        <f>INDEX(Data!$L$8:$L$252,MATCH($A60,Data!$A$8:$A$252,0))</f>
        <v>21.530530378797401</v>
      </c>
      <c r="F60" s="22">
        <f>INDEX('Forecast drivers'!$W$61:$AC$82,MATCH('Selected forecast drivers'!B60,'Forecast drivers'!$A$61:$A$82,0),MATCH('Selected forecast drivers'!C60,'Forecast drivers'!$W$61:$AC$61))</f>
        <v>21.530530378797401</v>
      </c>
      <c r="G60" s="64">
        <f t="shared" si="1"/>
        <v>3.0694719454805321</v>
      </c>
      <c r="H60" s="64">
        <f t="shared" si="2"/>
        <v>3.0694719454805321</v>
      </c>
    </row>
    <row r="61" spans="1:8">
      <c r="A61" s="65" t="str">
        <f t="shared" si="0"/>
        <v>YKY25</v>
      </c>
      <c r="B61" s="65" t="s">
        <v>18</v>
      </c>
      <c r="C61" s="65" t="s">
        <v>128</v>
      </c>
      <c r="D61" s="65">
        <v>2025</v>
      </c>
      <c r="E61" s="22">
        <f>INDEX(Data!$L$8:$L$252,MATCH($A61,Data!$A$8:$A$252,0))</f>
        <v>21.573215025422801</v>
      </c>
      <c r="F61" s="22">
        <f>INDEX('Forecast drivers'!$W$61:$AC$82,MATCH('Selected forecast drivers'!B61,'Forecast drivers'!$A$61:$A$82,0),MATCH('Selected forecast drivers'!C61,'Forecast drivers'!$W$61:$AC$61))</f>
        <v>21.573215025422801</v>
      </c>
      <c r="G61" s="64">
        <f t="shared" si="1"/>
        <v>3.071452500078653</v>
      </c>
      <c r="H61" s="64">
        <f t="shared" si="2"/>
        <v>3.071452500078653</v>
      </c>
    </row>
    <row r="62" spans="1:8">
      <c r="A62" s="65" t="str">
        <f t="shared" si="0"/>
        <v>AFW21</v>
      </c>
      <c r="B62" s="65" t="s">
        <v>19</v>
      </c>
      <c r="C62" s="63" t="s">
        <v>124</v>
      </c>
      <c r="D62" s="65">
        <v>2021</v>
      </c>
      <c r="E62" s="22">
        <f>INDEX(Data!$L$8:$L$252,MATCH($A62,Data!$A$8:$A$252,0))</f>
        <v>15.555743671018918</v>
      </c>
      <c r="F62" s="22">
        <f>INDEX('Forecast drivers'!$W$61:$AC$82,MATCH('Selected forecast drivers'!B62,'Forecast drivers'!$A$61:$A$82,0),MATCH('Selected forecast drivers'!C62,'Forecast drivers'!$W$61:$AC$61))</f>
        <v>15.555743671018918</v>
      </c>
      <c r="G62" s="64">
        <f t="shared" si="1"/>
        <v>2.7444299383368942</v>
      </c>
      <c r="H62" s="64">
        <f t="shared" si="2"/>
        <v>2.7444299383368942</v>
      </c>
    </row>
    <row r="63" spans="1:8">
      <c r="A63" s="65" t="str">
        <f t="shared" si="0"/>
        <v>AFW22</v>
      </c>
      <c r="B63" s="65" t="s">
        <v>19</v>
      </c>
      <c r="C63" s="63" t="s">
        <v>125</v>
      </c>
      <c r="D63" s="65">
        <v>2022</v>
      </c>
      <c r="E63" s="22">
        <f>INDEX(Data!$L$8:$L$252,MATCH($A63,Data!$A$8:$A$252,0))</f>
        <v>16.431848635098376</v>
      </c>
      <c r="F63" s="22">
        <f>INDEX('Forecast drivers'!$W$61:$AC$82,MATCH('Selected forecast drivers'!B63,'Forecast drivers'!$A$61:$A$82,0),MATCH('Selected forecast drivers'!C63,'Forecast drivers'!$W$61:$AC$61))</f>
        <v>16.431848635098376</v>
      </c>
      <c r="G63" s="64">
        <f t="shared" si="1"/>
        <v>2.7992214415504439</v>
      </c>
      <c r="H63" s="64">
        <f t="shared" si="2"/>
        <v>2.7992214415504439</v>
      </c>
    </row>
    <row r="64" spans="1:8">
      <c r="A64" s="65" t="str">
        <f t="shared" si="0"/>
        <v>AFW23</v>
      </c>
      <c r="B64" s="65" t="s">
        <v>19</v>
      </c>
      <c r="C64" s="65" t="s">
        <v>126</v>
      </c>
      <c r="D64" s="65">
        <v>2023</v>
      </c>
      <c r="E64" s="22">
        <f>INDEX(Data!$L$8:$L$252,MATCH($A64,Data!$A$8:$A$252,0))</f>
        <v>16.441070993276369</v>
      </c>
      <c r="F64" s="22">
        <f>INDEX('Forecast drivers'!$W$61:$AC$82,MATCH('Selected forecast drivers'!B64,'Forecast drivers'!$A$61:$A$82,0),MATCH('Selected forecast drivers'!C64,'Forecast drivers'!$W$61:$AC$61))</f>
        <v>16.441070993276369</v>
      </c>
      <c r="G64" s="64">
        <f t="shared" si="1"/>
        <v>2.7997825330825745</v>
      </c>
      <c r="H64" s="64">
        <f t="shared" si="2"/>
        <v>2.7997825330825745</v>
      </c>
    </row>
    <row r="65" spans="1:8">
      <c r="A65" s="65" t="str">
        <f t="shared" si="0"/>
        <v>AFW24</v>
      </c>
      <c r="B65" s="65" t="s">
        <v>19</v>
      </c>
      <c r="C65" s="65" t="s">
        <v>127</v>
      </c>
      <c r="D65" s="65">
        <v>2024</v>
      </c>
      <c r="E65" s="22">
        <f>INDEX(Data!$L$8:$L$252,MATCH($A65,Data!$A$8:$A$252,0))</f>
        <v>16.449899734827998</v>
      </c>
      <c r="F65" s="22">
        <f>INDEX('Forecast drivers'!$W$61:$AC$82,MATCH('Selected forecast drivers'!B65,'Forecast drivers'!$A$61:$A$82,0),MATCH('Selected forecast drivers'!C65,'Forecast drivers'!$W$61:$AC$61))</f>
        <v>16.449899734827998</v>
      </c>
      <c r="G65" s="64">
        <f t="shared" si="1"/>
        <v>2.8003193820455712</v>
      </c>
      <c r="H65" s="64">
        <f t="shared" si="2"/>
        <v>2.8003193820455712</v>
      </c>
    </row>
    <row r="66" spans="1:8">
      <c r="A66" s="65" t="str">
        <f t="shared" si="0"/>
        <v>AFW25</v>
      </c>
      <c r="B66" s="65" t="s">
        <v>19</v>
      </c>
      <c r="C66" s="65" t="s">
        <v>128</v>
      </c>
      <c r="D66" s="65">
        <v>2025</v>
      </c>
      <c r="E66" s="22">
        <f>INDEX(Data!$L$8:$L$252,MATCH($A66,Data!$A$8:$A$252,0))</f>
        <v>16.458368117495823</v>
      </c>
      <c r="F66" s="22">
        <f>INDEX('Forecast drivers'!$W$61:$AC$82,MATCH('Selected forecast drivers'!B66,'Forecast drivers'!$A$61:$A$82,0),MATCH('Selected forecast drivers'!C66,'Forecast drivers'!$W$61:$AC$61))</f>
        <v>16.458368117495823</v>
      </c>
      <c r="G66" s="64">
        <f t="shared" si="1"/>
        <v>2.8008340480190435</v>
      </c>
      <c r="H66" s="64">
        <f t="shared" si="2"/>
        <v>2.8008340480190435</v>
      </c>
    </row>
    <row r="67" spans="1:8">
      <c r="A67" s="65" t="str">
        <f t="shared" si="0"/>
        <v>BRL21</v>
      </c>
      <c r="B67" s="65" t="s">
        <v>20</v>
      </c>
      <c r="C67" s="63" t="s">
        <v>124</v>
      </c>
      <c r="D67" s="65">
        <v>2021</v>
      </c>
      <c r="E67" s="22">
        <f>INDEX(Data!$L$8:$L$252,MATCH($A67,Data!$A$8:$A$252,0))</f>
        <v>6.6499999999999995</v>
      </c>
      <c r="F67" s="22">
        <f>INDEX('Forecast drivers'!$W$61:$AC$82,MATCH('Selected forecast drivers'!B67,'Forecast drivers'!$A$61:$A$82,0),MATCH('Selected forecast drivers'!C67,'Forecast drivers'!$W$61:$AC$61))</f>
        <v>6.6499999999999995</v>
      </c>
      <c r="G67" s="64">
        <f t="shared" si="1"/>
        <v>1.8946168546677626</v>
      </c>
      <c r="H67" s="64">
        <f t="shared" si="2"/>
        <v>1.8946168546677626</v>
      </c>
    </row>
    <row r="68" spans="1:8">
      <c r="A68" s="65" t="str">
        <f t="shared" si="0"/>
        <v>BRL22</v>
      </c>
      <c r="B68" s="65" t="s">
        <v>20</v>
      </c>
      <c r="C68" s="63" t="s">
        <v>125</v>
      </c>
      <c r="D68" s="65">
        <v>2022</v>
      </c>
      <c r="E68" s="22">
        <f>INDEX(Data!$L$8:$L$252,MATCH($A68,Data!$A$8:$A$252,0))</f>
        <v>5.76</v>
      </c>
      <c r="F68" s="22">
        <f>INDEX('Forecast drivers'!$W$61:$AC$82,MATCH('Selected forecast drivers'!B68,'Forecast drivers'!$A$61:$A$82,0),MATCH('Selected forecast drivers'!C68,'Forecast drivers'!$W$61:$AC$61))</f>
        <v>5.76</v>
      </c>
      <c r="G68" s="64">
        <f t="shared" si="1"/>
        <v>1.7509374747077999</v>
      </c>
      <c r="H68" s="64">
        <f t="shared" si="2"/>
        <v>1.7509374747077999</v>
      </c>
    </row>
    <row r="69" spans="1:8">
      <c r="A69" s="65" t="str">
        <f t="shared" si="0"/>
        <v>BRL23</v>
      </c>
      <c r="B69" s="65" t="s">
        <v>20</v>
      </c>
      <c r="C69" s="65" t="s">
        <v>126</v>
      </c>
      <c r="D69" s="65">
        <v>2023</v>
      </c>
      <c r="E69" s="22">
        <f>INDEX(Data!$L$8:$L$252,MATCH($A69,Data!$A$8:$A$252,0))</f>
        <v>5.6909999999999998</v>
      </c>
      <c r="F69" s="22">
        <f>INDEX('Forecast drivers'!$W$61:$AC$82,MATCH('Selected forecast drivers'!B69,'Forecast drivers'!$A$61:$A$82,0),MATCH('Selected forecast drivers'!C69,'Forecast drivers'!$W$61:$AC$61))</f>
        <v>5.6909999999999998</v>
      </c>
      <c r="G69" s="64">
        <f t="shared" si="1"/>
        <v>1.7388859796209868</v>
      </c>
      <c r="H69" s="64">
        <f t="shared" si="2"/>
        <v>1.7388859796209868</v>
      </c>
    </row>
    <row r="70" spans="1:8">
      <c r="A70" s="65" t="str">
        <f t="shared" si="0"/>
        <v>BRL24</v>
      </c>
      <c r="B70" s="65" t="s">
        <v>20</v>
      </c>
      <c r="C70" s="65" t="s">
        <v>127</v>
      </c>
      <c r="D70" s="65">
        <v>2024</v>
      </c>
      <c r="E70" s="22">
        <f>INDEX(Data!$L$8:$L$252,MATCH($A70,Data!$A$8:$A$252,0))</f>
        <v>5.5779999999999994</v>
      </c>
      <c r="F70" s="22">
        <f>INDEX('Forecast drivers'!$W$61:$AC$82,MATCH('Selected forecast drivers'!B70,'Forecast drivers'!$A$61:$A$82,0),MATCH('Selected forecast drivers'!C70,'Forecast drivers'!$W$61:$AC$61))</f>
        <v>5.5779999999999994</v>
      </c>
      <c r="G70" s="64">
        <f t="shared" si="1"/>
        <v>1.7188302892052971</v>
      </c>
      <c r="H70" s="64">
        <f t="shared" si="2"/>
        <v>1.7188302892052971</v>
      </c>
    </row>
    <row r="71" spans="1:8">
      <c r="A71" s="65" t="str">
        <f t="shared" si="0"/>
        <v>BRL25</v>
      </c>
      <c r="B71" s="65" t="s">
        <v>20</v>
      </c>
      <c r="C71" s="65" t="s">
        <v>128</v>
      </c>
      <c r="D71" s="65">
        <v>2025</v>
      </c>
      <c r="E71" s="22">
        <f>INDEX(Data!$L$8:$L$252,MATCH($A71,Data!$A$8:$A$252,0))</f>
        <v>5.46</v>
      </c>
      <c r="F71" s="22">
        <f>INDEX('Forecast drivers'!$W$61:$AC$82,MATCH('Selected forecast drivers'!B71,'Forecast drivers'!$A$61:$A$82,0),MATCH('Selected forecast drivers'!C71,'Forecast drivers'!$W$61:$AC$61))</f>
        <v>5.46</v>
      </c>
      <c r="G71" s="64">
        <f t="shared" si="1"/>
        <v>1.6974487897568136</v>
      </c>
      <c r="H71" s="64">
        <f t="shared" si="2"/>
        <v>1.6974487897568136</v>
      </c>
    </row>
    <row r="72" spans="1:8">
      <c r="A72" s="65" t="str">
        <f t="shared" ref="A72:A91" si="3">B72&amp;RIGHT(D72,2)</f>
        <v>PRT21</v>
      </c>
      <c r="B72" s="65" t="s">
        <v>23</v>
      </c>
      <c r="C72" s="63" t="s">
        <v>124</v>
      </c>
      <c r="D72" s="65">
        <v>2021</v>
      </c>
      <c r="E72" s="22">
        <f>INDEX(Data!$L$8:$L$252,MATCH($A72,Data!$A$8:$A$252,0))</f>
        <v>1.9159999999999999</v>
      </c>
      <c r="F72" s="22">
        <f>INDEX('Forecast drivers'!$W$61:$AC$82,MATCH('Selected forecast drivers'!B72,'Forecast drivers'!$A$61:$A$82,0),MATCH('Selected forecast drivers'!C72,'Forecast drivers'!$W$61:$AC$61))</f>
        <v>1.9159999999999999</v>
      </c>
      <c r="G72" s="64">
        <f t="shared" ref="G72:G91" si="4">LN(E72)</f>
        <v>0.65023967954866879</v>
      </c>
      <c r="H72" s="64">
        <f t="shared" ref="H72:H91" si="5">LN(F72)</f>
        <v>0.65023967954866879</v>
      </c>
    </row>
    <row r="73" spans="1:8">
      <c r="A73" s="65" t="str">
        <f t="shared" si="3"/>
        <v>PRT22</v>
      </c>
      <c r="B73" s="65" t="s">
        <v>23</v>
      </c>
      <c r="C73" s="63" t="s">
        <v>125</v>
      </c>
      <c r="D73" s="65">
        <v>2022</v>
      </c>
      <c r="E73" s="22">
        <f>INDEX(Data!$L$8:$L$252,MATCH($A73,Data!$A$8:$A$252,0))</f>
        <v>1.8840000000000001</v>
      </c>
      <c r="F73" s="22">
        <f>INDEX('Forecast drivers'!$W$61:$AC$82,MATCH('Selected forecast drivers'!B73,'Forecast drivers'!$A$61:$A$82,0),MATCH('Selected forecast drivers'!C73,'Forecast drivers'!$W$61:$AC$61))</f>
        <v>1.8840000000000001</v>
      </c>
      <c r="G73" s="64">
        <f t="shared" si="4"/>
        <v>0.63339717615417135</v>
      </c>
      <c r="H73" s="64">
        <f t="shared" si="5"/>
        <v>0.63339717615417135</v>
      </c>
    </row>
    <row r="74" spans="1:8">
      <c r="A74" s="65" t="str">
        <f t="shared" si="3"/>
        <v>PRT23</v>
      </c>
      <c r="B74" s="65" t="s">
        <v>23</v>
      </c>
      <c r="C74" s="65" t="s">
        <v>126</v>
      </c>
      <c r="D74" s="65">
        <v>2023</v>
      </c>
      <c r="E74" s="22">
        <f>INDEX(Data!$L$8:$L$252,MATCH($A74,Data!$A$8:$A$252,0))</f>
        <v>1.897</v>
      </c>
      <c r="F74" s="22">
        <f>INDEX('Forecast drivers'!$W$61:$AC$82,MATCH('Selected forecast drivers'!B74,'Forecast drivers'!$A$61:$A$82,0),MATCH('Selected forecast drivers'!C74,'Forecast drivers'!$W$61:$AC$61))</f>
        <v>1.897</v>
      </c>
      <c r="G74" s="64">
        <f t="shared" si="4"/>
        <v>0.64027369095287712</v>
      </c>
      <c r="H74" s="64">
        <f t="shared" si="5"/>
        <v>0.64027369095287712</v>
      </c>
    </row>
    <row r="75" spans="1:8">
      <c r="A75" s="65" t="str">
        <f t="shared" si="3"/>
        <v>PRT24</v>
      </c>
      <c r="B75" s="65" t="s">
        <v>23</v>
      </c>
      <c r="C75" s="65" t="s">
        <v>127</v>
      </c>
      <c r="D75" s="65">
        <v>2024</v>
      </c>
      <c r="E75" s="22">
        <f>INDEX(Data!$L$8:$L$252,MATCH($A75,Data!$A$8:$A$252,0))</f>
        <v>1.9339999999999999</v>
      </c>
      <c r="F75" s="22">
        <f>INDEX('Forecast drivers'!$W$61:$AC$82,MATCH('Selected forecast drivers'!B75,'Forecast drivers'!$A$61:$A$82,0),MATCH('Selected forecast drivers'!C75,'Forecast drivers'!$W$61:$AC$61))</f>
        <v>1.9339999999999999</v>
      </c>
      <c r="G75" s="64">
        <f t="shared" si="4"/>
        <v>0.65959039703110256</v>
      </c>
      <c r="H75" s="64">
        <f t="shared" si="5"/>
        <v>0.65959039703110256</v>
      </c>
    </row>
    <row r="76" spans="1:8">
      <c r="A76" s="65" t="str">
        <f t="shared" si="3"/>
        <v>PRT25</v>
      </c>
      <c r="B76" s="65" t="s">
        <v>23</v>
      </c>
      <c r="C76" s="65" t="s">
        <v>128</v>
      </c>
      <c r="D76" s="65">
        <v>2025</v>
      </c>
      <c r="E76" s="22">
        <f>INDEX(Data!$L$8:$L$252,MATCH($A76,Data!$A$8:$A$252,0))</f>
        <v>1.998</v>
      </c>
      <c r="F76" s="22">
        <f>INDEX('Forecast drivers'!$W$61:$AC$82,MATCH('Selected forecast drivers'!B76,'Forecast drivers'!$A$61:$A$82,0),MATCH('Selected forecast drivers'!C76,'Forecast drivers'!$W$61:$AC$61))</f>
        <v>1.998</v>
      </c>
      <c r="G76" s="64">
        <f t="shared" si="4"/>
        <v>0.69214668022636172</v>
      </c>
      <c r="H76" s="64">
        <f t="shared" si="5"/>
        <v>0.69214668022636172</v>
      </c>
    </row>
    <row r="77" spans="1:8">
      <c r="A77" s="65" t="str">
        <f t="shared" si="3"/>
        <v>SES21</v>
      </c>
      <c r="B77" s="65" t="s">
        <v>24</v>
      </c>
      <c r="C77" s="63" t="s">
        <v>124</v>
      </c>
      <c r="D77" s="65">
        <v>2021</v>
      </c>
      <c r="E77" s="22">
        <f>INDEX(Data!$L$8:$L$252,MATCH($A77,Data!$A$8:$A$252,0))</f>
        <v>2.407</v>
      </c>
      <c r="F77" s="22">
        <f>INDEX('Forecast drivers'!$W$61:$AC$82,MATCH('Selected forecast drivers'!B77,'Forecast drivers'!$A$61:$A$82,0),MATCH('Selected forecast drivers'!C77,'Forecast drivers'!$W$61:$AC$61))</f>
        <v>2.407</v>
      </c>
      <c r="G77" s="64">
        <f t="shared" si="4"/>
        <v>0.87838115880093492</v>
      </c>
      <c r="H77" s="64">
        <f t="shared" si="5"/>
        <v>0.87838115880093492</v>
      </c>
    </row>
    <row r="78" spans="1:8">
      <c r="A78" s="65" t="str">
        <f t="shared" si="3"/>
        <v>SES22</v>
      </c>
      <c r="B78" s="65" t="s">
        <v>24</v>
      </c>
      <c r="C78" s="63" t="s">
        <v>125</v>
      </c>
      <c r="D78" s="65">
        <v>2022</v>
      </c>
      <c r="E78" s="22">
        <f>INDEX(Data!$L$8:$L$252,MATCH($A78,Data!$A$8:$A$252,0))</f>
        <v>2.4489999999999998</v>
      </c>
      <c r="F78" s="22">
        <f>INDEX('Forecast drivers'!$W$61:$AC$82,MATCH('Selected forecast drivers'!B78,'Forecast drivers'!$A$61:$A$82,0),MATCH('Selected forecast drivers'!C78,'Forecast drivers'!$W$61:$AC$61))</f>
        <v>2.4489999999999998</v>
      </c>
      <c r="G78" s="64">
        <f t="shared" si="4"/>
        <v>0.89567977797003062</v>
      </c>
      <c r="H78" s="64">
        <f t="shared" si="5"/>
        <v>0.89567977797003062</v>
      </c>
    </row>
    <row r="79" spans="1:8">
      <c r="A79" s="65" t="str">
        <f t="shared" si="3"/>
        <v>SES23</v>
      </c>
      <c r="B79" s="65" t="s">
        <v>24</v>
      </c>
      <c r="C79" s="65" t="s">
        <v>126</v>
      </c>
      <c r="D79" s="65">
        <v>2023</v>
      </c>
      <c r="E79" s="22">
        <f>INDEX(Data!$L$8:$L$252,MATCH($A79,Data!$A$8:$A$252,0))</f>
        <v>2.5409999999999999</v>
      </c>
      <c r="F79" s="22">
        <f>INDEX('Forecast drivers'!$W$61:$AC$82,MATCH('Selected forecast drivers'!B79,'Forecast drivers'!$A$61:$A$82,0),MATCH('Selected forecast drivers'!C79,'Forecast drivers'!$W$61:$AC$61))</f>
        <v>2.5409999999999999</v>
      </c>
      <c r="G79" s="64">
        <f t="shared" si="4"/>
        <v>0.93255770433802698</v>
      </c>
      <c r="H79" s="64">
        <f t="shared" si="5"/>
        <v>0.93255770433802698</v>
      </c>
    </row>
    <row r="80" spans="1:8">
      <c r="A80" s="65" t="str">
        <f t="shared" si="3"/>
        <v>SES24</v>
      </c>
      <c r="B80" s="65" t="s">
        <v>24</v>
      </c>
      <c r="C80" s="65" t="s">
        <v>127</v>
      </c>
      <c r="D80" s="65">
        <v>2024</v>
      </c>
      <c r="E80" s="22">
        <f>INDEX(Data!$L$8:$L$252,MATCH($A80,Data!$A$8:$A$252,0))</f>
        <v>2.62</v>
      </c>
      <c r="F80" s="22">
        <f>INDEX('Forecast drivers'!$W$61:$AC$82,MATCH('Selected forecast drivers'!B80,'Forecast drivers'!$A$61:$A$82,0),MATCH('Selected forecast drivers'!C80,'Forecast drivers'!$W$61:$AC$61))</f>
        <v>2.62</v>
      </c>
      <c r="G80" s="64">
        <f t="shared" si="4"/>
        <v>0.96317431777300555</v>
      </c>
      <c r="H80" s="64">
        <f t="shared" si="5"/>
        <v>0.96317431777300555</v>
      </c>
    </row>
    <row r="81" spans="1:8">
      <c r="A81" s="65" t="str">
        <f t="shared" si="3"/>
        <v>SES25</v>
      </c>
      <c r="B81" s="65" t="s">
        <v>24</v>
      </c>
      <c r="C81" s="65" t="s">
        <v>128</v>
      </c>
      <c r="D81" s="65">
        <v>2025</v>
      </c>
      <c r="E81" s="22">
        <f>INDEX(Data!$L$8:$L$252,MATCH($A81,Data!$A$8:$A$252,0))</f>
        <v>2.6120000000000001</v>
      </c>
      <c r="F81" s="22">
        <f>INDEX('Forecast drivers'!$W$61:$AC$82,MATCH('Selected forecast drivers'!B81,'Forecast drivers'!$A$61:$A$82,0),MATCH('Selected forecast drivers'!C81,'Forecast drivers'!$W$61:$AC$61))</f>
        <v>2.6120000000000001</v>
      </c>
      <c r="G81" s="64">
        <f t="shared" si="4"/>
        <v>0.96011621141418468</v>
      </c>
      <c r="H81" s="64">
        <f t="shared" si="5"/>
        <v>0.96011621141418468</v>
      </c>
    </row>
    <row r="82" spans="1:8">
      <c r="A82" s="65" t="str">
        <f t="shared" si="3"/>
        <v>SEW21</v>
      </c>
      <c r="B82" s="65" t="s">
        <v>25</v>
      </c>
      <c r="C82" s="63" t="s">
        <v>124</v>
      </c>
      <c r="D82" s="65">
        <v>2021</v>
      </c>
      <c r="E82" s="22">
        <f>INDEX(Data!$L$8:$L$252,MATCH($A82,Data!$A$8:$A$252,0))</f>
        <v>9</v>
      </c>
      <c r="F82" s="22">
        <f>INDEX('Forecast drivers'!$W$61:$AC$82,MATCH('Selected forecast drivers'!B82,'Forecast drivers'!$A$61:$A$82,0),MATCH('Selected forecast drivers'!C82,'Forecast drivers'!$W$61:$AC$61))</f>
        <v>9</v>
      </c>
      <c r="G82" s="64">
        <f t="shared" si="4"/>
        <v>2.1972245773362196</v>
      </c>
      <c r="H82" s="64">
        <f t="shared" si="5"/>
        <v>2.1972245773362196</v>
      </c>
    </row>
    <row r="83" spans="1:8">
      <c r="A83" s="65" t="str">
        <f t="shared" si="3"/>
        <v>SEW22</v>
      </c>
      <c r="B83" s="65" t="s">
        <v>25</v>
      </c>
      <c r="C83" s="63" t="s">
        <v>125</v>
      </c>
      <c r="D83" s="65">
        <v>2022</v>
      </c>
      <c r="E83" s="22">
        <f>INDEX(Data!$L$8:$L$252,MATCH($A83,Data!$A$8:$A$252,0))</f>
        <v>9.1349999999999998</v>
      </c>
      <c r="F83" s="22">
        <f>INDEX('Forecast drivers'!$W$61:$AC$82,MATCH('Selected forecast drivers'!B83,'Forecast drivers'!$A$61:$A$82,0),MATCH('Selected forecast drivers'!C83,'Forecast drivers'!$W$61:$AC$61))</f>
        <v>9.1349999999999998</v>
      </c>
      <c r="G83" s="64">
        <f t="shared" si="4"/>
        <v>2.21211318982997</v>
      </c>
      <c r="H83" s="64">
        <f t="shared" si="5"/>
        <v>2.21211318982997</v>
      </c>
    </row>
    <row r="84" spans="1:8">
      <c r="A84" s="65" t="str">
        <f t="shared" si="3"/>
        <v>SEW23</v>
      </c>
      <c r="B84" s="65" t="s">
        <v>25</v>
      </c>
      <c r="C84" s="65" t="s">
        <v>126</v>
      </c>
      <c r="D84" s="65">
        <v>2023</v>
      </c>
      <c r="E84" s="22">
        <f>INDEX(Data!$L$8:$L$252,MATCH($A84,Data!$A$8:$A$252,0))</f>
        <v>9.2719999999999985</v>
      </c>
      <c r="F84" s="22">
        <f>INDEX('Forecast drivers'!$W$61:$AC$82,MATCH('Selected forecast drivers'!B84,'Forecast drivers'!$A$61:$A$82,0),MATCH('Selected forecast drivers'!C84,'Forecast drivers'!$W$61:$AC$61))</f>
        <v>9.2719999999999985</v>
      </c>
      <c r="G84" s="64">
        <f t="shared" si="4"/>
        <v>2.2269991060374505</v>
      </c>
      <c r="H84" s="64">
        <f t="shared" si="5"/>
        <v>2.2269991060374505</v>
      </c>
    </row>
    <row r="85" spans="1:8">
      <c r="A85" s="65" t="str">
        <f t="shared" si="3"/>
        <v>SEW24</v>
      </c>
      <c r="B85" s="65" t="s">
        <v>25</v>
      </c>
      <c r="C85" s="65" t="s">
        <v>127</v>
      </c>
      <c r="D85" s="65">
        <v>2024</v>
      </c>
      <c r="E85" s="22">
        <f>INDEX(Data!$L$8:$L$252,MATCH($A85,Data!$A$8:$A$252,0))</f>
        <v>9.4109999999999996</v>
      </c>
      <c r="F85" s="22">
        <f>INDEX('Forecast drivers'!$W$61:$AC$82,MATCH('Selected forecast drivers'!B85,'Forecast drivers'!$A$61:$A$82,0),MATCH('Selected forecast drivers'!C85,'Forecast drivers'!$W$61:$AC$61))</f>
        <v>9.4109999999999996</v>
      </c>
      <c r="G85" s="64">
        <f t="shared" si="4"/>
        <v>2.2418792178766509</v>
      </c>
      <c r="H85" s="64">
        <f t="shared" si="5"/>
        <v>2.2418792178766509</v>
      </c>
    </row>
    <row r="86" spans="1:8">
      <c r="A86" s="65" t="str">
        <f t="shared" si="3"/>
        <v>SEW25</v>
      </c>
      <c r="B86" s="65" t="s">
        <v>25</v>
      </c>
      <c r="C86" s="65" t="s">
        <v>128</v>
      </c>
      <c r="D86" s="65">
        <v>2025</v>
      </c>
      <c r="E86" s="22">
        <f>INDEX(Data!$L$8:$L$252,MATCH($A86,Data!$A$8:$A$252,0))</f>
        <v>9.5519999999999996</v>
      </c>
      <c r="F86" s="22">
        <f>INDEX('Forecast drivers'!$W$61:$AC$82,MATCH('Selected forecast drivers'!B86,'Forecast drivers'!$A$61:$A$82,0),MATCH('Selected forecast drivers'!C86,'Forecast drivers'!$W$61:$AC$61))</f>
        <v>9.5519999999999996</v>
      </c>
      <c r="G86" s="64">
        <f t="shared" si="4"/>
        <v>2.2567505566502462</v>
      </c>
      <c r="H86" s="64">
        <f t="shared" si="5"/>
        <v>2.2567505566502462</v>
      </c>
    </row>
    <row r="87" spans="1:8">
      <c r="A87" s="65" t="str">
        <f t="shared" si="3"/>
        <v>SSC21</v>
      </c>
      <c r="B87" s="65" t="s">
        <v>26</v>
      </c>
      <c r="C87" s="63" t="s">
        <v>124</v>
      </c>
      <c r="D87" s="65">
        <v>2021</v>
      </c>
      <c r="E87" s="22">
        <f>INDEX(Data!$L$8:$L$252,MATCH($A87,Data!$A$8:$A$252,0))</f>
        <v>8.9507154047250097</v>
      </c>
      <c r="F87" s="22">
        <f>INDEX('Forecast drivers'!$W$61:$AC$82,MATCH('Selected forecast drivers'!B87,'Forecast drivers'!$A$61:$A$82,0),MATCH('Selected forecast drivers'!C87,'Forecast drivers'!$W$61:$AC$61))</f>
        <v>8.9507154047250097</v>
      </c>
      <c r="G87" s="64">
        <f t="shared" si="4"/>
        <v>2.1917334625810807</v>
      </c>
      <c r="H87" s="64">
        <f t="shared" si="5"/>
        <v>2.1917334625810807</v>
      </c>
    </row>
    <row r="88" spans="1:8">
      <c r="A88" s="65" t="str">
        <f t="shared" si="3"/>
        <v>SSC22</v>
      </c>
      <c r="B88" s="65" t="s">
        <v>26</v>
      </c>
      <c r="C88" s="63" t="s">
        <v>125</v>
      </c>
      <c r="D88" s="65">
        <v>2022</v>
      </c>
      <c r="E88" s="22">
        <f>INDEX(Data!$L$8:$L$252,MATCH($A88,Data!$A$8:$A$252,0))</f>
        <v>8.47937917501614</v>
      </c>
      <c r="F88" s="22">
        <f>INDEX('Forecast drivers'!$W$61:$AC$82,MATCH('Selected forecast drivers'!B88,'Forecast drivers'!$A$61:$A$82,0),MATCH('Selected forecast drivers'!C88,'Forecast drivers'!$W$61:$AC$61))</f>
        <v>8.47937917501614</v>
      </c>
      <c r="G88" s="64">
        <f t="shared" si="4"/>
        <v>2.1376372366304128</v>
      </c>
      <c r="H88" s="64">
        <f t="shared" si="5"/>
        <v>2.1376372366304128</v>
      </c>
    </row>
    <row r="89" spans="1:8">
      <c r="A89" s="65" t="str">
        <f t="shared" si="3"/>
        <v>SSC23</v>
      </c>
      <c r="B89" s="65" t="s">
        <v>26</v>
      </c>
      <c r="C89" s="65" t="s">
        <v>126</v>
      </c>
      <c r="D89" s="65">
        <v>2023</v>
      </c>
      <c r="E89" s="22">
        <f>INDEX(Data!$L$8:$L$252,MATCH($A89,Data!$A$8:$A$252,0))</f>
        <v>8.0946964623069704</v>
      </c>
      <c r="F89" s="22">
        <f>INDEX('Forecast drivers'!$W$61:$AC$82,MATCH('Selected forecast drivers'!B89,'Forecast drivers'!$A$61:$A$82,0),MATCH('Selected forecast drivers'!C89,'Forecast drivers'!$W$61:$AC$61))</f>
        <v>8.0946964623069704</v>
      </c>
      <c r="G89" s="64">
        <f t="shared" si="4"/>
        <v>2.0912090894910516</v>
      </c>
      <c r="H89" s="64">
        <f t="shared" si="5"/>
        <v>2.0912090894910516</v>
      </c>
    </row>
    <row r="90" spans="1:8">
      <c r="A90" s="65" t="str">
        <f t="shared" si="3"/>
        <v>SSC24</v>
      </c>
      <c r="B90" s="65" t="s">
        <v>26</v>
      </c>
      <c r="C90" s="65" t="s">
        <v>127</v>
      </c>
      <c r="D90" s="65">
        <v>2024</v>
      </c>
      <c r="E90" s="22">
        <f>INDEX(Data!$L$8:$L$252,MATCH($A90,Data!$A$8:$A$252,0))</f>
        <v>7.8615588215057102</v>
      </c>
      <c r="F90" s="22">
        <f>INDEX('Forecast drivers'!$W$61:$AC$82,MATCH('Selected forecast drivers'!B90,'Forecast drivers'!$A$61:$A$82,0),MATCH('Selected forecast drivers'!C90,'Forecast drivers'!$W$61:$AC$61))</f>
        <v>7.8615588215057102</v>
      </c>
      <c r="G90" s="64">
        <f t="shared" si="4"/>
        <v>2.0619849101244223</v>
      </c>
      <c r="H90" s="64">
        <f t="shared" si="5"/>
        <v>2.0619849101244223</v>
      </c>
    </row>
    <row r="91" spans="1:8">
      <c r="A91" s="65" t="str">
        <f t="shared" si="3"/>
        <v>SSC25</v>
      </c>
      <c r="B91" s="65" t="s">
        <v>26</v>
      </c>
      <c r="C91" s="65" t="s">
        <v>128</v>
      </c>
      <c r="D91" s="65">
        <v>2025</v>
      </c>
      <c r="E91" s="22">
        <f>INDEX(Data!$L$8:$L$252,MATCH($A91,Data!$A$8:$A$252,0))</f>
        <v>7.6626374815587788</v>
      </c>
      <c r="F91" s="22">
        <f>INDEX('Forecast drivers'!$W$61:$AC$82,MATCH('Selected forecast drivers'!B91,'Forecast drivers'!$A$61:$A$82,0),MATCH('Selected forecast drivers'!C91,'Forecast drivers'!$W$61:$AC$61))</f>
        <v>7.6626374815587788</v>
      </c>
      <c r="G91" s="64">
        <f t="shared" si="4"/>
        <v>2.0363562432297604</v>
      </c>
      <c r="H91" s="64">
        <f t="shared" si="5"/>
        <v>2.0363562432297604</v>
      </c>
    </row>
    <row r="93" spans="1:8">
      <c r="E93" s="66"/>
      <c r="F93" s="66"/>
      <c r="G93" s="66"/>
      <c r="H93" s="6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5"/>
  <sheetViews>
    <sheetView showGridLines="0" zoomScale="80" zoomScaleNormal="80" workbookViewId="0"/>
  </sheetViews>
  <sheetFormatPr defaultColWidth="9" defaultRowHeight="12.75"/>
  <cols>
    <col min="1" max="5" width="9" style="42"/>
    <col min="6" max="6" width="9.875" style="42" customWidth="1"/>
    <col min="7" max="7" width="11.125" style="42" customWidth="1"/>
    <col min="8" max="12" width="9" style="42"/>
    <col min="13" max="13" width="12.625" style="42" customWidth="1"/>
    <col min="14" max="16384" width="9" style="42"/>
  </cols>
  <sheetData>
    <row r="1" spans="1:13" ht="20.65">
      <c r="A1" s="194" t="s">
        <v>153</v>
      </c>
    </row>
    <row r="4" spans="1:13" ht="14.25" customHeight="1">
      <c r="D4" s="43"/>
      <c r="E4" s="43"/>
      <c r="F4" s="255" t="s">
        <v>55</v>
      </c>
      <c r="G4" s="255" t="s">
        <v>60</v>
      </c>
      <c r="J4" s="44" t="s">
        <v>81</v>
      </c>
    </row>
    <row r="5" spans="1:13" ht="13.5" customHeight="1">
      <c r="D5" s="35">
        <f>Controls!B9</f>
        <v>0.5</v>
      </c>
      <c r="E5" s="35">
        <f>Controls!C9</f>
        <v>0.5</v>
      </c>
      <c r="F5" s="256"/>
      <c r="G5" s="256"/>
    </row>
    <row r="6" spans="1:13" ht="26.25" customHeight="1">
      <c r="A6" s="45" t="s">
        <v>29</v>
      </c>
      <c r="B6" s="45" t="s">
        <v>6</v>
      </c>
      <c r="C6" s="45" t="s">
        <v>7</v>
      </c>
      <c r="D6" s="46" t="s">
        <v>90</v>
      </c>
      <c r="E6" s="46" t="s">
        <v>91</v>
      </c>
      <c r="F6" s="257"/>
      <c r="G6" s="257"/>
      <c r="J6" s="47" t="s">
        <v>6</v>
      </c>
      <c r="K6" s="48" t="s">
        <v>54</v>
      </c>
      <c r="L6" s="48" t="s">
        <v>56</v>
      </c>
      <c r="M6" s="48" t="s">
        <v>57</v>
      </c>
    </row>
    <row r="7" spans="1:13">
      <c r="A7" s="49" t="str">
        <f>'Selected forecast drivers'!A7</f>
        <v>ANH21</v>
      </c>
      <c r="B7" s="49" t="str">
        <f>'Selected forecast drivers'!B7</f>
        <v>ANH</v>
      </c>
      <c r="C7" s="49">
        <f>'Selected forecast drivers'!D7</f>
        <v>2021</v>
      </c>
      <c r="D7" s="50">
        <f>EXP(Coeffs!$C$12+(Coeffs!$C$11*'Selected forecast drivers'!$H7))</f>
        <v>33.329284730668036</v>
      </c>
      <c r="E7" s="50">
        <f>EXP(Coeffs!$D$12+(Coeffs!$D$11*'Selected forecast drivers'!$H7))</f>
        <v>32.262462651496108</v>
      </c>
      <c r="F7" s="50">
        <f t="shared" ref="F7:F38" si="0">SUMPRODUCT($D$5:$E$5,$D7:$E7)</f>
        <v>32.795873691082072</v>
      </c>
      <c r="G7" s="50">
        <f>Controls!$B$14*F7</f>
        <v>32.795873691082072</v>
      </c>
      <c r="J7" s="49" t="s">
        <v>8</v>
      </c>
      <c r="K7" s="229">
        <f>SUMIFS(Data!$H$8:$H$252,Data!$B$8:$B$252,$J7,Data!$C$8:$C$252,"&gt;=2021")</f>
        <v>278.01986076356769</v>
      </c>
      <c r="L7" s="229">
        <f>SUMIFS('Modelled costs'!F$7:F$91,'Modelled costs'!$B$7:$B$91,$J7)</f>
        <v>180.96254436827584</v>
      </c>
      <c r="M7" s="51">
        <f>K7/L7</f>
        <v>1.5363392559167994</v>
      </c>
    </row>
    <row r="8" spans="1:13">
      <c r="A8" s="49" t="str">
        <f>'Selected forecast drivers'!A8</f>
        <v>ANH22</v>
      </c>
      <c r="B8" s="49" t="str">
        <f>'Selected forecast drivers'!B8</f>
        <v>ANH</v>
      </c>
      <c r="C8" s="49">
        <f>'Selected forecast drivers'!D8</f>
        <v>2022</v>
      </c>
      <c r="D8" s="50">
        <f>EXP(Coeffs!$C$12+(Coeffs!$C$11*'Selected forecast drivers'!$H8))</f>
        <v>37.447369451999833</v>
      </c>
      <c r="E8" s="50">
        <f>EXP(Coeffs!$D$12+(Coeffs!$D$11*'Selected forecast drivers'!$H8))</f>
        <v>35.725476951634242</v>
      </c>
      <c r="F8" s="50">
        <f t="shared" si="0"/>
        <v>36.586423201817041</v>
      </c>
      <c r="G8" s="50">
        <f>Controls!$B$14*F8</f>
        <v>36.586423201817041</v>
      </c>
      <c r="J8" s="49" t="s">
        <v>28</v>
      </c>
      <c r="K8" s="229">
        <f>SUMIFS(Data!$H$8:$H$252,Data!$B$8:$B$252,$J8,Data!$C$8:$C$252,"&gt;=2021")</f>
        <v>5.362042650002028</v>
      </c>
      <c r="L8" s="229">
        <f>SUMIFS('Modelled costs'!F$7:F$91,'Modelled costs'!$B$7:$B$91,$J8)</f>
        <v>2.4428326851846718</v>
      </c>
      <c r="M8" s="51">
        <f t="shared" ref="M8:M23" si="1">K8/L8</f>
        <v>2.1950101955495458</v>
      </c>
    </row>
    <row r="9" spans="1:13">
      <c r="A9" s="49" t="str">
        <f>'Selected forecast drivers'!A9</f>
        <v>ANH23</v>
      </c>
      <c r="B9" s="49" t="str">
        <f>'Selected forecast drivers'!B9</f>
        <v>ANH</v>
      </c>
      <c r="C9" s="49">
        <f>'Selected forecast drivers'!D9</f>
        <v>2023</v>
      </c>
      <c r="D9" s="50">
        <f>EXP(Coeffs!$C$12+(Coeffs!$C$11*'Selected forecast drivers'!$H9))</f>
        <v>39.330217106560497</v>
      </c>
      <c r="E9" s="50">
        <f>EXP(Coeffs!$D$12+(Coeffs!$D$11*'Selected forecast drivers'!$H9))</f>
        <v>37.29271340996327</v>
      </c>
      <c r="F9" s="50">
        <f t="shared" si="0"/>
        <v>38.311465258261883</v>
      </c>
      <c r="G9" s="50">
        <f>Controls!$B$14*F9</f>
        <v>38.311465258261883</v>
      </c>
      <c r="J9" s="49" t="s">
        <v>9</v>
      </c>
      <c r="K9" s="229">
        <f>SUMIFS(Data!$H$8:$H$252,Data!$B$8:$B$252,$J9,Data!$C$8:$C$252,"&gt;=2021")</f>
        <v>89.183999999999997</v>
      </c>
      <c r="L9" s="229">
        <f>SUMIFS('Modelled costs'!F$7:F$91,'Modelled costs'!$B$7:$B$91,$J9)</f>
        <v>89.798207354067245</v>
      </c>
      <c r="M9" s="51">
        <f t="shared" si="1"/>
        <v>0.993160137911824</v>
      </c>
    </row>
    <row r="10" spans="1:13">
      <c r="A10" s="49" t="str">
        <f>'Selected forecast drivers'!A10</f>
        <v>ANH24</v>
      </c>
      <c r="B10" s="49" t="str">
        <f>'Selected forecast drivers'!B10</f>
        <v>ANH</v>
      </c>
      <c r="C10" s="49">
        <f>'Selected forecast drivers'!D10</f>
        <v>2024</v>
      </c>
      <c r="D10" s="50">
        <f>EXP(Coeffs!$C$12+(Coeffs!$C$11*'Selected forecast drivers'!$H10))</f>
        <v>39.115823539293082</v>
      </c>
      <c r="E10" s="50">
        <f>EXP(Coeffs!$D$12+(Coeffs!$D$11*'Selected forecast drivers'!$H10))</f>
        <v>37.114738098769443</v>
      </c>
      <c r="F10" s="50">
        <f t="shared" si="0"/>
        <v>38.115280819031263</v>
      </c>
      <c r="G10" s="50">
        <f>Controls!$B$14*F10</f>
        <v>38.115280819031263</v>
      </c>
      <c r="J10" s="49" t="s">
        <v>10</v>
      </c>
      <c r="K10" s="229">
        <f>SUMIFS(Data!$H$8:$H$252,Data!$B$8:$B$252,$J10,Data!$C$8:$C$252,"&gt;=2021")</f>
        <v>141.62277906741321</v>
      </c>
      <c r="L10" s="229">
        <f>SUMIFS('Modelled costs'!F$7:F$91,'Modelled costs'!$B$7:$B$91,$J10)</f>
        <v>137.04878373000409</v>
      </c>
      <c r="M10" s="51">
        <f t="shared" si="1"/>
        <v>1.0333749429430925</v>
      </c>
    </row>
    <row r="11" spans="1:13">
      <c r="A11" s="49" t="str">
        <f>'Selected forecast drivers'!A11</f>
        <v>ANH25</v>
      </c>
      <c r="B11" s="49" t="str">
        <f>'Selected forecast drivers'!B11</f>
        <v>ANH</v>
      </c>
      <c r="C11" s="49">
        <f>'Selected forecast drivers'!D11</f>
        <v>2025</v>
      </c>
      <c r="D11" s="50">
        <f>EXP(Coeffs!$C$12+(Coeffs!$C$11*'Selected forecast drivers'!$H11))</f>
        <v>35.887431677240677</v>
      </c>
      <c r="E11" s="50">
        <f>EXP(Coeffs!$D$12+(Coeffs!$D$11*'Selected forecast drivers'!$H11))</f>
        <v>34.419571118926498</v>
      </c>
      <c r="F11" s="50">
        <f t="shared" si="0"/>
        <v>35.153501398083591</v>
      </c>
      <c r="G11" s="50">
        <f>Controls!$B$14*F11</f>
        <v>35.153501398083591</v>
      </c>
      <c r="J11" s="49" t="s">
        <v>11</v>
      </c>
      <c r="K11" s="229">
        <f>SUMIFS(Data!$H$8:$H$252,Data!$B$8:$B$252,$J11,Data!$C$8:$C$252,"&gt;=2021")</f>
        <v>102.663</v>
      </c>
      <c r="L11" s="229">
        <f>SUMIFS('Modelled costs'!F$7:F$91,'Modelled costs'!$B$7:$B$91,$J11)</f>
        <v>64.038212626948209</v>
      </c>
      <c r="M11" s="51">
        <f t="shared" si="1"/>
        <v>1.6031521772485873</v>
      </c>
    </row>
    <row r="12" spans="1:13">
      <c r="A12" s="49" t="str">
        <f>'Selected forecast drivers'!A12</f>
        <v>HDD21</v>
      </c>
      <c r="B12" s="49" t="str">
        <f>'Selected forecast drivers'!B12</f>
        <v>HDD</v>
      </c>
      <c r="C12" s="49">
        <f>'Selected forecast drivers'!D12</f>
        <v>2021</v>
      </c>
      <c r="D12" s="50">
        <f>EXP(Coeffs!$C$12+(Coeffs!$C$11*'Selected forecast drivers'!$H12))</f>
        <v>0.32671768860167033</v>
      </c>
      <c r="E12" s="50">
        <f>EXP(Coeffs!$D$12+(Coeffs!$D$11*'Selected forecast drivers'!$H12))</f>
        <v>0.56330571274504226</v>
      </c>
      <c r="F12" s="50">
        <f t="shared" si="0"/>
        <v>0.44501170067335627</v>
      </c>
      <c r="G12" s="50">
        <f>Controls!$B$14*F12</f>
        <v>0.44501170067335627</v>
      </c>
      <c r="J12" s="49" t="s">
        <v>27</v>
      </c>
      <c r="K12" s="229">
        <f>SUMIFS(Data!$H$8:$H$252,Data!$B$8:$B$252,$J12,Data!$C$8:$C$252,"&gt;=2021")</f>
        <v>258.166</v>
      </c>
      <c r="L12" s="229">
        <f>SUMIFS('Modelled costs'!F$7:F$91,'Modelled costs'!$B$7:$B$91,$J12)</f>
        <v>127.77437571911</v>
      </c>
      <c r="M12" s="51">
        <f t="shared" si="1"/>
        <v>2.0204833601968328</v>
      </c>
    </row>
    <row r="13" spans="1:13">
      <c r="A13" s="49" t="str">
        <f>'Selected forecast drivers'!A13</f>
        <v>HDD22</v>
      </c>
      <c r="B13" s="49" t="str">
        <f>'Selected forecast drivers'!B13</f>
        <v>HDD</v>
      </c>
      <c r="C13" s="49">
        <f>'Selected forecast drivers'!D13</f>
        <v>2022</v>
      </c>
      <c r="D13" s="50">
        <f>EXP(Coeffs!$C$12+(Coeffs!$C$11*'Selected forecast drivers'!$H13))</f>
        <v>0.34918419383645866</v>
      </c>
      <c r="E13" s="50">
        <f>EXP(Coeffs!$D$12+(Coeffs!$D$11*'Selected forecast drivers'!$H13))</f>
        <v>0.59706461211922701</v>
      </c>
      <c r="F13" s="50">
        <f t="shared" si="0"/>
        <v>0.47312440297784286</v>
      </c>
      <c r="G13" s="50">
        <f>Controls!$B$14*F13</f>
        <v>0.47312440297784286</v>
      </c>
      <c r="J13" s="49" t="s">
        <v>14</v>
      </c>
      <c r="K13" s="229">
        <f>SUMIFS(Data!$H$8:$H$252,Data!$B$8:$B$252,$J13,Data!$C$8:$C$252,"&gt;=2021")</f>
        <v>55.411000000000001</v>
      </c>
      <c r="L13" s="229">
        <f>SUMIFS('Modelled costs'!F$7:F$91,'Modelled costs'!$B$7:$B$91,$J13)</f>
        <v>45.662858620329473</v>
      </c>
      <c r="M13" s="51">
        <f t="shared" si="1"/>
        <v>1.2134807516262369</v>
      </c>
    </row>
    <row r="14" spans="1:13">
      <c r="A14" s="49" t="str">
        <f>'Selected forecast drivers'!A14</f>
        <v>HDD23</v>
      </c>
      <c r="B14" s="49" t="str">
        <f>'Selected forecast drivers'!B14</f>
        <v>HDD</v>
      </c>
      <c r="C14" s="49">
        <f>'Selected forecast drivers'!D14</f>
        <v>2023</v>
      </c>
      <c r="D14" s="50">
        <f>EXP(Coeffs!$C$12+(Coeffs!$C$11*'Selected forecast drivers'!$H14))</f>
        <v>0.37093362708390004</v>
      </c>
      <c r="E14" s="50">
        <f>EXP(Coeffs!$D$12+(Coeffs!$D$11*'Selected forecast drivers'!$H14))</f>
        <v>0.62948841756810947</v>
      </c>
      <c r="F14" s="50">
        <f t="shared" si="0"/>
        <v>0.50021102232600478</v>
      </c>
      <c r="G14" s="50">
        <f>Controls!$B$14*F14</f>
        <v>0.50021102232600478</v>
      </c>
      <c r="J14" s="49" t="s">
        <v>15</v>
      </c>
      <c r="K14" s="229">
        <f>SUMIFS(Data!$H$8:$H$252,Data!$B$8:$B$252,$J14,Data!$C$8:$C$252,"&gt;=2021")</f>
        <v>250.33482647010399</v>
      </c>
      <c r="L14" s="229">
        <f>SUMIFS('Modelled costs'!F$7:F$91,'Modelled costs'!$B$7:$B$91,$J14)</f>
        <v>212.24614646407804</v>
      </c>
      <c r="M14" s="51">
        <f t="shared" si="1"/>
        <v>1.1794552251740049</v>
      </c>
    </row>
    <row r="15" spans="1:13">
      <c r="A15" s="49" t="str">
        <f>'Selected forecast drivers'!A15</f>
        <v>HDD24</v>
      </c>
      <c r="B15" s="49" t="str">
        <f>'Selected forecast drivers'!B15</f>
        <v>HDD</v>
      </c>
      <c r="C15" s="49">
        <f>'Selected forecast drivers'!D15</f>
        <v>2024</v>
      </c>
      <c r="D15" s="50">
        <f>EXP(Coeffs!$C$12+(Coeffs!$C$11*'Selected forecast drivers'!$H15))</f>
        <v>0.37739332970266781</v>
      </c>
      <c r="E15" s="50">
        <f>EXP(Coeffs!$D$12+(Coeffs!$D$11*'Selected forecast drivers'!$H15))</f>
        <v>0.6390722065490746</v>
      </c>
      <c r="F15" s="50">
        <f>SUMPRODUCT($D$5:$E$5,$D15:$E15)</f>
        <v>0.50823276812587115</v>
      </c>
      <c r="G15" s="50">
        <f>Controls!$B$14*F15</f>
        <v>0.50823276812587115</v>
      </c>
      <c r="J15" s="49" t="s">
        <v>16</v>
      </c>
      <c r="K15" s="229">
        <f>SUMIFS(Data!$H$8:$H$252,Data!$B$8:$B$252,$J15,Data!$C$8:$C$252,"&gt;=2021")</f>
        <v>51.667000000000002</v>
      </c>
      <c r="L15" s="229">
        <f>SUMIFS('Modelled costs'!F$7:F$91,'Modelled costs'!$B$7:$B$91,$J15)</f>
        <v>44.79652426875532</v>
      </c>
      <c r="M15" s="51">
        <f t="shared" si="1"/>
        <v>1.1533707322922082</v>
      </c>
    </row>
    <row r="16" spans="1:13">
      <c r="A16" s="49" t="str">
        <f>'Selected forecast drivers'!A16</f>
        <v>HDD25</v>
      </c>
      <c r="B16" s="49" t="str">
        <f>'Selected forecast drivers'!B16</f>
        <v>HDD</v>
      </c>
      <c r="C16" s="49">
        <f>'Selected forecast drivers'!D16</f>
        <v>2025</v>
      </c>
      <c r="D16" s="50">
        <f>EXP(Coeffs!$C$12+(Coeffs!$C$11*'Selected forecast drivers'!$H16))</f>
        <v>0.38385989328682707</v>
      </c>
      <c r="E16" s="50">
        <f>EXP(Coeffs!$D$12+(Coeffs!$D$11*'Selected forecast drivers'!$H16))</f>
        <v>0.64864568887636564</v>
      </c>
      <c r="F16" s="50">
        <f t="shared" si="0"/>
        <v>0.51625279108159638</v>
      </c>
      <c r="G16" s="50">
        <f>Controls!$B$14*F16</f>
        <v>0.51625279108159638</v>
      </c>
      <c r="J16" s="49" t="s">
        <v>17</v>
      </c>
      <c r="K16" s="229">
        <f>SUMIFS(Data!$H$8:$H$252,Data!$B$8:$B$252,$J16,Data!$C$8:$C$252,"&gt;=2021")</f>
        <v>16.8923076923077</v>
      </c>
      <c r="L16" s="229">
        <f>SUMIFS('Modelled costs'!F$7:F$91,'Modelled costs'!$B$7:$B$91,$J16)</f>
        <v>32.932849180656191</v>
      </c>
      <c r="M16" s="51">
        <f t="shared" si="1"/>
        <v>0.51293186324825357</v>
      </c>
    </row>
    <row r="17" spans="1:13">
      <c r="A17" s="49" t="str">
        <f>'Selected forecast drivers'!A17</f>
        <v>NES21</v>
      </c>
      <c r="B17" s="49" t="str">
        <f>'Selected forecast drivers'!B17</f>
        <v>NES</v>
      </c>
      <c r="C17" s="49">
        <f>'Selected forecast drivers'!D17</f>
        <v>2021</v>
      </c>
      <c r="D17" s="50">
        <f>EXP(Coeffs!$C$12+(Coeffs!$C$11*'Selected forecast drivers'!$H17))</f>
        <v>18.268451304068783</v>
      </c>
      <c r="E17" s="50">
        <f>EXP(Coeffs!$D$12+(Coeffs!$D$11*'Selected forecast drivers'!$H17))</f>
        <v>19.061811360668091</v>
      </c>
      <c r="F17" s="50">
        <f t="shared" si="0"/>
        <v>18.665131332368439</v>
      </c>
      <c r="G17" s="50">
        <f>Controls!$B$14*F17</f>
        <v>18.665131332368439</v>
      </c>
      <c r="J17" s="49" t="s">
        <v>18</v>
      </c>
      <c r="K17" s="229">
        <f>SUMIFS(Data!$H$8:$H$252,Data!$B$8:$B$252,$J17,Data!$C$8:$C$252,"&gt;=2021")</f>
        <v>40.899000000000001</v>
      </c>
      <c r="L17" s="229">
        <f>SUMIFS('Modelled costs'!F$7:F$91,'Modelled costs'!$B$7:$B$91,$J17)</f>
        <v>108.08413852958725</v>
      </c>
      <c r="M17" s="51">
        <f t="shared" si="1"/>
        <v>0.37839964824074712</v>
      </c>
    </row>
    <row r="18" spans="1:13">
      <c r="A18" s="49" t="str">
        <f>'Selected forecast drivers'!A18</f>
        <v>NES22</v>
      </c>
      <c r="B18" s="49" t="str">
        <f>'Selected forecast drivers'!B18</f>
        <v>NES</v>
      </c>
      <c r="C18" s="49">
        <f>'Selected forecast drivers'!D18</f>
        <v>2022</v>
      </c>
      <c r="D18" s="50">
        <f>EXP(Coeffs!$C$12+(Coeffs!$C$11*'Selected forecast drivers'!$H18))</f>
        <v>18.050697865580055</v>
      </c>
      <c r="E18" s="50">
        <f>EXP(Coeffs!$D$12+(Coeffs!$D$11*'Selected forecast drivers'!$H18))</f>
        <v>18.862810849137809</v>
      </c>
      <c r="F18" s="50">
        <f t="shared" si="0"/>
        <v>18.456754357358932</v>
      </c>
      <c r="G18" s="50">
        <f>Controls!$B$14*F18</f>
        <v>18.456754357358932</v>
      </c>
      <c r="J18" s="49" t="s">
        <v>19</v>
      </c>
      <c r="K18" s="229">
        <f>SUMIFS(Data!$H$8:$H$252,Data!$B$8:$B$252,$J18,Data!$C$8:$C$252,"&gt;=2021")</f>
        <v>53.841999999999999</v>
      </c>
      <c r="L18" s="229">
        <f>SUMIFS('Modelled costs'!F$7:F$91,'Modelled costs'!$B$7:$B$91,$J18)</f>
        <v>80.124309360793276</v>
      </c>
      <c r="M18" s="51">
        <f t="shared" si="1"/>
        <v>0.67198083115517204</v>
      </c>
    </row>
    <row r="19" spans="1:13">
      <c r="A19" s="49" t="str">
        <f>'Selected forecast drivers'!A19</f>
        <v>NES23</v>
      </c>
      <c r="B19" s="49" t="str">
        <f>'Selected forecast drivers'!B19</f>
        <v>NES</v>
      </c>
      <c r="C19" s="49">
        <f>'Selected forecast drivers'!D19</f>
        <v>2023</v>
      </c>
      <c r="D19" s="50">
        <f>EXP(Coeffs!$C$12+(Coeffs!$C$11*'Selected forecast drivers'!$H19))</f>
        <v>17.491658144155949</v>
      </c>
      <c r="E19" s="50">
        <f>EXP(Coeffs!$D$12+(Coeffs!$D$11*'Selected forecast drivers'!$H19))</f>
        <v>18.350532637852716</v>
      </c>
      <c r="F19" s="50">
        <f t="shared" si="0"/>
        <v>17.921095391004332</v>
      </c>
      <c r="G19" s="50">
        <f>Controls!$B$14*F19</f>
        <v>17.921095391004332</v>
      </c>
      <c r="J19" s="49" t="s">
        <v>20</v>
      </c>
      <c r="K19" s="229">
        <f>SUMIFS(Data!$H$8:$H$252,Data!$B$8:$B$252,$J19,Data!$C$8:$C$252,"&gt;=2021")</f>
        <v>26.768999999999998</v>
      </c>
      <c r="L19" s="229">
        <f>SUMIFS('Modelled costs'!F$7:F$91,'Modelled costs'!$B$7:$B$91,$J19)</f>
        <v>28.846285980396257</v>
      </c>
      <c r="M19" s="51">
        <f t="shared" si="1"/>
        <v>0.92798774920944871</v>
      </c>
    </row>
    <row r="20" spans="1:13">
      <c r="A20" s="49" t="str">
        <f>'Selected forecast drivers'!A20</f>
        <v>NES24</v>
      </c>
      <c r="B20" s="49" t="str">
        <f>'Selected forecast drivers'!B20</f>
        <v>NES</v>
      </c>
      <c r="C20" s="49">
        <f>'Selected forecast drivers'!D20</f>
        <v>2024</v>
      </c>
      <c r="D20" s="50">
        <f>EXP(Coeffs!$C$12+(Coeffs!$C$11*'Selected forecast drivers'!$H20))</f>
        <v>16.839651760448874</v>
      </c>
      <c r="E20" s="50">
        <f>EXP(Coeffs!$D$12+(Coeffs!$D$11*'Selected forecast drivers'!$H20))</f>
        <v>17.750471728627158</v>
      </c>
      <c r="F20" s="50">
        <f t="shared" si="0"/>
        <v>17.295061744538017</v>
      </c>
      <c r="G20" s="50">
        <f>Controls!$B$14*F20</f>
        <v>17.295061744538017</v>
      </c>
      <c r="J20" s="49" t="s">
        <v>23</v>
      </c>
      <c r="K20" s="229">
        <f>SUMIFS(Data!$H$8:$H$252,Data!$B$8:$B$252,$J20,Data!$C$8:$C$252,"&gt;=2021")</f>
        <v>5.1649999999999991</v>
      </c>
      <c r="L20" s="229">
        <f>SUMIFS('Modelled costs'!F$7:F$91,'Modelled costs'!$B$7:$B$91,$J20)</f>
        <v>9.6328461677605972</v>
      </c>
      <c r="M20" s="51">
        <f t="shared" si="1"/>
        <v>0.53618628493064957</v>
      </c>
    </row>
    <row r="21" spans="1:13">
      <c r="A21" s="49" t="str">
        <f>'Selected forecast drivers'!A21</f>
        <v>NES25</v>
      </c>
      <c r="B21" s="49" t="str">
        <f>'Selected forecast drivers'!B21</f>
        <v>NES</v>
      </c>
      <c r="C21" s="49">
        <f>'Selected forecast drivers'!D21</f>
        <v>2025</v>
      </c>
      <c r="D21" s="50">
        <f>EXP(Coeffs!$C$12+(Coeffs!$C$11*'Selected forecast drivers'!$H21))</f>
        <v>17.011460050245955</v>
      </c>
      <c r="E21" s="50">
        <f>EXP(Coeffs!$D$12+(Coeffs!$D$11*'Selected forecast drivers'!$H21))</f>
        <v>17.908869007349075</v>
      </c>
      <c r="F21" s="50">
        <f t="shared" si="0"/>
        <v>17.460164528797513</v>
      </c>
      <c r="G21" s="50">
        <f>Controls!$B$14*F21</f>
        <v>17.460164528797513</v>
      </c>
      <c r="J21" s="49" t="s">
        <v>24</v>
      </c>
      <c r="K21" s="229">
        <f>SUMIFS(Data!$H$8:$H$252,Data!$B$8:$B$252,$J21,Data!$C$8:$C$252,"&gt;=2021")</f>
        <v>9.4009999999999998</v>
      </c>
      <c r="L21" s="229">
        <f>SUMIFS('Modelled costs'!F$7:F$91,'Modelled costs'!$B$7:$B$91,$J21)</f>
        <v>12.595403169598963</v>
      </c>
      <c r="M21" s="51">
        <f t="shared" si="1"/>
        <v>0.7463834125366331</v>
      </c>
    </row>
    <row r="22" spans="1:13">
      <c r="A22" s="49" t="str">
        <f>'Selected forecast drivers'!A22</f>
        <v>NWT21</v>
      </c>
      <c r="B22" s="49" t="str">
        <f>'Selected forecast drivers'!B22</f>
        <v>NWT</v>
      </c>
      <c r="C22" s="49">
        <f>'Selected forecast drivers'!D22</f>
        <v>2021</v>
      </c>
      <c r="D22" s="50">
        <f>EXP(Coeffs!$C$12+(Coeffs!$C$11*'Selected forecast drivers'!$H22))</f>
        <v>25.110352448798587</v>
      </c>
      <c r="E22" s="50">
        <f>EXP(Coeffs!$D$12+(Coeffs!$D$11*'Selected forecast drivers'!$H22))</f>
        <v>25.180978992677211</v>
      </c>
      <c r="F22" s="50">
        <f t="shared" si="0"/>
        <v>25.145665720737899</v>
      </c>
      <c r="G22" s="50">
        <f>Controls!$B$14*F22</f>
        <v>25.145665720737899</v>
      </c>
      <c r="J22" s="49" t="s">
        <v>25</v>
      </c>
      <c r="K22" s="229">
        <f>SUMIFS(Data!$H$8:$H$252,Data!$B$8:$B$252,$J22,Data!$C$8:$C$252,"&gt;=2021")</f>
        <v>142.01236481287813</v>
      </c>
      <c r="L22" s="229">
        <f>SUMIFS('Modelled costs'!F$7:F$91,'Modelled costs'!$B$7:$B$91,$J22)</f>
        <v>45.775811450332533</v>
      </c>
      <c r="M22" s="51">
        <f t="shared" si="1"/>
        <v>3.1023451100798893</v>
      </c>
    </row>
    <row r="23" spans="1:13">
      <c r="A23" s="49" t="str">
        <f>'Selected forecast drivers'!A23</f>
        <v>NWT22</v>
      </c>
      <c r="B23" s="49" t="str">
        <f>'Selected forecast drivers'!B23</f>
        <v>NWT</v>
      </c>
      <c r="C23" s="49">
        <f>'Selected forecast drivers'!D23</f>
        <v>2022</v>
      </c>
      <c r="D23" s="50">
        <f>EXP(Coeffs!$C$12+(Coeffs!$C$11*'Selected forecast drivers'!$H23))</f>
        <v>26.31834935953907</v>
      </c>
      <c r="E23" s="50">
        <f>EXP(Coeffs!$D$12+(Coeffs!$D$11*'Selected forecast drivers'!$H23))</f>
        <v>26.238052542640325</v>
      </c>
      <c r="F23" s="50">
        <f t="shared" si="0"/>
        <v>26.278200951089698</v>
      </c>
      <c r="G23" s="50">
        <f>Controls!$B$14*F23</f>
        <v>26.278200951089698</v>
      </c>
      <c r="J23" s="49" t="s">
        <v>26</v>
      </c>
      <c r="K23" s="229">
        <f>SUMIFS(Data!$H$8:$H$252,Data!$B$8:$B$252,$J23,Data!$C$8:$C$252,"&gt;=2021")</f>
        <v>75.442242944040061</v>
      </c>
      <c r="L23" s="229">
        <f>SUMIFS('Modelled costs'!F$7:F$91,'Modelled costs'!$B$7:$B$91,$J23)</f>
        <v>40.549049134173103</v>
      </c>
      <c r="M23" s="51">
        <f t="shared" si="1"/>
        <v>1.8605181762563301</v>
      </c>
    </row>
    <row r="24" spans="1:13">
      <c r="A24" s="49" t="str">
        <f>'Selected forecast drivers'!A24</f>
        <v>NWT23</v>
      </c>
      <c r="B24" s="49" t="str">
        <f>'Selected forecast drivers'!B24</f>
        <v>NWT</v>
      </c>
      <c r="C24" s="49">
        <f>'Selected forecast drivers'!D24</f>
        <v>2023</v>
      </c>
      <c r="D24" s="50">
        <f>EXP(Coeffs!$C$12+(Coeffs!$C$11*'Selected forecast drivers'!$H24))</f>
        <v>27.528739954082706</v>
      </c>
      <c r="E24" s="50">
        <f>EXP(Coeffs!$D$12+(Coeffs!$D$11*'Selected forecast drivers'!$H24))</f>
        <v>27.291162353849327</v>
      </c>
      <c r="F24" s="50">
        <f t="shared" si="0"/>
        <v>27.409951153966016</v>
      </c>
      <c r="G24" s="50">
        <f>Controls!$B$14*F24</f>
        <v>27.409951153966016</v>
      </c>
    </row>
    <row r="25" spans="1:13">
      <c r="A25" s="49" t="str">
        <f>'Selected forecast drivers'!A25</f>
        <v>NWT24</v>
      </c>
      <c r="B25" s="49" t="str">
        <f>'Selected forecast drivers'!B25</f>
        <v>NWT</v>
      </c>
      <c r="C25" s="49">
        <f>'Selected forecast drivers'!D25</f>
        <v>2024</v>
      </c>
      <c r="D25" s="50">
        <f>EXP(Coeffs!$C$12+(Coeffs!$C$11*'Selected forecast drivers'!$H25))</f>
        <v>28.742439207349385</v>
      </c>
      <c r="E25" s="50">
        <f>EXP(Coeffs!$D$12+(Coeffs!$D$11*'Selected forecast drivers'!$H25))</f>
        <v>28.341362216225214</v>
      </c>
      <c r="F25" s="50">
        <f t="shared" si="0"/>
        <v>28.541900711787299</v>
      </c>
      <c r="G25" s="50">
        <f>Controls!$B$14*F25</f>
        <v>28.541900711787299</v>
      </c>
    </row>
    <row r="26" spans="1:13" ht="13.15">
      <c r="A26" s="49" t="str">
        <f>'Selected forecast drivers'!A26</f>
        <v>NWT25</v>
      </c>
      <c r="B26" s="49" t="str">
        <f>'Selected forecast drivers'!B26</f>
        <v>NWT</v>
      </c>
      <c r="C26" s="49">
        <f>'Selected forecast drivers'!D26</f>
        <v>2025</v>
      </c>
      <c r="D26" s="50">
        <f>EXP(Coeffs!$C$12+(Coeffs!$C$11*'Selected forecast drivers'!$H26))</f>
        <v>29.958264824719734</v>
      </c>
      <c r="E26" s="50">
        <f>EXP(Coeffs!$D$12+(Coeffs!$D$11*'Selected forecast drivers'!$H26))</f>
        <v>29.387865560126595</v>
      </c>
      <c r="F26" s="50">
        <f t="shared" si="0"/>
        <v>29.673065192423167</v>
      </c>
      <c r="G26" s="50">
        <f>Controls!$B$14*F26</f>
        <v>29.673065192423167</v>
      </c>
      <c r="J26" s="52" t="s">
        <v>58</v>
      </c>
      <c r="K26" s="53"/>
      <c r="L26" s="53"/>
      <c r="M26" s="54">
        <f>PERCENTILE($M$7:$M$23,0.5)</f>
        <v>1.1533707322922082</v>
      </c>
    </row>
    <row r="27" spans="1:13" ht="13.15">
      <c r="A27" s="49" t="str">
        <f>'Selected forecast drivers'!A27</f>
        <v>SRN21</v>
      </c>
      <c r="B27" s="49" t="str">
        <f>'Selected forecast drivers'!B27</f>
        <v>SRN</v>
      </c>
      <c r="C27" s="49">
        <f>'Selected forecast drivers'!D27</f>
        <v>2021</v>
      </c>
      <c r="D27" s="50">
        <f>EXP(Coeffs!$C$12+(Coeffs!$C$11*'Selected forecast drivers'!$H27))</f>
        <v>13.121469651067232</v>
      </c>
      <c r="E27" s="50">
        <f>EXP(Coeffs!$D$12+(Coeffs!$D$11*'Selected forecast drivers'!$H27))</f>
        <v>14.268637768821499</v>
      </c>
      <c r="F27" s="50">
        <f t="shared" si="0"/>
        <v>13.695053709944364</v>
      </c>
      <c r="G27" s="50">
        <f>Controls!$B$14*F27</f>
        <v>13.695053709944364</v>
      </c>
      <c r="J27" s="52" t="s">
        <v>59</v>
      </c>
      <c r="K27" s="53"/>
      <c r="L27" s="53"/>
      <c r="M27" s="54">
        <f>PERCENTILE($M$7:$M$23,0.25)</f>
        <v>0.7463834125366331</v>
      </c>
    </row>
    <row r="28" spans="1:13">
      <c r="A28" s="49" t="str">
        <f>'Selected forecast drivers'!A28</f>
        <v>SRN22</v>
      </c>
      <c r="B28" s="49" t="str">
        <f>'Selected forecast drivers'!B28</f>
        <v>SRN</v>
      </c>
      <c r="C28" s="49">
        <f>'Selected forecast drivers'!D28</f>
        <v>2022</v>
      </c>
      <c r="D28" s="50">
        <f>EXP(Coeffs!$C$12+(Coeffs!$C$11*'Selected forecast drivers'!$H28))</f>
        <v>12.479206628997281</v>
      </c>
      <c r="E28" s="50">
        <f>EXP(Coeffs!$D$12+(Coeffs!$D$11*'Selected forecast drivers'!$H28))</f>
        <v>13.655490512882372</v>
      </c>
      <c r="F28" s="50">
        <f t="shared" si="0"/>
        <v>13.067348570939826</v>
      </c>
      <c r="G28" s="50">
        <f>Controls!$B$14*F28</f>
        <v>13.067348570939826</v>
      </c>
    </row>
    <row r="29" spans="1:13">
      <c r="A29" s="49" t="str">
        <f>'Selected forecast drivers'!A29</f>
        <v>SRN23</v>
      </c>
      <c r="B29" s="49" t="str">
        <f>'Selected forecast drivers'!B29</f>
        <v>SRN</v>
      </c>
      <c r="C29" s="49">
        <f>'Selected forecast drivers'!D29</f>
        <v>2023</v>
      </c>
      <c r="D29" s="50">
        <f>EXP(Coeffs!$C$12+(Coeffs!$C$11*'Selected forecast drivers'!$H29))</f>
        <v>12.116258712024681</v>
      </c>
      <c r="E29" s="50">
        <f>EXP(Coeffs!$D$12+(Coeffs!$D$11*'Selected forecast drivers'!$H29))</f>
        <v>13.307262873818985</v>
      </c>
      <c r="F29" s="50">
        <f t="shared" si="0"/>
        <v>12.711760792921833</v>
      </c>
      <c r="G29" s="50">
        <f>Controls!$B$14*F29</f>
        <v>12.711760792921833</v>
      </c>
    </row>
    <row r="30" spans="1:13">
      <c r="A30" s="49" t="str">
        <f>'Selected forecast drivers'!A30</f>
        <v>SRN24</v>
      </c>
      <c r="B30" s="49" t="str">
        <f>'Selected forecast drivers'!B30</f>
        <v>SRN</v>
      </c>
      <c r="C30" s="49">
        <f>'Selected forecast drivers'!D30</f>
        <v>2024</v>
      </c>
      <c r="D30" s="50">
        <f>EXP(Coeffs!$C$12+(Coeffs!$C$11*'Selected forecast drivers'!$H30))</f>
        <v>12.004100876697171</v>
      </c>
      <c r="E30" s="50">
        <f>EXP(Coeffs!$D$12+(Coeffs!$D$11*'Selected forecast drivers'!$H30))</f>
        <v>13.199392085106101</v>
      </c>
      <c r="F30" s="50">
        <f t="shared" si="0"/>
        <v>12.601746480901635</v>
      </c>
      <c r="G30" s="50">
        <f>Controls!$B$14*F30</f>
        <v>12.601746480901635</v>
      </c>
    </row>
    <row r="31" spans="1:13">
      <c r="A31" s="49" t="str">
        <f>'Selected forecast drivers'!A31</f>
        <v>SRN25</v>
      </c>
      <c r="B31" s="49" t="str">
        <f>'Selected forecast drivers'!B31</f>
        <v>SRN</v>
      </c>
      <c r="C31" s="49">
        <f>'Selected forecast drivers'!D31</f>
        <v>2025</v>
      </c>
      <c r="D31" s="50">
        <f>EXP(Coeffs!$C$12+(Coeffs!$C$11*'Selected forecast drivers'!$H31))</f>
        <v>11.353486037477401</v>
      </c>
      <c r="E31" s="50">
        <f>EXP(Coeffs!$D$12+(Coeffs!$D$11*'Selected forecast drivers'!$H31))</f>
        <v>12.571120107003695</v>
      </c>
      <c r="F31" s="50">
        <f t="shared" si="0"/>
        <v>11.962303072240548</v>
      </c>
      <c r="G31" s="50">
        <f>Controls!$B$14*F31</f>
        <v>11.962303072240548</v>
      </c>
    </row>
    <row r="32" spans="1:13">
      <c r="A32" s="49" t="str">
        <f>'Selected forecast drivers'!A32</f>
        <v>SVE21</v>
      </c>
      <c r="B32" s="49" t="str">
        <f>'Selected forecast drivers'!B32</f>
        <v>SVE</v>
      </c>
      <c r="C32" s="49">
        <f>'Selected forecast drivers'!D32</f>
        <v>2021</v>
      </c>
      <c r="D32" s="50">
        <f>EXP(Coeffs!$C$12+(Coeffs!$C$11*'Selected forecast drivers'!$H32))</f>
        <v>23.051814862799944</v>
      </c>
      <c r="E32" s="50">
        <f>EXP(Coeffs!$D$12+(Coeffs!$D$11*'Selected forecast drivers'!$H32))</f>
        <v>23.364760146915611</v>
      </c>
      <c r="F32" s="50">
        <f t="shared" si="0"/>
        <v>23.208287504857779</v>
      </c>
      <c r="G32" s="50">
        <f>Controls!$B$14*F32</f>
        <v>23.208287504857779</v>
      </c>
    </row>
    <row r="33" spans="1:7">
      <c r="A33" s="49" t="str">
        <f>'Selected forecast drivers'!A33</f>
        <v>SVE22</v>
      </c>
      <c r="B33" s="49" t="str">
        <f>'Selected forecast drivers'!B33</f>
        <v>SVE</v>
      </c>
      <c r="C33" s="49">
        <f>'Selected forecast drivers'!D33</f>
        <v>2022</v>
      </c>
      <c r="D33" s="50">
        <f>EXP(Coeffs!$C$12+(Coeffs!$C$11*'Selected forecast drivers'!$H33))</f>
        <v>24.68264560807491</v>
      </c>
      <c r="E33" s="50">
        <f>EXP(Coeffs!$D$12+(Coeffs!$D$11*'Selected forecast drivers'!$H33))</f>
        <v>24.805199812516708</v>
      </c>
      <c r="F33" s="50">
        <f t="shared" si="0"/>
        <v>24.743922710295809</v>
      </c>
      <c r="G33" s="50">
        <f>Controls!$B$14*F33</f>
        <v>24.743922710295809</v>
      </c>
    </row>
    <row r="34" spans="1:7">
      <c r="A34" s="49" t="str">
        <f>'Selected forecast drivers'!A34</f>
        <v>SVE23</v>
      </c>
      <c r="B34" s="49" t="str">
        <f>'Selected forecast drivers'!B34</f>
        <v>SVE</v>
      </c>
      <c r="C34" s="49">
        <f>'Selected forecast drivers'!D34</f>
        <v>2023</v>
      </c>
      <c r="D34" s="50">
        <f>EXP(Coeffs!$C$12+(Coeffs!$C$11*'Selected forecast drivers'!$H34))</f>
        <v>26.219170974556867</v>
      </c>
      <c r="E34" s="50">
        <f>EXP(Coeffs!$D$12+(Coeffs!$D$11*'Selected forecast drivers'!$H34))</f>
        <v>26.1514970560075</v>
      </c>
      <c r="F34" s="50">
        <f t="shared" si="0"/>
        <v>26.185334015282184</v>
      </c>
      <c r="G34" s="50">
        <f>Controls!$B$14*F34</f>
        <v>26.185334015282184</v>
      </c>
    </row>
    <row r="35" spans="1:7">
      <c r="A35" s="49" t="str">
        <f>'Selected forecast drivers'!A35</f>
        <v>SVE24</v>
      </c>
      <c r="B35" s="49" t="str">
        <f>'Selected forecast drivers'!B35</f>
        <v>SVE</v>
      </c>
      <c r="C35" s="49">
        <f>'Selected forecast drivers'!D35</f>
        <v>2024</v>
      </c>
      <c r="D35" s="50">
        <f>EXP(Coeffs!$C$12+(Coeffs!$C$11*'Selected forecast drivers'!$H35))</f>
        <v>26.670437509824062</v>
      </c>
      <c r="E35" s="50">
        <f>EXP(Coeffs!$D$12+(Coeffs!$D$11*'Selected forecast drivers'!$H35))</f>
        <v>26.545001241566318</v>
      </c>
      <c r="F35" s="50">
        <f t="shared" si="0"/>
        <v>26.60771937569519</v>
      </c>
      <c r="G35" s="50">
        <f>Controls!$B$14*F35</f>
        <v>26.60771937569519</v>
      </c>
    </row>
    <row r="36" spans="1:7">
      <c r="A36" s="49" t="str">
        <f>'Selected forecast drivers'!A36</f>
        <v>SVE25</v>
      </c>
      <c r="B36" s="49" t="str">
        <f>'Selected forecast drivers'!B36</f>
        <v>SVE</v>
      </c>
      <c r="C36" s="49">
        <f>'Selected forecast drivers'!D36</f>
        <v>2025</v>
      </c>
      <c r="D36" s="50">
        <f>EXP(Coeffs!$C$12+(Coeffs!$C$11*'Selected forecast drivers'!$H36))</f>
        <v>27.121086108442739</v>
      </c>
      <c r="E36" s="50">
        <f>EXP(Coeffs!$D$12+(Coeffs!$D$11*'Selected forecast drivers'!$H36))</f>
        <v>26.937138117515346</v>
      </c>
      <c r="F36" s="50">
        <f t="shared" si="0"/>
        <v>27.029112112979043</v>
      </c>
      <c r="G36" s="50">
        <f>Controls!$B$14*F36</f>
        <v>27.029112112979043</v>
      </c>
    </row>
    <row r="37" spans="1:7">
      <c r="A37" s="49" t="str">
        <f>'Selected forecast drivers'!A37</f>
        <v>SWB21</v>
      </c>
      <c r="B37" s="49" t="str">
        <f>'Selected forecast drivers'!B37</f>
        <v>SWB</v>
      </c>
      <c r="C37" s="49">
        <f>'Selected forecast drivers'!D37</f>
        <v>2021</v>
      </c>
      <c r="D37" s="50">
        <f>EXP(Coeffs!$C$12+(Coeffs!$C$11*'Selected forecast drivers'!$H37))</f>
        <v>8.5575530687738919</v>
      </c>
      <c r="E37" s="50">
        <f>EXP(Coeffs!$D$12+(Coeffs!$D$11*'Selected forecast drivers'!$H37))</f>
        <v>9.8156365658190694</v>
      </c>
      <c r="F37" s="50">
        <f t="shared" si="0"/>
        <v>9.1865948172964806</v>
      </c>
      <c r="G37" s="50">
        <f>Controls!$B$14*F37</f>
        <v>9.1865948172964806</v>
      </c>
    </row>
    <row r="38" spans="1:7">
      <c r="A38" s="49" t="str">
        <f>'Selected forecast drivers'!A38</f>
        <v>SWB22</v>
      </c>
      <c r="B38" s="49" t="str">
        <f>'Selected forecast drivers'!B38</f>
        <v>SWB</v>
      </c>
      <c r="C38" s="49">
        <f>'Selected forecast drivers'!D38</f>
        <v>2022</v>
      </c>
      <c r="D38" s="50">
        <f>EXP(Coeffs!$C$12+(Coeffs!$C$11*'Selected forecast drivers'!$H38))</f>
        <v>8.6634700493298382</v>
      </c>
      <c r="E38" s="50">
        <f>EXP(Coeffs!$D$12+(Coeffs!$D$11*'Selected forecast drivers'!$H38))</f>
        <v>9.9218801689182481</v>
      </c>
      <c r="F38" s="50">
        <f t="shared" si="0"/>
        <v>9.292675109124044</v>
      </c>
      <c r="G38" s="50">
        <f>Controls!$B$14*F38</f>
        <v>9.292675109124044</v>
      </c>
    </row>
    <row r="39" spans="1:7">
      <c r="A39" s="49" t="str">
        <f>'Selected forecast drivers'!A39</f>
        <v>SWB23</v>
      </c>
      <c r="B39" s="49" t="str">
        <f>'Selected forecast drivers'!B39</f>
        <v>SWB</v>
      </c>
      <c r="C39" s="49">
        <f>'Selected forecast drivers'!D39</f>
        <v>2023</v>
      </c>
      <c r="D39" s="50">
        <f>EXP(Coeffs!$C$12+(Coeffs!$C$11*'Selected forecast drivers'!$H39))</f>
        <v>8.387080211562342</v>
      </c>
      <c r="E39" s="50">
        <f>EXP(Coeffs!$D$12+(Coeffs!$D$11*'Selected forecast drivers'!$H39))</f>
        <v>9.6442920947251416</v>
      </c>
      <c r="F39" s="50">
        <f t="shared" ref="F39:F70" si="2">SUMPRODUCT($D$5:$E$5,$D39:$E39)</f>
        <v>9.0156861531437418</v>
      </c>
      <c r="G39" s="50">
        <f>Controls!$B$14*F39</f>
        <v>9.0156861531437418</v>
      </c>
    </row>
    <row r="40" spans="1:7">
      <c r="A40" s="49" t="str">
        <f>'Selected forecast drivers'!A40</f>
        <v>SWB24</v>
      </c>
      <c r="B40" s="49" t="str">
        <f>'Selected forecast drivers'!B40</f>
        <v>SWB</v>
      </c>
      <c r="C40" s="49">
        <f>'Selected forecast drivers'!D40</f>
        <v>2024</v>
      </c>
      <c r="D40" s="50">
        <f>EXP(Coeffs!$C$12+(Coeffs!$C$11*'Selected forecast drivers'!$H40))</f>
        <v>8.5575530687738919</v>
      </c>
      <c r="E40" s="50">
        <f>EXP(Coeffs!$D$12+(Coeffs!$D$11*'Selected forecast drivers'!$H40))</f>
        <v>9.8156365658190694</v>
      </c>
      <c r="F40" s="50">
        <f t="shared" si="2"/>
        <v>9.1865948172964806</v>
      </c>
      <c r="G40" s="50">
        <f>Controls!$B$14*F40</f>
        <v>9.1865948172964806</v>
      </c>
    </row>
    <row r="41" spans="1:7">
      <c r="A41" s="49" t="str">
        <f>'Selected forecast drivers'!A41</f>
        <v>SWB25</v>
      </c>
      <c r="B41" s="49" t="str">
        <f>'Selected forecast drivers'!B41</f>
        <v>SWB</v>
      </c>
      <c r="C41" s="49">
        <f>'Selected forecast drivers'!D41</f>
        <v>2025</v>
      </c>
      <c r="D41" s="50">
        <f>EXP(Coeffs!$C$12+(Coeffs!$C$11*'Selected forecast drivers'!$H41))</f>
        <v>8.3528154856045145</v>
      </c>
      <c r="E41" s="50">
        <f>EXP(Coeffs!$D$12+(Coeffs!$D$11*'Selected forecast drivers'!$H41))</f>
        <v>9.6097999613329392</v>
      </c>
      <c r="F41" s="50">
        <f t="shared" si="2"/>
        <v>8.9813077234687277</v>
      </c>
      <c r="G41" s="50">
        <f>Controls!$B$14*F41</f>
        <v>8.9813077234687277</v>
      </c>
    </row>
    <row r="42" spans="1:7">
      <c r="A42" s="49" t="str">
        <f>'Selected forecast drivers'!A42</f>
        <v>TMS21</v>
      </c>
      <c r="B42" s="49" t="str">
        <f>'Selected forecast drivers'!B42</f>
        <v>TMS</v>
      </c>
      <c r="C42" s="49">
        <f>'Selected forecast drivers'!D42</f>
        <v>2021</v>
      </c>
      <c r="D42" s="50">
        <f>EXP(Coeffs!$C$12+(Coeffs!$C$11*'Selected forecast drivers'!$H42))</f>
        <v>48.870150684221635</v>
      </c>
      <c r="E42" s="50">
        <f>EXP(Coeffs!$D$12+(Coeffs!$D$11*'Selected forecast drivers'!$H42))</f>
        <v>45.09927634343434</v>
      </c>
      <c r="F42" s="50">
        <f t="shared" si="2"/>
        <v>46.984713513827984</v>
      </c>
      <c r="G42" s="50">
        <f>Controls!$B$14*F42</f>
        <v>46.984713513827984</v>
      </c>
    </row>
    <row r="43" spans="1:7">
      <c r="A43" s="49" t="str">
        <f>'Selected forecast drivers'!A43</f>
        <v>TMS22</v>
      </c>
      <c r="B43" s="49" t="str">
        <f>'Selected forecast drivers'!B43</f>
        <v>TMS</v>
      </c>
      <c r="C43" s="49">
        <f>'Selected forecast drivers'!D43</f>
        <v>2022</v>
      </c>
      <c r="D43" s="50">
        <f>EXP(Coeffs!$C$12+(Coeffs!$C$11*'Selected forecast drivers'!$H43))</f>
        <v>46.073873989033537</v>
      </c>
      <c r="E43" s="50">
        <f>EXP(Coeffs!$D$12+(Coeffs!$D$11*'Selected forecast drivers'!$H43))</f>
        <v>42.832594476789609</v>
      </c>
      <c r="F43" s="50">
        <f t="shared" si="2"/>
        <v>44.453234232911569</v>
      </c>
      <c r="G43" s="50">
        <f>Controls!$B$14*F43</f>
        <v>44.453234232911569</v>
      </c>
    </row>
    <row r="44" spans="1:7">
      <c r="A44" s="49" t="str">
        <f>'Selected forecast drivers'!A44</f>
        <v>TMS23</v>
      </c>
      <c r="B44" s="49" t="str">
        <f>'Selected forecast drivers'!B44</f>
        <v>TMS</v>
      </c>
      <c r="C44" s="49">
        <f>'Selected forecast drivers'!D44</f>
        <v>2023</v>
      </c>
      <c r="D44" s="50">
        <f>EXP(Coeffs!$C$12+(Coeffs!$C$11*'Selected forecast drivers'!$H44))</f>
        <v>42.618518223401864</v>
      </c>
      <c r="E44" s="50">
        <f>EXP(Coeffs!$D$12+(Coeffs!$D$11*'Selected forecast drivers'!$H44))</f>
        <v>40.00770248207693</v>
      </c>
      <c r="F44" s="50">
        <f t="shared" si="2"/>
        <v>41.3131103527394</v>
      </c>
      <c r="G44" s="50">
        <f>Controls!$B$14*F44</f>
        <v>41.3131103527394</v>
      </c>
    </row>
    <row r="45" spans="1:7">
      <c r="A45" s="49" t="str">
        <f>'Selected forecast drivers'!A45</f>
        <v>TMS24</v>
      </c>
      <c r="B45" s="49" t="str">
        <f>'Selected forecast drivers'!B45</f>
        <v>TMS</v>
      </c>
      <c r="C45" s="49">
        <f>'Selected forecast drivers'!D45</f>
        <v>2024</v>
      </c>
      <c r="D45" s="50">
        <f>EXP(Coeffs!$C$12+(Coeffs!$C$11*'Selected forecast drivers'!$H45))</f>
        <v>41.333231623235015</v>
      </c>
      <c r="E45" s="50">
        <f>EXP(Coeffs!$D$12+(Coeffs!$D$11*'Selected forecast drivers'!$H45))</f>
        <v>38.949731993418979</v>
      </c>
      <c r="F45" s="50">
        <f t="shared" si="2"/>
        <v>40.141481808327001</v>
      </c>
      <c r="G45" s="50">
        <f>Controls!$B$14*F45</f>
        <v>40.141481808327001</v>
      </c>
    </row>
    <row r="46" spans="1:7">
      <c r="A46" s="49" t="str">
        <f>'Selected forecast drivers'!A46</f>
        <v>TMS25</v>
      </c>
      <c r="B46" s="49" t="str">
        <f>'Selected forecast drivers'!B46</f>
        <v>TMS</v>
      </c>
      <c r="C46" s="49">
        <f>'Selected forecast drivers'!D46</f>
        <v>2025</v>
      </c>
      <c r="D46" s="50">
        <f>EXP(Coeffs!$C$12+(Coeffs!$C$11*'Selected forecast drivers'!$H46))</f>
        <v>40.470187341211272</v>
      </c>
      <c r="E46" s="50">
        <f>EXP(Coeffs!$D$12+(Coeffs!$D$11*'Selected forecast drivers'!$H46))</f>
        <v>38.237025771332924</v>
      </c>
      <c r="F46" s="50">
        <f t="shared" si="2"/>
        <v>39.353606556272098</v>
      </c>
      <c r="G46" s="50">
        <f>Controls!$B$14*F46</f>
        <v>39.353606556272098</v>
      </c>
    </row>
    <row r="47" spans="1:7">
      <c r="A47" s="49" t="str">
        <f>'Selected forecast drivers'!A47</f>
        <v>WSH21</v>
      </c>
      <c r="B47" s="49" t="str">
        <f>'Selected forecast drivers'!B47</f>
        <v>WSH</v>
      </c>
      <c r="C47" s="49">
        <f>'Selected forecast drivers'!D47</f>
        <v>2021</v>
      </c>
      <c r="D47" s="50">
        <f>EXP(Coeffs!$C$12+(Coeffs!$C$11*'Selected forecast drivers'!$H47))</f>
        <v>8.1200479679706934</v>
      </c>
      <c r="E47" s="50">
        <f>EXP(Coeffs!$D$12+(Coeffs!$D$11*'Selected forecast drivers'!$H47))</f>
        <v>9.3750158059170303</v>
      </c>
      <c r="F47" s="50">
        <f t="shared" si="2"/>
        <v>8.747531886943861</v>
      </c>
      <c r="G47" s="50">
        <f>Controls!$B$14*F47</f>
        <v>8.747531886943861</v>
      </c>
    </row>
    <row r="48" spans="1:7">
      <c r="A48" s="49" t="str">
        <f>'Selected forecast drivers'!A48</f>
        <v>WSH22</v>
      </c>
      <c r="B48" s="49" t="str">
        <f>'Selected forecast drivers'!B48</f>
        <v>WSH</v>
      </c>
      <c r="C48" s="49">
        <f>'Selected forecast drivers'!D48</f>
        <v>2022</v>
      </c>
      <c r="D48" s="50">
        <f>EXP(Coeffs!$C$12+(Coeffs!$C$11*'Selected forecast drivers'!$H48))</f>
        <v>8.2578988625655771</v>
      </c>
      <c r="E48" s="50">
        <f>EXP(Coeffs!$D$12+(Coeffs!$D$11*'Selected forecast drivers'!$H48))</f>
        <v>9.514160906104852</v>
      </c>
      <c r="F48" s="50">
        <f t="shared" si="2"/>
        <v>8.8860298843352155</v>
      </c>
      <c r="G48" s="50">
        <f>Controls!$B$14*F48</f>
        <v>8.8860298843352155</v>
      </c>
    </row>
    <row r="49" spans="1:7">
      <c r="A49" s="49" t="str">
        <f>'Selected forecast drivers'!A49</f>
        <v>WSH23</v>
      </c>
      <c r="B49" s="49" t="str">
        <f>'Selected forecast drivers'!B49</f>
        <v>WSH</v>
      </c>
      <c r="C49" s="49">
        <f>'Selected forecast drivers'!D49</f>
        <v>2023</v>
      </c>
      <c r="D49" s="50">
        <f>EXP(Coeffs!$C$12+(Coeffs!$C$11*'Selected forecast drivers'!$H49))</f>
        <v>8.3939341992257273</v>
      </c>
      <c r="E49" s="50">
        <f>EXP(Coeffs!$D$12+(Coeffs!$D$11*'Selected forecast drivers'!$H49))</f>
        <v>9.6511894578580772</v>
      </c>
      <c r="F49" s="50">
        <f t="shared" si="2"/>
        <v>9.0225618285419031</v>
      </c>
      <c r="G49" s="50">
        <f>Controls!$B$14*F49</f>
        <v>9.0225618285419031</v>
      </c>
    </row>
    <row r="50" spans="1:7">
      <c r="A50" s="49" t="str">
        <f>'Selected forecast drivers'!A50</f>
        <v>WSH24</v>
      </c>
      <c r="B50" s="49" t="str">
        <f>'Selected forecast drivers'!B50</f>
        <v>WSH</v>
      </c>
      <c r="C50" s="49">
        <f>'Selected forecast drivers'!D50</f>
        <v>2024</v>
      </c>
      <c r="D50" s="50">
        <f>EXP(Coeffs!$C$12+(Coeffs!$C$11*'Selected forecast drivers'!$H50))</f>
        <v>8.4262505238911078</v>
      </c>
      <c r="E50" s="50">
        <f>EXP(Coeffs!$D$12+(Coeffs!$D$11*'Selected forecast drivers'!$H50))</f>
        <v>9.6837008371630571</v>
      </c>
      <c r="F50" s="50">
        <f t="shared" si="2"/>
        <v>9.0549756805270825</v>
      </c>
      <c r="G50" s="50">
        <f>Controls!$B$14*F50</f>
        <v>9.0549756805270825</v>
      </c>
    </row>
    <row r="51" spans="1:7">
      <c r="A51" s="49" t="str">
        <f>'Selected forecast drivers'!A51</f>
        <v>WSH25</v>
      </c>
      <c r="B51" s="49" t="str">
        <f>'Selected forecast drivers'!B51</f>
        <v>WSH</v>
      </c>
      <c r="C51" s="49">
        <f>'Selected forecast drivers'!D51</f>
        <v>2025</v>
      </c>
      <c r="D51" s="50">
        <f>EXP(Coeffs!$C$12+(Coeffs!$C$11*'Selected forecast drivers'!$H51))</f>
        <v>8.4566152834741874</v>
      </c>
      <c r="E51" s="50">
        <f>EXP(Coeffs!$D$12+(Coeffs!$D$11*'Selected forecast drivers'!$H51))</f>
        <v>9.7142346933403196</v>
      </c>
      <c r="F51" s="50">
        <f t="shared" si="2"/>
        <v>9.0854249884072544</v>
      </c>
      <c r="G51" s="50">
        <f>Controls!$B$14*F51</f>
        <v>9.0854249884072544</v>
      </c>
    </row>
    <row r="52" spans="1:7">
      <c r="A52" s="49" t="str">
        <f>'Selected forecast drivers'!A52</f>
        <v>WSX21</v>
      </c>
      <c r="B52" s="49" t="str">
        <f>'Selected forecast drivers'!B52</f>
        <v>WSX</v>
      </c>
      <c r="C52" s="49">
        <f>'Selected forecast drivers'!D52</f>
        <v>2021</v>
      </c>
      <c r="D52" s="50">
        <f>EXP(Coeffs!$C$12+(Coeffs!$C$11*'Selected forecast drivers'!$H52))</f>
        <v>6.6485094803101967</v>
      </c>
      <c r="E52" s="50">
        <f>EXP(Coeffs!$D$12+(Coeffs!$D$11*'Selected forecast drivers'!$H52))</f>
        <v>7.8700137992058439</v>
      </c>
      <c r="F52" s="50">
        <f t="shared" si="2"/>
        <v>7.2592616397580203</v>
      </c>
      <c r="G52" s="50">
        <f>Controls!$B$14*F52</f>
        <v>7.2592616397580203</v>
      </c>
    </row>
    <row r="53" spans="1:7">
      <c r="A53" s="49" t="str">
        <f>'Selected forecast drivers'!A53</f>
        <v>WSX22</v>
      </c>
      <c r="B53" s="49" t="str">
        <f>'Selected forecast drivers'!B53</f>
        <v>WSX</v>
      </c>
      <c r="C53" s="49">
        <f>'Selected forecast drivers'!D53</f>
        <v>2022</v>
      </c>
      <c r="D53" s="50">
        <f>EXP(Coeffs!$C$12+(Coeffs!$C$11*'Selected forecast drivers'!$H53))</f>
        <v>6.174744452691721</v>
      </c>
      <c r="E53" s="50">
        <f>EXP(Coeffs!$D$12+(Coeffs!$D$11*'Selected forecast drivers'!$H53))</f>
        <v>7.3769570084399438</v>
      </c>
      <c r="F53" s="50">
        <f t="shared" si="2"/>
        <v>6.775850730565832</v>
      </c>
      <c r="G53" s="50">
        <f>Controls!$B$14*F53</f>
        <v>6.775850730565832</v>
      </c>
    </row>
    <row r="54" spans="1:7">
      <c r="A54" s="49" t="str">
        <f>'Selected forecast drivers'!A54</f>
        <v>WSX23</v>
      </c>
      <c r="B54" s="49" t="str">
        <f>'Selected forecast drivers'!B54</f>
        <v>WSX</v>
      </c>
      <c r="C54" s="49">
        <f>'Selected forecast drivers'!D54</f>
        <v>2023</v>
      </c>
      <c r="D54" s="50">
        <f>EXP(Coeffs!$C$12+(Coeffs!$C$11*'Selected forecast drivers'!$H54))</f>
        <v>5.9118628916839739</v>
      </c>
      <c r="E54" s="50">
        <f>EXP(Coeffs!$D$12+(Coeffs!$D$11*'Selected forecast drivers'!$H54))</f>
        <v>7.1013489902296518</v>
      </c>
      <c r="F54" s="50">
        <f t="shared" si="2"/>
        <v>6.5066059409568133</v>
      </c>
      <c r="G54" s="50">
        <f>Controls!$B$14*F54</f>
        <v>6.5066059409568133</v>
      </c>
    </row>
    <row r="55" spans="1:7">
      <c r="A55" s="49" t="str">
        <f>'Selected forecast drivers'!A55</f>
        <v>WSX24</v>
      </c>
      <c r="B55" s="49" t="str">
        <f>'Selected forecast drivers'!B55</f>
        <v>WSX</v>
      </c>
      <c r="C55" s="49">
        <f>'Selected forecast drivers'!D55</f>
        <v>2024</v>
      </c>
      <c r="D55" s="50">
        <f>EXP(Coeffs!$C$12+(Coeffs!$C$11*'Selected forecast drivers'!$H55))</f>
        <v>5.7424277111162185</v>
      </c>
      <c r="E55" s="50">
        <f>EXP(Coeffs!$D$12+(Coeffs!$D$11*'Selected forecast drivers'!$H55))</f>
        <v>6.9229029279946692</v>
      </c>
      <c r="F55" s="50">
        <f t="shared" si="2"/>
        <v>6.3326653195554439</v>
      </c>
      <c r="G55" s="50">
        <f>Controls!$B$14*F55</f>
        <v>6.3326653195554439</v>
      </c>
    </row>
    <row r="56" spans="1:7">
      <c r="A56" s="49" t="str">
        <f>'Selected forecast drivers'!A56</f>
        <v>WSX25</v>
      </c>
      <c r="B56" s="49" t="str">
        <f>'Selected forecast drivers'!B56</f>
        <v>WSX</v>
      </c>
      <c r="C56" s="49">
        <f>'Selected forecast drivers'!D56</f>
        <v>2025</v>
      </c>
      <c r="D56" s="50">
        <f>EXP(Coeffs!$C$12+(Coeffs!$C$11*'Selected forecast drivers'!$H56))</f>
        <v>5.4759832204114858</v>
      </c>
      <c r="E56" s="50">
        <f>EXP(Coeffs!$D$12+(Coeffs!$D$11*'Selected forecast drivers'!$H56))</f>
        <v>6.6409478792286887</v>
      </c>
      <c r="F56" s="50">
        <f t="shared" si="2"/>
        <v>6.0584655498200872</v>
      </c>
      <c r="G56" s="50">
        <f>Controls!$B$14*F56</f>
        <v>6.0584655498200872</v>
      </c>
    </row>
    <row r="57" spans="1:7">
      <c r="A57" s="49" t="str">
        <f>'Selected forecast drivers'!A57</f>
        <v>YKY21</v>
      </c>
      <c r="B57" s="49" t="str">
        <f>'Selected forecast drivers'!B57</f>
        <v>YKY</v>
      </c>
      <c r="C57" s="49">
        <f>'Selected forecast drivers'!D57</f>
        <v>2021</v>
      </c>
      <c r="D57" s="50">
        <f>EXP(Coeffs!$C$12+(Coeffs!$C$11*'Selected forecast drivers'!$H57))</f>
        <v>23.125446041631871</v>
      </c>
      <c r="E57" s="50">
        <f>EXP(Coeffs!$D$12+(Coeffs!$D$11*'Selected forecast drivers'!$H57))</f>
        <v>23.430063253219839</v>
      </c>
      <c r="F57" s="50">
        <f t="shared" si="2"/>
        <v>23.277754647425855</v>
      </c>
      <c r="G57" s="50">
        <f>Controls!$B$14*F57</f>
        <v>23.277754647425855</v>
      </c>
    </row>
    <row r="58" spans="1:7">
      <c r="A58" s="49" t="str">
        <f>'Selected forecast drivers'!A58</f>
        <v>YKY22</v>
      </c>
      <c r="B58" s="49" t="str">
        <f>'Selected forecast drivers'!B58</f>
        <v>YKY</v>
      </c>
      <c r="C58" s="49">
        <f>'Selected forecast drivers'!D58</f>
        <v>2022</v>
      </c>
      <c r="D58" s="50">
        <f>EXP(Coeffs!$C$12+(Coeffs!$C$11*'Selected forecast drivers'!$H58))</f>
        <v>20.860403173481533</v>
      </c>
      <c r="E58" s="50">
        <f>EXP(Coeffs!$D$12+(Coeffs!$D$11*'Selected forecast drivers'!$H58))</f>
        <v>21.40885603193173</v>
      </c>
      <c r="F58" s="50">
        <f t="shared" si="2"/>
        <v>21.134629602706632</v>
      </c>
      <c r="G58" s="50">
        <f>Controls!$B$14*F58</f>
        <v>21.134629602706632</v>
      </c>
    </row>
    <row r="59" spans="1:7">
      <c r="A59" s="49" t="str">
        <f>'Selected forecast drivers'!A59</f>
        <v>YKY23</v>
      </c>
      <c r="B59" s="49" t="str">
        <f>'Selected forecast drivers'!B59</f>
        <v>YKY</v>
      </c>
      <c r="C59" s="49">
        <f>'Selected forecast drivers'!D59</f>
        <v>2023</v>
      </c>
      <c r="D59" s="50">
        <f>EXP(Coeffs!$C$12+(Coeffs!$C$11*'Selected forecast drivers'!$H59))</f>
        <v>20.964635792721719</v>
      </c>
      <c r="E59" s="50">
        <f>EXP(Coeffs!$D$12+(Coeffs!$D$11*'Selected forecast drivers'!$H59))</f>
        <v>21.502448647090624</v>
      </c>
      <c r="F59" s="50">
        <f t="shared" si="2"/>
        <v>21.23354221990617</v>
      </c>
      <c r="G59" s="50">
        <f>Controls!$B$14*F59</f>
        <v>21.23354221990617</v>
      </c>
    </row>
    <row r="60" spans="1:7">
      <c r="A60" s="49" t="str">
        <f>'Selected forecast drivers'!A60</f>
        <v>YKY24</v>
      </c>
      <c r="B60" s="49" t="str">
        <f>'Selected forecast drivers'!B60</f>
        <v>YKY</v>
      </c>
      <c r="C60" s="49">
        <f>'Selected forecast drivers'!D60</f>
        <v>2024</v>
      </c>
      <c r="D60" s="50">
        <f>EXP(Coeffs!$C$12+(Coeffs!$C$11*'Selected forecast drivers'!$H60))</f>
        <v>20.927305346146959</v>
      </c>
      <c r="E60" s="50">
        <f>EXP(Coeffs!$D$12+(Coeffs!$D$11*'Selected forecast drivers'!$H60))</f>
        <v>21.468935560616803</v>
      </c>
      <c r="F60" s="50">
        <f t="shared" si="2"/>
        <v>21.198120453381883</v>
      </c>
      <c r="G60" s="50">
        <f>Controls!$B$14*F60</f>
        <v>21.198120453381883</v>
      </c>
    </row>
    <row r="61" spans="1:7">
      <c r="A61" s="49" t="str">
        <f>'Selected forecast drivers'!A61</f>
        <v>YKY25</v>
      </c>
      <c r="B61" s="49" t="str">
        <f>'Selected forecast drivers'!B61</f>
        <v>YKY</v>
      </c>
      <c r="C61" s="49">
        <f>'Selected forecast drivers'!D61</f>
        <v>2025</v>
      </c>
      <c r="D61" s="50">
        <f>EXP(Coeffs!$C$12+(Coeffs!$C$11*'Selected forecast drivers'!$H61))</f>
        <v>20.971538518756393</v>
      </c>
      <c r="E61" s="50">
        <f>EXP(Coeffs!$D$12+(Coeffs!$D$11*'Selected forecast drivers'!$H61))</f>
        <v>21.50864469357705</v>
      </c>
      <c r="F61" s="50">
        <f t="shared" si="2"/>
        <v>21.240091606166722</v>
      </c>
      <c r="G61" s="50">
        <f>Controls!$B$14*F61</f>
        <v>21.240091606166722</v>
      </c>
    </row>
    <row r="62" spans="1:7">
      <c r="A62" s="49" t="str">
        <f>'Selected forecast drivers'!A62</f>
        <v>AFW21</v>
      </c>
      <c r="B62" s="49" t="str">
        <f>'Selected forecast drivers'!B62</f>
        <v>AFW</v>
      </c>
      <c r="C62" s="49">
        <f>'Selected forecast drivers'!D62</f>
        <v>2021</v>
      </c>
      <c r="D62" s="50">
        <f>EXP(Coeffs!$C$12+(Coeffs!$C$11*'Selected forecast drivers'!$H62))</f>
        <v>14.798625787043706</v>
      </c>
      <c r="E62" s="50">
        <f>EXP(Coeffs!$D$12+(Coeffs!$D$11*'Selected forecast drivers'!$H62))</f>
        <v>15.852635856601223</v>
      </c>
      <c r="F62" s="50">
        <f t="shared" si="2"/>
        <v>15.325630821822465</v>
      </c>
      <c r="G62" s="50">
        <f>Controls!$B$14*F62</f>
        <v>15.325630821822465</v>
      </c>
    </row>
    <row r="63" spans="1:7">
      <c r="A63" s="49" t="str">
        <f>'Selected forecast drivers'!A63</f>
        <v>AFW22</v>
      </c>
      <c r="B63" s="49" t="str">
        <f>'Selected forecast drivers'!B63</f>
        <v>AFW</v>
      </c>
      <c r="C63" s="49">
        <f>'Selected forecast drivers'!D63</f>
        <v>2022</v>
      </c>
      <c r="D63" s="50">
        <f>EXP(Coeffs!$C$12+(Coeffs!$C$11*'Selected forecast drivers'!$H63))</f>
        <v>15.688789224969803</v>
      </c>
      <c r="E63" s="50">
        <f>EXP(Coeffs!$D$12+(Coeffs!$D$11*'Selected forecast drivers'!$H63))</f>
        <v>16.684121322103671</v>
      </c>
      <c r="F63" s="50">
        <f t="shared" si="2"/>
        <v>16.186455273536737</v>
      </c>
      <c r="G63" s="50">
        <f>Controls!$B$14*F63</f>
        <v>16.186455273536737</v>
      </c>
    </row>
    <row r="64" spans="1:7">
      <c r="A64" s="49" t="str">
        <f>'Selected forecast drivers'!A64</f>
        <v>AFW23</v>
      </c>
      <c r="B64" s="49" t="str">
        <f>'Selected forecast drivers'!B64</f>
        <v>AFW</v>
      </c>
      <c r="C64" s="49">
        <f>'Selected forecast drivers'!D64</f>
        <v>2023</v>
      </c>
      <c r="D64" s="50">
        <f>EXP(Coeffs!$C$12+(Coeffs!$C$11*'Selected forecast drivers'!$H64))</f>
        <v>15.698176562387975</v>
      </c>
      <c r="E64" s="50">
        <f>EXP(Coeffs!$D$12+(Coeffs!$D$11*'Selected forecast drivers'!$H64))</f>
        <v>16.692857922704988</v>
      </c>
      <c r="F64" s="50">
        <f t="shared" si="2"/>
        <v>16.19551724254648</v>
      </c>
      <c r="G64" s="50">
        <f>Controls!$B$14*F64</f>
        <v>16.19551724254648</v>
      </c>
    </row>
    <row r="65" spans="1:7">
      <c r="A65" s="49" t="str">
        <f>'Selected forecast drivers'!A65</f>
        <v>AFW24</v>
      </c>
      <c r="B65" s="49" t="str">
        <f>'Selected forecast drivers'!B65</f>
        <v>AFW</v>
      </c>
      <c r="C65" s="49">
        <f>'Selected forecast drivers'!D65</f>
        <v>2024</v>
      </c>
      <c r="D65" s="50">
        <f>EXP(Coeffs!$C$12+(Coeffs!$C$11*'Selected forecast drivers'!$H65))</f>
        <v>15.707163567751669</v>
      </c>
      <c r="E65" s="50">
        <f>EXP(Coeffs!$D$12+(Coeffs!$D$11*'Selected forecast drivers'!$H65))</f>
        <v>16.701221331629888</v>
      </c>
      <c r="F65" s="50">
        <f t="shared" si="2"/>
        <v>16.20419244969078</v>
      </c>
      <c r="G65" s="50">
        <f>Controls!$B$14*F65</f>
        <v>16.20419244969078</v>
      </c>
    </row>
    <row r="66" spans="1:7">
      <c r="A66" s="49" t="str">
        <f>'Selected forecast drivers'!A66</f>
        <v>AFW25</v>
      </c>
      <c r="B66" s="49" t="str">
        <f>'Selected forecast drivers'!B66</f>
        <v>AFW</v>
      </c>
      <c r="C66" s="49">
        <f>'Selected forecast drivers'!D66</f>
        <v>2025</v>
      </c>
      <c r="D66" s="50">
        <f>EXP(Coeffs!$C$12+(Coeffs!$C$11*'Selected forecast drivers'!$H66))</f>
        <v>15.715784053929255</v>
      </c>
      <c r="E66" s="50">
        <f>EXP(Coeffs!$D$12+(Coeffs!$D$11*'Selected forecast drivers'!$H66))</f>
        <v>16.709243092464376</v>
      </c>
      <c r="F66" s="50">
        <f t="shared" si="2"/>
        <v>16.212513573196816</v>
      </c>
      <c r="G66" s="50">
        <f>Controls!$B$14*F66</f>
        <v>16.212513573196816</v>
      </c>
    </row>
    <row r="67" spans="1:7">
      <c r="A67" s="49" t="str">
        <f>'Selected forecast drivers'!A67</f>
        <v>BRL21</v>
      </c>
      <c r="B67" s="49" t="str">
        <f>'Selected forecast drivers'!B67</f>
        <v>BRL</v>
      </c>
      <c r="C67" s="49">
        <f>'Selected forecast drivers'!D67</f>
        <v>2021</v>
      </c>
      <c r="D67" s="50">
        <f>EXP(Coeffs!$C$12+(Coeffs!$C$11*'Selected forecast drivers'!$H67))</f>
        <v>5.9808723892198232</v>
      </c>
      <c r="E67" s="50">
        <f>EXP(Coeffs!$D$12+(Coeffs!$D$11*'Selected forecast drivers'!$H67))</f>
        <v>7.1738447525942073</v>
      </c>
      <c r="F67" s="50">
        <f t="shared" si="2"/>
        <v>6.5773585709070153</v>
      </c>
      <c r="G67" s="50">
        <f>Controls!$B$14*F67</f>
        <v>6.5773585709070153</v>
      </c>
    </row>
    <row r="68" spans="1:7">
      <c r="A68" s="49" t="str">
        <f>'Selected forecast drivers'!A68</f>
        <v>BRL22</v>
      </c>
      <c r="B68" s="49" t="str">
        <f>'Selected forecast drivers'!B68</f>
        <v>BRL</v>
      </c>
      <c r="C68" s="49">
        <f>'Selected forecast drivers'!D68</f>
        <v>2022</v>
      </c>
      <c r="D68" s="50">
        <f>EXP(Coeffs!$C$12+(Coeffs!$C$11*'Selected forecast drivers'!$H68))</f>
        <v>5.1314736138711545</v>
      </c>
      <c r="E68" s="50">
        <f>EXP(Coeffs!$D$12+(Coeffs!$D$11*'Selected forecast drivers'!$H68))</f>
        <v>6.2738221313406211</v>
      </c>
      <c r="F68" s="50">
        <f t="shared" si="2"/>
        <v>5.7026478726058878</v>
      </c>
      <c r="G68" s="50">
        <f>Controls!$B$14*F68</f>
        <v>5.7026478726058878</v>
      </c>
    </row>
    <row r="69" spans="1:7">
      <c r="A69" s="49" t="str">
        <f>'Selected forecast drivers'!A69</f>
        <v>BRL23</v>
      </c>
      <c r="B69" s="49" t="str">
        <f>'Selected forecast drivers'!B69</f>
        <v>BRL</v>
      </c>
      <c r="C69" s="49">
        <f>'Selected forecast drivers'!D69</f>
        <v>2023</v>
      </c>
      <c r="D69" s="50">
        <f>EXP(Coeffs!$C$12+(Coeffs!$C$11*'Selected forecast drivers'!$H69))</f>
        <v>5.0659669428817118</v>
      </c>
      <c r="E69" s="50">
        <f>EXP(Coeffs!$D$12+(Coeffs!$D$11*'Selected forecast drivers'!$H69))</f>
        <v>6.203672483961908</v>
      </c>
      <c r="F69" s="50">
        <f t="shared" si="2"/>
        <v>5.6348197134218099</v>
      </c>
      <c r="G69" s="50">
        <f>Controls!$B$14*F69</f>
        <v>5.6348197134218099</v>
      </c>
    </row>
    <row r="70" spans="1:7">
      <c r="A70" s="49" t="str">
        <f>'Selected forecast drivers'!A70</f>
        <v>BRL24</v>
      </c>
      <c r="B70" s="49" t="str">
        <f>'Selected forecast drivers'!B70</f>
        <v>BRL</v>
      </c>
      <c r="C70" s="49">
        <f>'Selected forecast drivers'!D70</f>
        <v>2024</v>
      </c>
      <c r="D70" s="50">
        <f>EXP(Coeffs!$C$12+(Coeffs!$C$11*'Selected forecast drivers'!$H70))</f>
        <v>4.958801487163381</v>
      </c>
      <c r="E70" s="50">
        <f>EXP(Coeffs!$D$12+(Coeffs!$D$11*'Selected forecast drivers'!$H70))</f>
        <v>6.0886662943108618</v>
      </c>
      <c r="F70" s="50">
        <f t="shared" si="2"/>
        <v>5.5237338907371214</v>
      </c>
      <c r="G70" s="50">
        <f>Controls!$B$14*F70</f>
        <v>5.5237338907371214</v>
      </c>
    </row>
    <row r="71" spans="1:7">
      <c r="A71" s="49" t="str">
        <f>'Selected forecast drivers'!A71</f>
        <v>BRL25</v>
      </c>
      <c r="B71" s="49" t="str">
        <f>'Selected forecast drivers'!B71</f>
        <v>BRL</v>
      </c>
      <c r="C71" s="49">
        <f>'Selected forecast drivers'!D71</f>
        <v>2025</v>
      </c>
      <c r="D71" s="50">
        <f>EXP(Coeffs!$C$12+(Coeffs!$C$11*'Selected forecast drivers'!$H71))</f>
        <v>4.8470472656148269</v>
      </c>
      <c r="E71" s="50">
        <f>EXP(Coeffs!$D$12+(Coeffs!$D$11*'Selected forecast drivers'!$H71))</f>
        <v>5.9684045998340158</v>
      </c>
      <c r="F71" s="50">
        <f t="shared" ref="F71:F91" si="3">SUMPRODUCT($D$5:$E$5,$D71:$E71)</f>
        <v>5.4077259327244214</v>
      </c>
      <c r="G71" s="50">
        <f>Controls!$B$14*F71</f>
        <v>5.4077259327244214</v>
      </c>
    </row>
    <row r="72" spans="1:7">
      <c r="A72" s="49" t="str">
        <f>'Selected forecast drivers'!A72</f>
        <v>PRT21</v>
      </c>
      <c r="B72" s="49" t="str">
        <f>'Selected forecast drivers'!B72</f>
        <v>PRT</v>
      </c>
      <c r="C72" s="49">
        <f>'Selected forecast drivers'!D72</f>
        <v>2021</v>
      </c>
      <c r="D72" s="50">
        <f>EXP(Coeffs!$C$12+(Coeffs!$C$11*'Selected forecast drivers'!$H72))</f>
        <v>1.5871850959208775</v>
      </c>
      <c r="E72" s="50">
        <f>EXP(Coeffs!$D$12+(Coeffs!$D$11*'Selected forecast drivers'!$H72))</f>
        <v>2.2465839795404396</v>
      </c>
      <c r="F72" s="50">
        <f t="shared" si="3"/>
        <v>1.9168845377306587</v>
      </c>
      <c r="G72" s="50">
        <f>Controls!$B$14*F72</f>
        <v>1.9168845377306587</v>
      </c>
    </row>
    <row r="73" spans="1:7">
      <c r="A73" s="49" t="str">
        <f>'Selected forecast drivers'!A73</f>
        <v>PRT22</v>
      </c>
      <c r="B73" s="49" t="str">
        <f>'Selected forecast drivers'!B73</f>
        <v>PRT</v>
      </c>
      <c r="C73" s="49">
        <f>'Selected forecast drivers'!D73</f>
        <v>2022</v>
      </c>
      <c r="D73" s="50">
        <f>EXP(Coeffs!$C$12+(Coeffs!$C$11*'Selected forecast drivers'!$H73))</f>
        <v>1.5589408184925797</v>
      </c>
      <c r="E73" s="50">
        <f>EXP(Coeffs!$D$12+(Coeffs!$D$11*'Selected forecast drivers'!$H73))</f>
        <v>2.2115561545554918</v>
      </c>
      <c r="F73" s="50">
        <f t="shared" si="3"/>
        <v>1.8852484865240358</v>
      </c>
      <c r="G73" s="50">
        <f>Controls!$B$14*F73</f>
        <v>1.8852484865240358</v>
      </c>
    </row>
    <row r="74" spans="1:7">
      <c r="A74" s="49" t="str">
        <f>'Selected forecast drivers'!A74</f>
        <v>PRT23</v>
      </c>
      <c r="B74" s="49" t="str">
        <f>'Selected forecast drivers'!B74</f>
        <v>PRT</v>
      </c>
      <c r="C74" s="49">
        <f>'Selected forecast drivers'!D74</f>
        <v>2023</v>
      </c>
      <c r="D74" s="50">
        <f>EXP(Coeffs!$C$12+(Coeffs!$C$11*'Selected forecast drivers'!$H74))</f>
        <v>1.5704112632589338</v>
      </c>
      <c r="E74" s="50">
        <f>EXP(Coeffs!$D$12+(Coeffs!$D$11*'Selected forecast drivers'!$H74))</f>
        <v>2.225790976716215</v>
      </c>
      <c r="F74" s="50">
        <f t="shared" si="3"/>
        <v>1.8981011199875744</v>
      </c>
      <c r="G74" s="50">
        <f>Controls!$B$14*F74</f>
        <v>1.8981011199875744</v>
      </c>
    </row>
    <row r="75" spans="1:7">
      <c r="A75" s="49" t="str">
        <f>'Selected forecast drivers'!A75</f>
        <v>PRT24</v>
      </c>
      <c r="B75" s="49" t="str">
        <f>'Selected forecast drivers'!B75</f>
        <v>PRT</v>
      </c>
      <c r="C75" s="49">
        <f>'Selected forecast drivers'!D75</f>
        <v>2024</v>
      </c>
      <c r="D75" s="50">
        <f>EXP(Coeffs!$C$12+(Coeffs!$C$11*'Selected forecast drivers'!$H75))</f>
        <v>1.6030862393100132</v>
      </c>
      <c r="E75" s="50">
        <f>EXP(Coeffs!$D$12+(Coeffs!$D$11*'Selected forecast drivers'!$H75))</f>
        <v>2.2662698761301487</v>
      </c>
      <c r="F75" s="50">
        <f t="shared" si="3"/>
        <v>1.9346780577200811</v>
      </c>
      <c r="G75" s="50">
        <f>Controls!$B$14*F75</f>
        <v>1.9346780577200811</v>
      </c>
    </row>
    <row r="76" spans="1:7">
      <c r="A76" s="49" t="str">
        <f>'Selected forecast drivers'!A76</f>
        <v>PRT25</v>
      </c>
      <c r="B76" s="49" t="str">
        <f>'Selected forecast drivers'!B76</f>
        <v>PRT</v>
      </c>
      <c r="C76" s="49">
        <f>'Selected forecast drivers'!D76</f>
        <v>2025</v>
      </c>
      <c r="D76" s="50">
        <f>EXP(Coeffs!$C$12+(Coeffs!$C$11*'Selected forecast drivers'!$H76))</f>
        <v>1.659702286345381</v>
      </c>
      <c r="E76" s="50">
        <f>EXP(Coeffs!$D$12+(Coeffs!$D$11*'Selected forecast drivers'!$H76))</f>
        <v>2.3361656452511155</v>
      </c>
      <c r="F76" s="50">
        <f t="shared" si="3"/>
        <v>1.9979339657982482</v>
      </c>
      <c r="G76" s="50">
        <f>Controls!$B$14*F76</f>
        <v>1.9979339657982482</v>
      </c>
    </row>
    <row r="77" spans="1:7">
      <c r="A77" s="49" t="str">
        <f>'Selected forecast drivers'!A77</f>
        <v>SES21</v>
      </c>
      <c r="B77" s="49" t="str">
        <f>'Selected forecast drivers'!B77</f>
        <v>SES</v>
      </c>
      <c r="C77" s="49">
        <f>'Selected forecast drivers'!D77</f>
        <v>2021</v>
      </c>
      <c r="D77" s="50">
        <f>EXP(Coeffs!$C$12+(Coeffs!$C$11*'Selected forecast drivers'!$H77))</f>
        <v>2.0242087984486985</v>
      </c>
      <c r="E77" s="50">
        <f>EXP(Coeffs!$D$12+(Coeffs!$D$11*'Selected forecast drivers'!$H77))</f>
        <v>2.77950201964389</v>
      </c>
      <c r="F77" s="50">
        <f t="shared" si="3"/>
        <v>2.401855409046294</v>
      </c>
      <c r="G77" s="50">
        <f>Controls!$B$14*F77</f>
        <v>2.401855409046294</v>
      </c>
    </row>
    <row r="78" spans="1:7">
      <c r="A78" s="49" t="str">
        <f>'Selected forecast drivers'!A78</f>
        <v>SES22</v>
      </c>
      <c r="B78" s="49" t="str">
        <f>'Selected forecast drivers'!B78</f>
        <v>SES</v>
      </c>
      <c r="C78" s="49">
        <f>'Selected forecast drivers'!D78</f>
        <v>2022</v>
      </c>
      <c r="D78" s="50">
        <f>EXP(Coeffs!$C$12+(Coeffs!$C$11*'Selected forecast drivers'!$H78))</f>
        <v>2.0618849774739738</v>
      </c>
      <c r="E78" s="50">
        <f>EXP(Coeffs!$D$12+(Coeffs!$D$11*'Selected forecast drivers'!$H78))</f>
        <v>2.8247271308883324</v>
      </c>
      <c r="F78" s="50">
        <f t="shared" si="3"/>
        <v>2.4433060541811531</v>
      </c>
      <c r="G78" s="50">
        <f>Controls!$B$14*F78</f>
        <v>2.4433060541811531</v>
      </c>
    </row>
    <row r="79" spans="1:7">
      <c r="A79" s="49" t="str">
        <f>'Selected forecast drivers'!A79</f>
        <v>SES23</v>
      </c>
      <c r="B79" s="49" t="str">
        <f>'Selected forecast drivers'!B79</f>
        <v>SES</v>
      </c>
      <c r="C79" s="49">
        <f>'Selected forecast drivers'!D79</f>
        <v>2023</v>
      </c>
      <c r="D79" s="50">
        <f>EXP(Coeffs!$C$12+(Coeffs!$C$11*'Selected forecast drivers'!$H79))</f>
        <v>2.144562105422374</v>
      </c>
      <c r="E79" s="50">
        <f>EXP(Coeffs!$D$12+(Coeffs!$D$11*'Selected forecast drivers'!$H79))</f>
        <v>2.9236115220047498</v>
      </c>
      <c r="F79" s="50">
        <f t="shared" si="3"/>
        <v>2.5340868137135617</v>
      </c>
      <c r="G79" s="50">
        <f>Controls!$B$14*F79</f>
        <v>2.5340868137135617</v>
      </c>
    </row>
    <row r="80" spans="1:7">
      <c r="A80" s="49" t="str">
        <f>'Selected forecast drivers'!A80</f>
        <v>SES24</v>
      </c>
      <c r="B80" s="49" t="str">
        <f>'Selected forecast drivers'!B80</f>
        <v>SES</v>
      </c>
      <c r="C80" s="49">
        <f>'Selected forecast drivers'!D80</f>
        <v>2024</v>
      </c>
      <c r="D80" s="50">
        <f>EXP(Coeffs!$C$12+(Coeffs!$C$11*'Selected forecast drivers'!$H80))</f>
        <v>2.2157149180437683</v>
      </c>
      <c r="E80" s="50">
        <f>EXP(Coeffs!$D$12+(Coeffs!$D$11*'Selected forecast drivers'!$H80))</f>
        <v>3.0083315999745079</v>
      </c>
      <c r="F80" s="50">
        <f t="shared" si="3"/>
        <v>2.6120232590091383</v>
      </c>
      <c r="G80" s="50">
        <f>Controls!$B$14*F80</f>
        <v>2.6120232590091383</v>
      </c>
    </row>
    <row r="81" spans="1:7">
      <c r="A81" s="49" t="str">
        <f>'Selected forecast drivers'!A81</f>
        <v>SES25</v>
      </c>
      <c r="B81" s="49" t="str">
        <f>'Selected forecast drivers'!B81</f>
        <v>SES</v>
      </c>
      <c r="C81" s="49">
        <f>'Selected forecast drivers'!D81</f>
        <v>2025</v>
      </c>
      <c r="D81" s="50">
        <f>EXP(Coeffs!$C$12+(Coeffs!$C$11*'Selected forecast drivers'!$H81))</f>
        <v>2.2085030444056084</v>
      </c>
      <c r="E81" s="50">
        <f>EXP(Coeffs!$D$12+(Coeffs!$D$11*'Selected forecast drivers'!$H81))</f>
        <v>2.9997602228920246</v>
      </c>
      <c r="F81" s="50">
        <f t="shared" si="3"/>
        <v>2.6041316336488167</v>
      </c>
      <c r="G81" s="50">
        <f>Controls!$B$14*F81</f>
        <v>2.6041316336488167</v>
      </c>
    </row>
    <row r="82" spans="1:7">
      <c r="A82" s="49" t="str">
        <f>'Selected forecast drivers'!A82</f>
        <v>SEW21</v>
      </c>
      <c r="B82" s="49" t="str">
        <f>'Selected forecast drivers'!B82</f>
        <v>SEW</v>
      </c>
      <c r="C82" s="49">
        <f>'Selected forecast drivers'!D82</f>
        <v>2021</v>
      </c>
      <c r="D82" s="50">
        <f>EXP(Coeffs!$C$12+(Coeffs!$C$11*'Selected forecast drivers'!$H82))</f>
        <v>8.2578988625655771</v>
      </c>
      <c r="E82" s="50">
        <f>EXP(Coeffs!$D$12+(Coeffs!$D$11*'Selected forecast drivers'!$H82))</f>
        <v>9.514160906104852</v>
      </c>
      <c r="F82" s="50">
        <f t="shared" si="3"/>
        <v>8.8860298843352155</v>
      </c>
      <c r="G82" s="50">
        <f>Controls!$B$14*F82</f>
        <v>8.8860298843352155</v>
      </c>
    </row>
    <row r="83" spans="1:7">
      <c r="A83" s="49" t="str">
        <f>'Selected forecast drivers'!A83</f>
        <v>SEW22</v>
      </c>
      <c r="B83" s="49" t="str">
        <f>'Selected forecast drivers'!B83</f>
        <v>SEW</v>
      </c>
      <c r="C83" s="49">
        <f>'Selected forecast drivers'!D83</f>
        <v>2022</v>
      </c>
      <c r="D83" s="50">
        <f>EXP(Coeffs!$C$12+(Coeffs!$C$11*'Selected forecast drivers'!$H83))</f>
        <v>8.3900175923519189</v>
      </c>
      <c r="E83" s="50">
        <f>EXP(Coeffs!$D$12+(Coeffs!$D$11*'Selected forecast drivers'!$H83))</f>
        <v>9.6472481508421541</v>
      </c>
      <c r="F83" s="50">
        <f t="shared" si="3"/>
        <v>9.0186328715970365</v>
      </c>
      <c r="G83" s="50">
        <f>Controls!$B$14*F83</f>
        <v>9.0186328715970365</v>
      </c>
    </row>
    <row r="84" spans="1:7">
      <c r="A84" s="49" t="str">
        <f>'Selected forecast drivers'!A84</f>
        <v>SEW23</v>
      </c>
      <c r="B84" s="49" t="str">
        <f>'Selected forecast drivers'!B84</f>
        <v>SEW</v>
      </c>
      <c r="C84" s="49">
        <f>'Selected forecast drivers'!D84</f>
        <v>2023</v>
      </c>
      <c r="D84" s="50">
        <f>EXP(Coeffs!$C$12+(Coeffs!$C$11*'Selected forecast drivers'!$H84))</f>
        <v>8.5242255968586687</v>
      </c>
      <c r="E84" s="50">
        <f>EXP(Coeffs!$D$12+(Coeffs!$D$11*'Selected forecast drivers'!$H84))</f>
        <v>9.7821724552101195</v>
      </c>
      <c r="F84" s="50">
        <f t="shared" si="3"/>
        <v>9.1531990260343932</v>
      </c>
      <c r="G84" s="50">
        <f>Controls!$B$14*F84</f>
        <v>9.1531990260343932</v>
      </c>
    </row>
    <row r="85" spans="1:7">
      <c r="A85" s="49" t="str">
        <f>'Selected forecast drivers'!A85</f>
        <v>SEW24</v>
      </c>
      <c r="B85" s="49" t="str">
        <f>'Selected forecast drivers'!B85</f>
        <v>SEW</v>
      </c>
      <c r="C85" s="49">
        <f>'Selected forecast drivers'!D85</f>
        <v>2024</v>
      </c>
      <c r="D85" s="50">
        <f>EXP(Coeffs!$C$12+(Coeffs!$C$11*'Selected forecast drivers'!$H85))</f>
        <v>8.6605268223593832</v>
      </c>
      <c r="E85" s="50">
        <f>EXP(Coeffs!$D$12+(Coeffs!$D$11*'Selected forecast drivers'!$H85))</f>
        <v>9.9189300642945906</v>
      </c>
      <c r="F85" s="50">
        <f t="shared" si="3"/>
        <v>9.289728443326986</v>
      </c>
      <c r="G85" s="50">
        <f>Controls!$B$14*F85</f>
        <v>9.289728443326986</v>
      </c>
    </row>
    <row r="86" spans="1:7">
      <c r="A86" s="49" t="str">
        <f>'Selected forecast drivers'!A86</f>
        <v>SEW25</v>
      </c>
      <c r="B86" s="49" t="str">
        <f>'Selected forecast drivers'!B86</f>
        <v>SEW</v>
      </c>
      <c r="C86" s="49">
        <f>'Selected forecast drivers'!D86</f>
        <v>2025</v>
      </c>
      <c r="D86" s="50">
        <f>EXP(Coeffs!$C$12+(Coeffs!$C$11*'Selected forecast drivers'!$H86))</f>
        <v>8.7989251913934776</v>
      </c>
      <c r="E86" s="50">
        <f>EXP(Coeffs!$D$12+(Coeffs!$D$11*'Selected forecast drivers'!$H86))</f>
        <v>10.057517258684333</v>
      </c>
      <c r="F86" s="50">
        <f t="shared" si="3"/>
        <v>9.4282212250389055</v>
      </c>
      <c r="G86" s="50">
        <f>Controls!$B$14*F86</f>
        <v>9.4282212250389055</v>
      </c>
    </row>
    <row r="87" spans="1:7">
      <c r="A87" s="49" t="str">
        <f>'Selected forecast drivers'!A87</f>
        <v>SSC21</v>
      </c>
      <c r="B87" s="49" t="str">
        <f>'Selected forecast drivers'!B87</f>
        <v>SSC</v>
      </c>
      <c r="C87" s="49">
        <f>'Selected forecast drivers'!D87</f>
        <v>2021</v>
      </c>
      <c r="D87" s="50">
        <f>EXP(Coeffs!$C$12+(Coeffs!$C$11*'Selected forecast drivers'!$H87))</f>
        <v>8.209698654119693</v>
      </c>
      <c r="E87" s="50">
        <f>EXP(Coeffs!$D$12+(Coeffs!$D$11*'Selected forecast drivers'!$H87))</f>
        <v>9.4655413807619002</v>
      </c>
      <c r="F87" s="50">
        <f t="shared" si="3"/>
        <v>8.8376200174407966</v>
      </c>
      <c r="G87" s="50">
        <f>Controls!$B$14*F87</f>
        <v>8.8376200174407966</v>
      </c>
    </row>
    <row r="88" spans="1:7">
      <c r="A88" s="49" t="str">
        <f>'Selected forecast drivers'!A88</f>
        <v>SSC22</v>
      </c>
      <c r="B88" s="49" t="str">
        <f>'Selected forecast drivers'!B88</f>
        <v>SSC</v>
      </c>
      <c r="C88" s="49">
        <f>'Selected forecast drivers'!D88</f>
        <v>2022</v>
      </c>
      <c r="D88" s="50">
        <f>EXP(Coeffs!$C$12+(Coeffs!$C$11*'Selected forecast drivers'!$H88))</f>
        <v>7.7496320714734672</v>
      </c>
      <c r="E88" s="50">
        <f>EXP(Coeffs!$D$12+(Coeffs!$D$11*'Selected forecast drivers'!$H88))</f>
        <v>8.9996440675503173</v>
      </c>
      <c r="F88" s="50">
        <f t="shared" si="3"/>
        <v>8.3746380695118923</v>
      </c>
      <c r="G88" s="50">
        <f>Controls!$B$14*F88</f>
        <v>8.3746380695118923</v>
      </c>
    </row>
    <row r="89" spans="1:7">
      <c r="A89" s="49" t="str">
        <f>'Selected forecast drivers'!A89</f>
        <v>SSC23</v>
      </c>
      <c r="B89" s="49" t="str">
        <f>'Selected forecast drivers'!B89</f>
        <v>SSC</v>
      </c>
      <c r="C89" s="49">
        <f>'Selected forecast drivers'!D89</f>
        <v>2023</v>
      </c>
      <c r="D89" s="50">
        <f>EXP(Coeffs!$C$12+(Coeffs!$C$11*'Selected forecast drivers'!$H89))</f>
        <v>7.3753937815985831</v>
      </c>
      <c r="E89" s="50">
        <f>EXP(Coeffs!$D$12+(Coeffs!$D$11*'Selected forecast drivers'!$H89))</f>
        <v>8.6181165207906272</v>
      </c>
      <c r="F89" s="50">
        <f t="shared" si="3"/>
        <v>7.9967551511946056</v>
      </c>
      <c r="G89" s="50">
        <f>Controls!$B$14*F89</f>
        <v>7.9967551511946056</v>
      </c>
    </row>
    <row r="90" spans="1:7">
      <c r="A90" s="49" t="str">
        <f>'Selected forecast drivers'!A90</f>
        <v>SSC24</v>
      </c>
      <c r="B90" s="49" t="str">
        <f>'Selected forecast drivers'!B90</f>
        <v>SSC</v>
      </c>
      <c r="C90" s="49">
        <f>'Selected forecast drivers'!D90</f>
        <v>2024</v>
      </c>
      <c r="D90" s="50">
        <f>EXP(Coeffs!$C$12+(Coeffs!$C$11*'Selected forecast drivers'!$H90))</f>
        <v>7.1491538782749418</v>
      </c>
      <c r="E90" s="50">
        <f>EXP(Coeffs!$D$12+(Coeffs!$D$11*'Selected forecast drivers'!$H90))</f>
        <v>8.3863028865736755</v>
      </c>
      <c r="F90" s="50">
        <f t="shared" si="3"/>
        <v>7.7677283824243091</v>
      </c>
      <c r="G90" s="50">
        <f>Controls!$B$14*F90</f>
        <v>7.7677283824243091</v>
      </c>
    </row>
    <row r="91" spans="1:7">
      <c r="A91" s="49" t="str">
        <f>'Selected forecast drivers'!A91</f>
        <v>SSC25</v>
      </c>
      <c r="B91" s="49" t="str">
        <f>'Selected forecast drivers'!B91</f>
        <v>SSC</v>
      </c>
      <c r="C91" s="49">
        <f>'Selected forecast drivers'!D91</f>
        <v>2025</v>
      </c>
      <c r="D91" s="50">
        <f>EXP(Coeffs!$C$12+(Coeffs!$C$11*'Selected forecast drivers'!$H91))</f>
        <v>6.9564676740985272</v>
      </c>
      <c r="E91" s="50">
        <f>EXP(Coeffs!$D$12+(Coeffs!$D$11*'Selected forecast drivers'!$H91))</f>
        <v>8.1881473531044762</v>
      </c>
      <c r="F91" s="50">
        <f t="shared" si="3"/>
        <v>7.5723075136015012</v>
      </c>
      <c r="G91" s="50">
        <f>Controls!$B$14*F91</f>
        <v>7.5723075136015012</v>
      </c>
    </row>
    <row r="93" spans="1:7">
      <c r="D93" s="55"/>
      <c r="E93" s="55"/>
    </row>
    <row r="94" spans="1:7">
      <c r="D94" s="56"/>
      <c r="E94" s="56"/>
    </row>
    <row r="95" spans="1:7">
      <c r="D95" s="57"/>
      <c r="E95" s="57"/>
    </row>
  </sheetData>
  <mergeCells count="2">
    <mergeCell ref="F4:F6"/>
    <mergeCell ref="G4:G6"/>
  </mergeCells>
  <conditionalFormatting sqref="M7:M2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50"/>
  <sheetViews>
    <sheetView showGridLines="0" zoomScale="80" zoomScaleNormal="80" workbookViewId="0"/>
  </sheetViews>
  <sheetFormatPr defaultColWidth="9" defaultRowHeight="12.75"/>
  <cols>
    <col min="1" max="1" width="9" style="3"/>
    <col min="2" max="2" width="25.25" style="3" customWidth="1"/>
    <col min="3" max="3" width="24.625" style="3" customWidth="1"/>
    <col min="4" max="5" width="22.875" style="3" customWidth="1"/>
    <col min="6" max="6" width="2.75" style="3" customWidth="1"/>
    <col min="7" max="8" width="9" style="3"/>
    <col min="9" max="9" width="2.75" style="3" customWidth="1"/>
    <col min="10" max="10" width="13.25" style="3" customWidth="1"/>
    <col min="11" max="11" width="13.375" style="3" customWidth="1"/>
    <col min="12" max="12" width="15.375" style="3" customWidth="1"/>
    <col min="13" max="16384" width="9" style="3"/>
  </cols>
  <sheetData>
    <row r="1" spans="1:12" ht="20.65">
      <c r="A1" s="194" t="s">
        <v>154</v>
      </c>
    </row>
    <row r="4" spans="1:12" ht="14.25" customHeight="1">
      <c r="J4" s="33" t="s">
        <v>5</v>
      </c>
      <c r="K4" s="34"/>
      <c r="L4" s="258" t="s">
        <v>55</v>
      </c>
    </row>
    <row r="5" spans="1:12" ht="13.5" customHeight="1">
      <c r="J5" s="35">
        <f>Controls!B20</f>
        <v>0.5</v>
      </c>
      <c r="K5" s="35">
        <f>Controls!C20</f>
        <v>0.5</v>
      </c>
      <c r="L5" s="258"/>
    </row>
    <row r="6" spans="1:12" ht="51">
      <c r="A6" s="202" t="s">
        <v>6</v>
      </c>
      <c r="B6" s="203" t="s">
        <v>100</v>
      </c>
      <c r="C6" s="203" t="s">
        <v>101</v>
      </c>
      <c r="D6" s="204" t="s">
        <v>148</v>
      </c>
      <c r="E6" s="204" t="s">
        <v>149</v>
      </c>
      <c r="G6" s="206" t="s">
        <v>83</v>
      </c>
      <c r="H6" s="206" t="s">
        <v>87</v>
      </c>
      <c r="J6" s="36" t="s">
        <v>84</v>
      </c>
      <c r="K6" s="36" t="s">
        <v>85</v>
      </c>
      <c r="L6" s="258"/>
    </row>
    <row r="7" spans="1:12" ht="13.15">
      <c r="A7" s="21" t="s">
        <v>8</v>
      </c>
      <c r="B7" s="37">
        <f>SUMIFS(Data!$H$8:$H$252,Data!$B$8:$B$252,'Modelled unit costs'!$A7,Data!$C$8:$C$252,"&lt;=2018")</f>
        <v>151.2525752506493</v>
      </c>
      <c r="C7" s="37">
        <f>SUMIFS(Data!$H$8:$H$252,Data!$B$8:$B$252,'Modelled unit costs'!$A7,Data!$C$8:$C$252,"&gt;2020")</f>
        <v>278.01986076356769</v>
      </c>
      <c r="D7" s="37">
        <f>SUMIFS(Data!$L$8:$L$252,Data!$B$8:$B$252,'Modelled unit costs'!$A7,Data!$C$8:$C$252,"&lt;=2018")</f>
        <v>115.785</v>
      </c>
      <c r="E7" s="37">
        <f>SUMIFS(Data!$L$8:$L$252,Data!$B$8:$B$252,'Modelled unit costs'!$A7,Data!$C$8:$C$252,"&gt;2020")</f>
        <v>183.81</v>
      </c>
      <c r="G7" s="38">
        <f>IF(ISERROR(B7/D7),"",B7/D7)</f>
        <v>1.3063227123604033</v>
      </c>
      <c r="H7" s="38">
        <f>IF(ISERROR(C7/E7),"",C7/E7)</f>
        <v>1.5125393654511055</v>
      </c>
      <c r="J7" s="37">
        <f>$G$29*E7</f>
        <v>162.95427117158624</v>
      </c>
      <c r="K7" s="37">
        <f t="shared" ref="K7:K27" si="0">$H$29*E7</f>
        <v>209.30754567694441</v>
      </c>
      <c r="L7" s="230">
        <f>SUMPRODUCT($J$5:$K$5,$J7:$K7)</f>
        <v>186.13090842426533</v>
      </c>
    </row>
    <row r="8" spans="1:12" ht="13.15">
      <c r="A8" s="21" t="s">
        <v>9</v>
      </c>
      <c r="B8" s="37">
        <f>SUMIFS(Data!$H$8:$H$252,Data!$B$8:$B$252,'Modelled unit costs'!$A8,Data!$C$8:$C$252,"&lt;=2018")</f>
        <v>72.133041041706733</v>
      </c>
      <c r="C8" s="37">
        <f>SUMIFS(Data!$H$8:$H$252,Data!$B$8:$B$252,'Modelled unit costs'!$A8,Data!$C$8:$C$252,"&gt;2020")</f>
        <v>89.183999999999997</v>
      </c>
      <c r="D8" s="37">
        <f>SUMIFS(Data!$L$8:$L$252,Data!$B$8:$B$252,'Modelled unit costs'!$A8,Data!$C$8:$C$252,"&lt;=2018")</f>
        <v>81.364999999999995</v>
      </c>
      <c r="E8" s="37">
        <f>SUMIFS(Data!$L$8:$L$252,Data!$B$8:$B$252,'Modelled unit costs'!$A8,Data!$C$8:$C$252,"&gt;2020")</f>
        <v>91.180999999999997</v>
      </c>
      <c r="G8" s="38">
        <f t="shared" ref="G8:G27" si="1">IF(ISERROR(B8/D8),"",B8/D8)</f>
        <v>0.8865364842586706</v>
      </c>
      <c r="H8" s="38">
        <f t="shared" ref="H8:H27" si="2">IF(ISERROR(C8/E8),"",C8/E8)</f>
        <v>0.9780985073644729</v>
      </c>
      <c r="J8" s="37">
        <f t="shared" ref="J8:J20" si="3">$G$29*E8</f>
        <v>80.835283171189843</v>
      </c>
      <c r="K8" s="37">
        <f t="shared" si="0"/>
        <v>103.82934183324883</v>
      </c>
      <c r="L8" s="230">
        <f t="shared" ref="L8:L27" si="4">SUMPRODUCT($J$5:$K$5,$J8:$K8)</f>
        <v>92.332312502219338</v>
      </c>
    </row>
    <row r="9" spans="1:12" ht="13.15">
      <c r="A9" s="21" t="s">
        <v>10</v>
      </c>
      <c r="B9" s="37">
        <f>SUMIFS(Data!$H$8:$H$252,Data!$B$8:$B$252,'Modelled unit costs'!$A9,Data!$C$8:$C$252,"&lt;=2018")</f>
        <v>158.05834771495034</v>
      </c>
      <c r="C9" s="37">
        <f>SUMIFS(Data!$H$8:$H$252,Data!$B$8:$B$252,'Modelled unit costs'!$A9,Data!$C$8:$C$252,"&gt;2020")</f>
        <v>141.62277906741321</v>
      </c>
      <c r="D9" s="37">
        <f>SUMIFS(Data!$L$8:$L$252,Data!$B$8:$B$252,'Modelled unit costs'!$A9,Data!$C$8:$C$252,"&lt;=2018")</f>
        <v>118.465</v>
      </c>
      <c r="E9" s="37">
        <f>SUMIFS(Data!$L$8:$L$252,Data!$B$8:$B$252,'Modelled unit costs'!$A9,Data!$C$8:$C$252,"&gt;2020")</f>
        <v>139.22300000000001</v>
      </c>
      <c r="G9" s="38">
        <f>IF(ISERROR(B9/D9),"",B9/D9)</f>
        <v>1.3342197924699306</v>
      </c>
      <c r="H9" s="38">
        <f t="shared" si="2"/>
        <v>1.0172369440926656</v>
      </c>
      <c r="J9" s="37">
        <f>$G$29*E9</f>
        <v>123.42626894794491</v>
      </c>
      <c r="K9" s="37">
        <f t="shared" si="0"/>
        <v>158.53557712736648</v>
      </c>
      <c r="L9" s="230">
        <f t="shared" si="4"/>
        <v>140.98092303765569</v>
      </c>
    </row>
    <row r="10" spans="1:12" ht="13.15">
      <c r="A10" s="21" t="s">
        <v>11</v>
      </c>
      <c r="B10" s="37">
        <f>SUMIFS(Data!$H$8:$H$252,Data!$B$8:$B$252,'Modelled unit costs'!$A10,Data!$C$8:$C$252,"&lt;=2018")</f>
        <v>40.884060910033348</v>
      </c>
      <c r="C10" s="37">
        <f>SUMIFS(Data!$H$8:$H$252,Data!$B$8:$B$252,'Modelled unit costs'!$A10,Data!$C$8:$C$252,"&gt;2020")</f>
        <v>102.663</v>
      </c>
      <c r="D10" s="37">
        <f>SUMIFS(Data!$L$8:$L$252,Data!$B$8:$B$252,'Modelled unit costs'!$A10,Data!$C$8:$C$252,"&lt;=2018")</f>
        <v>47.655000000000001</v>
      </c>
      <c r="E10" s="37">
        <f>SUMIFS(Data!$L$8:$L$252,Data!$B$8:$B$252,'Modelled unit costs'!$A10,Data!$C$8:$C$252,"&gt;2020")</f>
        <v>64.963000000000008</v>
      </c>
      <c r="G10" s="38">
        <f t="shared" si="1"/>
        <v>0.85791755135942394</v>
      </c>
      <c r="H10" s="38">
        <f t="shared" si="2"/>
        <v>1.5803303418869199</v>
      </c>
      <c r="J10" s="37">
        <f>$G$29*E10</f>
        <v>57.592069626896027</v>
      </c>
      <c r="K10" s="37">
        <f t="shared" si="0"/>
        <v>73.974463249068833</v>
      </c>
      <c r="L10" s="230">
        <f t="shared" si="4"/>
        <v>65.783266437982434</v>
      </c>
    </row>
    <row r="11" spans="1:12" ht="13.15">
      <c r="A11" s="21" t="s">
        <v>15</v>
      </c>
      <c r="B11" s="37">
        <f>SUMIFS(Data!$H$8:$H$252,Data!$B$8:$B$252,'Modelled unit costs'!$A11,Data!$C$8:$C$252,"&lt;=2018")</f>
        <v>239.52877162877067</v>
      </c>
      <c r="C11" s="37">
        <f>SUMIFS(Data!$H$8:$H$252,Data!$B$8:$B$252,'Modelled unit costs'!$A11,Data!$C$8:$C$252,"&gt;2020")</f>
        <v>250.33482647010399</v>
      </c>
      <c r="D11" s="37">
        <f>SUMIFS(Data!$L$8:$L$252,Data!$B$8:$B$252,'Modelled unit costs'!$A11,Data!$C$8:$C$252,"&lt;=2018")</f>
        <v>220.23899999999998</v>
      </c>
      <c r="E11" s="37">
        <f>SUMIFS(Data!$L$8:$L$252,Data!$B$8:$B$252,'Modelled unit costs'!$A11,Data!$C$8:$C$252,"&gt;2020")</f>
        <v>215.53599999999997</v>
      </c>
      <c r="G11" s="38">
        <f t="shared" si="1"/>
        <v>1.0875856302869642</v>
      </c>
      <c r="H11" s="38">
        <f t="shared" si="2"/>
        <v>1.1614525019955089</v>
      </c>
      <c r="J11" s="37">
        <f t="shared" si="3"/>
        <v>191.08052767117681</v>
      </c>
      <c r="K11" s="37">
        <f t="shared" si="0"/>
        <v>245.43447671522705</v>
      </c>
      <c r="L11" s="230">
        <f t="shared" si="4"/>
        <v>218.25750219320193</v>
      </c>
    </row>
    <row r="12" spans="1:12" ht="13.15">
      <c r="A12" s="21" t="s">
        <v>16</v>
      </c>
      <c r="B12" s="37">
        <f>SUMIFS(Data!$H$8:$H$252,Data!$B$8:$B$252,'Modelled unit costs'!$A12,Data!$C$8:$C$252,"&lt;=2018")</f>
        <v>36.177773938457484</v>
      </c>
      <c r="C12" s="37">
        <f>SUMIFS(Data!$H$8:$H$252,Data!$B$8:$B$252,'Modelled unit costs'!$A12,Data!$C$8:$C$252,"&gt;2020")</f>
        <v>51.667000000000002</v>
      </c>
      <c r="D12" s="37">
        <f>SUMIFS(Data!$L$8:$L$252,Data!$B$8:$B$252,'Modelled unit costs'!$A12,Data!$C$8:$C$252,"&lt;=2018")</f>
        <v>48.264000000000003</v>
      </c>
      <c r="E12" s="37">
        <f>SUMIFS(Data!$L$8:$L$252,Data!$B$8:$B$252,'Modelled unit costs'!$A12,Data!$C$8:$C$252,"&gt;2020")</f>
        <v>45.373000000000005</v>
      </c>
      <c r="G12" s="38">
        <f t="shared" si="1"/>
        <v>0.7495809286105064</v>
      </c>
      <c r="H12" s="38">
        <f t="shared" si="2"/>
        <v>1.1387168580433296</v>
      </c>
      <c r="J12" s="37">
        <f t="shared" si="3"/>
        <v>40.224819900268663</v>
      </c>
      <c r="K12" s="37">
        <f>$H$29*E12</f>
        <v>51.666999999999994</v>
      </c>
      <c r="L12" s="230">
        <f t="shared" si="4"/>
        <v>45.945909950134329</v>
      </c>
    </row>
    <row r="13" spans="1:12" ht="13.15">
      <c r="A13" s="21" t="s">
        <v>17</v>
      </c>
      <c r="B13" s="37">
        <f>SUMIFS(Data!$H$8:$H$252,Data!$B$8:$B$252,'Modelled unit costs'!$A13,Data!$C$8:$C$252,"&lt;=2018")</f>
        <v>30.635166809260131</v>
      </c>
      <c r="C13" s="37">
        <f>SUMIFS(Data!$H$8:$H$252,Data!$B$8:$B$252,'Modelled unit costs'!$A13,Data!$C$8:$C$252,"&gt;2020")</f>
        <v>16.8923076923077</v>
      </c>
      <c r="D13" s="37">
        <f>SUMIFS(Data!$L$8:$L$252,Data!$B$8:$B$252,'Modelled unit costs'!$A13,Data!$C$8:$C$252,"&lt;=2018")</f>
        <v>37.784000000000006</v>
      </c>
      <c r="E13" s="37">
        <f>SUMIFS(Data!$L$8:$L$252,Data!$B$8:$B$252,'Modelled unit costs'!$A13,Data!$C$8:$C$252,"&gt;2020")</f>
        <v>33.296999999999997</v>
      </c>
      <c r="G13" s="38">
        <f t="shared" si="1"/>
        <v>0.81079734303567985</v>
      </c>
      <c r="H13" s="38">
        <f t="shared" si="2"/>
        <v>0.50732221198028959</v>
      </c>
      <c r="J13" s="37">
        <f t="shared" si="3"/>
        <v>29.519005316360953</v>
      </c>
      <c r="K13" s="37">
        <f t="shared" si="0"/>
        <v>37.915855222268739</v>
      </c>
      <c r="L13" s="230">
        <f t="shared" si="4"/>
        <v>33.717430269314846</v>
      </c>
    </row>
    <row r="14" spans="1:12" ht="13.15">
      <c r="A14" s="21" t="s">
        <v>18</v>
      </c>
      <c r="B14" s="37">
        <f>SUMIFS(Data!$H$8:$H$252,Data!$B$8:$B$252,'Modelled unit costs'!$A14,Data!$C$8:$C$252,"&lt;=2018")</f>
        <v>46.739904943447733</v>
      </c>
      <c r="C14" s="37">
        <f>SUMIFS(Data!$H$8:$H$252,Data!$B$8:$B$252,'Modelled unit costs'!$A14,Data!$C$8:$C$252,"&gt;2020")</f>
        <v>40.899000000000001</v>
      </c>
      <c r="D14" s="37">
        <f>SUMIFS(Data!$L$8:$L$252,Data!$B$8:$B$252,'Modelled unit costs'!$A14,Data!$C$8:$C$252,"&lt;=2018")</f>
        <v>89.042000000000002</v>
      </c>
      <c r="E14" s="37">
        <f>SUMIFS(Data!$L$8:$L$252,Data!$B$8:$B$252,'Modelled unit costs'!$A14,Data!$C$8:$C$252,"&gt;2020")</f>
        <v>109.78145451406081</v>
      </c>
      <c r="G14" s="38">
        <f t="shared" si="1"/>
        <v>0.52491975633350252</v>
      </c>
      <c r="H14" s="38">
        <f t="shared" si="2"/>
        <v>0.37254926327070714</v>
      </c>
      <c r="J14" s="37">
        <f t="shared" si="3"/>
        <v>97.32526472169863</v>
      </c>
      <c r="K14" s="37">
        <f t="shared" si="0"/>
        <v>125.00999295567803</v>
      </c>
      <c r="L14" s="230">
        <f t="shared" si="4"/>
        <v>111.16762883868833</v>
      </c>
    </row>
    <row r="15" spans="1:12" ht="13.15">
      <c r="A15" s="21" t="s">
        <v>19</v>
      </c>
      <c r="B15" s="37">
        <f>SUMIFS(Data!$H$8:$H$252,Data!$B$8:$B$252,'Modelled unit costs'!$A15,Data!$C$8:$C$252,"&lt;=2018")</f>
        <v>48.004755321755923</v>
      </c>
      <c r="C15" s="37">
        <f>SUMIFS(Data!$H$8:$H$252,Data!$B$8:$B$252,'Modelled unit costs'!$A15,Data!$C$8:$C$252,"&gt;2020")</f>
        <v>53.841999999999999</v>
      </c>
      <c r="D15" s="37">
        <f>SUMIFS(Data!$L$8:$L$252,Data!$B$8:$B$252,'Modelled unit costs'!$A15,Data!$C$8:$C$252,"&lt;=2018")</f>
        <v>97.3</v>
      </c>
      <c r="E15" s="37">
        <f>SUMIFS(Data!$L$8:$L$252,Data!$B$8:$B$252,'Modelled unit costs'!$A15,Data!$C$8:$C$252,"&gt;2020")</f>
        <v>81.336931151717479</v>
      </c>
      <c r="G15" s="38">
        <f t="shared" si="1"/>
        <v>0.4933685027929694</v>
      </c>
      <c r="H15" s="38">
        <f t="shared" si="2"/>
        <v>0.66196252105416564</v>
      </c>
      <c r="J15" s="37">
        <f t="shared" si="3"/>
        <v>72.108156983633151</v>
      </c>
      <c r="K15" s="37">
        <f t="shared" si="0"/>
        <v>92.61973468397035</v>
      </c>
      <c r="L15" s="230">
        <f t="shared" si="4"/>
        <v>82.36394583380175</v>
      </c>
    </row>
    <row r="16" spans="1:12" ht="13.15">
      <c r="A16" s="21" t="s">
        <v>20</v>
      </c>
      <c r="B16" s="37">
        <f>SUMIFS(Data!$H$8:$H$252,Data!$B$8:$B$252,'Modelled unit costs'!$A16,Data!$C$8:$C$252,"&lt;=2018")</f>
        <v>37.978703430632521</v>
      </c>
      <c r="C16" s="37">
        <f>SUMIFS(Data!$H$8:$H$252,Data!$B$8:$B$252,'Modelled unit costs'!$A16,Data!$C$8:$C$252,"&gt;2020")</f>
        <v>26.768999999999998</v>
      </c>
      <c r="D16" s="37">
        <f>SUMIFS(Data!$L$8:$L$252,Data!$B$8:$B$252,'Modelled unit costs'!$A16,Data!$C$8:$C$252,"&lt;=2018")</f>
        <v>25.642999999999997</v>
      </c>
      <c r="E16" s="37">
        <f>SUMIFS(Data!$L$8:$L$252,Data!$B$8:$B$252,'Modelled unit costs'!$A16,Data!$C$8:$C$252,"&gt;2020")</f>
        <v>29.138999999999999</v>
      </c>
      <c r="G16" s="38">
        <f>IF(ISERROR(B16/D16),"",B16/D16)</f>
        <v>1.4810553925294436</v>
      </c>
      <c r="H16" s="38">
        <f t="shared" si="2"/>
        <v>0.91866570575517348</v>
      </c>
      <c r="J16" s="37">
        <f t="shared" si="3"/>
        <v>25.832786614813401</v>
      </c>
      <c r="K16" s="37">
        <f t="shared" si="0"/>
        <v>33.181070526524579</v>
      </c>
      <c r="L16" s="230">
        <f t="shared" si="4"/>
        <v>29.50692857066899</v>
      </c>
    </row>
    <row r="17" spans="1:12" ht="13.15">
      <c r="A17" s="21" t="s">
        <v>23</v>
      </c>
      <c r="B17" s="37">
        <f>SUMIFS(Data!$H$8:$H$252,Data!$B$8:$B$252,'Modelled unit costs'!$A17,Data!$C$8:$C$252,"&lt;=2018")</f>
        <v>8.4391125541682275</v>
      </c>
      <c r="C17" s="37">
        <f>SUMIFS(Data!$H$8:$H$252,Data!$B$8:$B$252,'Modelled unit costs'!$A17,Data!$C$8:$C$252,"&gt;2020")</f>
        <v>5.1649999999999991</v>
      </c>
      <c r="D17" s="37">
        <f>SUMIFS(Data!$L$8:$L$252,Data!$B$8:$B$252,'Modelled unit costs'!$A17,Data!$C$8:$C$252,"&lt;=2018")</f>
        <v>14.368</v>
      </c>
      <c r="E17" s="37">
        <f>SUMIFS(Data!$L$8:$L$252,Data!$B$8:$B$252,'Modelled unit costs'!$A17,Data!$C$8:$C$252,"&gt;2020")</f>
        <v>9.6289999999999996</v>
      </c>
      <c r="G17" s="38">
        <f t="shared" si="1"/>
        <v>0.5873547156297485</v>
      </c>
      <c r="H17" s="38">
        <f t="shared" si="2"/>
        <v>0.53640045695295457</v>
      </c>
      <c r="J17" s="37">
        <f t="shared" si="3"/>
        <v>8.5364598069267394</v>
      </c>
      <c r="K17" s="37">
        <f t="shared" si="0"/>
        <v>10.96470462609922</v>
      </c>
      <c r="L17" s="230">
        <f t="shared" si="4"/>
        <v>9.7505822165129796</v>
      </c>
    </row>
    <row r="18" spans="1:12" ht="13.15">
      <c r="A18" s="21" t="s">
        <v>24</v>
      </c>
      <c r="B18" s="37">
        <f>SUMIFS(Data!$H$8:$H$252,Data!$B$8:$B$252,'Modelled unit costs'!$A18,Data!$C$8:$C$252,"&lt;=2018")</f>
        <v>6.4198376683923346</v>
      </c>
      <c r="C18" s="37">
        <f>SUMIFS(Data!$H$8:$H$252,Data!$B$8:$B$252,'Modelled unit costs'!$A18,Data!$C$8:$C$252,"&gt;2020")</f>
        <v>9.4009999999999998</v>
      </c>
      <c r="D18" s="37">
        <f>SUMIFS(Data!$L$8:$L$252,Data!$B$8:$B$252,'Modelled unit costs'!$A18,Data!$C$8:$C$252,"&lt;=2018")</f>
        <v>13.385999999999999</v>
      </c>
      <c r="E18" s="37">
        <f>SUMIFS(Data!$L$8:$L$252,Data!$B$8:$B$252,'Modelled unit costs'!$A18,Data!$C$8:$C$252,"&gt;2020")</f>
        <v>12.629</v>
      </c>
      <c r="G18" s="38">
        <f t="shared" si="1"/>
        <v>0.47959343107667229</v>
      </c>
      <c r="H18" s="38">
        <f t="shared" si="2"/>
        <v>0.74439781455380472</v>
      </c>
      <c r="J18" s="37">
        <f t="shared" si="3"/>
        <v>11.196069259702751</v>
      </c>
      <c r="K18" s="37">
        <f t="shared" si="0"/>
        <v>14.380855200229208</v>
      </c>
      <c r="L18" s="230">
        <f t="shared" si="4"/>
        <v>12.78846222996598</v>
      </c>
    </row>
    <row r="19" spans="1:12" ht="13.15">
      <c r="A19" s="21" t="s">
        <v>25</v>
      </c>
      <c r="B19" s="37">
        <f>SUMIFS(Data!$H$8:$H$252,Data!$B$8:$B$252,'Modelled unit costs'!$A19,Data!$C$8:$C$252,"&lt;=2018")</f>
        <v>44.484755460089865</v>
      </c>
      <c r="C19" s="37">
        <f>SUMIFS(Data!$H$8:$H$252,Data!$B$8:$B$252,'Modelled unit costs'!$A19,Data!$C$8:$C$252,"&gt;2020")</f>
        <v>142.01236481287813</v>
      </c>
      <c r="D19" s="37">
        <f>SUMIFS(Data!$L$8:$L$252,Data!$B$8:$B$252,'Modelled unit costs'!$A19,Data!$C$8:$C$252,"&lt;=2018")</f>
        <v>53.941000000000003</v>
      </c>
      <c r="E19" s="37">
        <f>SUMIFS(Data!$L$8:$L$252,Data!$B$8:$B$252,'Modelled unit costs'!$A19,Data!$C$8:$C$252,"&gt;2020")</f>
        <v>46.37</v>
      </c>
      <c r="G19" s="38">
        <f t="shared" si="1"/>
        <v>0.82469282104688202</v>
      </c>
      <c r="H19" s="38">
        <f t="shared" si="2"/>
        <v>3.0625914343946117</v>
      </c>
      <c r="J19" s="37">
        <f t="shared" si="3"/>
        <v>41.108696775074556</v>
      </c>
      <c r="K19" s="37">
        <f t="shared" si="0"/>
        <v>52.802300707469186</v>
      </c>
      <c r="L19" s="230">
        <f t="shared" si="4"/>
        <v>46.955498741271867</v>
      </c>
    </row>
    <row r="20" spans="1:12" ht="13.15">
      <c r="A20" s="21" t="s">
        <v>26</v>
      </c>
      <c r="B20" s="37">
        <f>SUMIFS(Data!$H$8:$H$252,Data!$B$8:$B$252,'Modelled unit costs'!$A20,Data!$C$8:$C$252,"&lt;=2018")</f>
        <v>52.571075036706333</v>
      </c>
      <c r="C20" s="37">
        <f>SUMIFS(Data!$H$8:$H$252,Data!$B$8:$B$252,'Modelled unit costs'!$A20,Data!$C$8:$C$252,"&gt;2020")</f>
        <v>75.442242944040061</v>
      </c>
      <c r="D20" s="37">
        <f>SUMIFS(Data!$L$8:$L$252,Data!$B$8:$B$252,'Modelled unit costs'!$A20,Data!$C$8:$C$252,"&lt;=2018")</f>
        <v>31.891999999999996</v>
      </c>
      <c r="E20" s="37">
        <f>SUMIFS(Data!$L$8:$L$252,Data!$B$8:$B$252,'Modelled unit costs'!$A20,Data!$C$8:$C$252,"&gt;2020")</f>
        <v>41.048987345112607</v>
      </c>
      <c r="G20" s="38">
        <f t="shared" si="1"/>
        <v>1.6484094768815483</v>
      </c>
      <c r="H20" s="38">
        <f t="shared" si="2"/>
        <v>1.837858807813499</v>
      </c>
      <c r="J20" s="37">
        <f t="shared" si="3"/>
        <v>36.391424923314794</v>
      </c>
      <c r="K20" s="37">
        <f t="shared" si="0"/>
        <v>46.743173895487026</v>
      </c>
      <c r="L20" s="230">
        <f t="shared" si="4"/>
        <v>41.56729940940091</v>
      </c>
    </row>
    <row r="21" spans="1:12" ht="13.15">
      <c r="A21" s="21" t="s">
        <v>12</v>
      </c>
      <c r="B21" s="37">
        <f>SUMIFS(Data!$H$8:$H$252,Data!$B$8:$B$252,'Modelled unit costs'!$A21,Data!$C$8:$C$252,"&lt;=2018")</f>
        <v>263.88162759686634</v>
      </c>
      <c r="C21" s="37"/>
      <c r="D21" s="37">
        <f>SUMIFS(Data!$L$8:$L$252,Data!$B$8:$B$252,'Modelled unit costs'!$A21,Data!$C$8:$C$252,"&lt;=2018")</f>
        <v>127.50200000000001</v>
      </c>
      <c r="E21" s="37">
        <f>SUMIFS(Data!$L$8:$L$252,Data!$B$8:$B$252,'Modelled unit costs'!$A21,Data!$C$8:$C$252,"&gt;2020")</f>
        <v>0</v>
      </c>
      <c r="G21" s="38">
        <f t="shared" si="1"/>
        <v>2.0696273595462529</v>
      </c>
      <c r="H21" s="38" t="str">
        <f t="shared" si="2"/>
        <v/>
      </c>
      <c r="J21" s="37"/>
      <c r="K21" s="37"/>
      <c r="L21" s="230"/>
    </row>
    <row r="22" spans="1:12" ht="13.15">
      <c r="A22" s="21" t="s">
        <v>22</v>
      </c>
      <c r="B22" s="37">
        <f>SUMIFS(Data!$H$8:$H$252,Data!$B$8:$B$252,'Modelled unit costs'!$A22,Data!$C$8:$C$252,"&lt;=2018")</f>
        <v>5.0091689578441727</v>
      </c>
      <c r="C22" s="37"/>
      <c r="D22" s="37">
        <f>SUMIFS(Data!$L$8:$L$252,Data!$B$8:$B$252,'Modelled unit costs'!$A22,Data!$C$8:$C$252,"&lt;=2018")</f>
        <v>5.5179999999999998</v>
      </c>
      <c r="E22" s="37">
        <f>SUMIFS(Data!$L$8:$L$252,Data!$B$8:$B$252,'Modelled unit costs'!$A22,Data!$C$8:$C$252,"&gt;2020")</f>
        <v>0</v>
      </c>
      <c r="G22" s="38">
        <f t="shared" si="1"/>
        <v>0.90778705288948403</v>
      </c>
      <c r="H22" s="38" t="str">
        <f t="shared" si="2"/>
        <v/>
      </c>
      <c r="J22" s="37"/>
      <c r="K22" s="37"/>
      <c r="L22" s="230"/>
    </row>
    <row r="23" spans="1:12" ht="13.15">
      <c r="A23" s="21" t="s">
        <v>27</v>
      </c>
      <c r="B23" s="37"/>
      <c r="C23" s="37">
        <f>SUMIFS(Data!$H$8:$H$252,Data!$B$8:$B$252,'Modelled unit costs'!$A23,Data!$C$8:$C$252,"&gt;2020")</f>
        <v>258.166</v>
      </c>
      <c r="D23" s="37"/>
      <c r="E23" s="37">
        <f>SUMIFS(Data!$L$8:$L$252,Data!$B$8:$B$252,'Modelled unit costs'!$A23,Data!$C$8:$C$252,"&gt;2020")</f>
        <v>129.79874892975118</v>
      </c>
      <c r="G23" s="38" t="str">
        <f t="shared" si="1"/>
        <v/>
      </c>
      <c r="H23" s="38">
        <f t="shared" si="2"/>
        <v>1.9889714047993088</v>
      </c>
      <c r="J23" s="37">
        <f>$G$29*E23</f>
        <v>115.0713265373555</v>
      </c>
      <c r="K23" s="37">
        <f t="shared" si="0"/>
        <v>147.80402355924124</v>
      </c>
      <c r="L23" s="230">
        <f t="shared" si="4"/>
        <v>131.43767504829839</v>
      </c>
    </row>
    <row r="24" spans="1:12" ht="13.15">
      <c r="A24" s="21" t="s">
        <v>28</v>
      </c>
      <c r="B24" s="37"/>
      <c r="C24" s="37">
        <f>SUMIFS(Data!$H$8:$H$252,Data!$B$8:$B$252,'Modelled unit costs'!$A24,Data!$C$8:$C$252,"&gt;2020")</f>
        <v>5.362042650002028</v>
      </c>
      <c r="D24" s="37"/>
      <c r="E24" s="37">
        <f>SUMIFS(Data!$L$8:$L$252,Data!$B$8:$B$252,'Modelled unit costs'!$A24,Data!$C$8:$C$252,"&gt;2020")</f>
        <v>2.3919999999999999</v>
      </c>
      <c r="G24" s="38" t="str">
        <f t="shared" si="1"/>
        <v/>
      </c>
      <c r="H24" s="38">
        <f t="shared" si="2"/>
        <v>2.2416566262550286</v>
      </c>
      <c r="J24" s="37">
        <f>$G$29*E24</f>
        <v>2.1205952703467399</v>
      </c>
      <c r="K24" s="37">
        <f t="shared" si="0"/>
        <v>2.7238107244396441</v>
      </c>
      <c r="L24" s="230">
        <f t="shared" si="4"/>
        <v>2.422202997393192</v>
      </c>
    </row>
    <row r="25" spans="1:12" ht="13.15">
      <c r="A25" s="21" t="s">
        <v>13</v>
      </c>
      <c r="B25" s="37">
        <f>SUMIFS(Data!$H$8:$H$252,Data!$B$8:$B$252,'Modelled unit costs'!$A25,Data!$C$8:$C$252,"&lt;=2018")</f>
        <v>25.215387719137709</v>
      </c>
      <c r="C25" s="37"/>
      <c r="D25" s="37">
        <f>SUMIFS(Data!$L$8:$L$252,Data!$B$8:$B$252,'Modelled unit costs'!$A25,Data!$C$8:$C$252,"&lt;=2018")</f>
        <v>32.378999999999998</v>
      </c>
      <c r="E25" s="37">
        <f>SUMIFS(Data!$L$8:$L$252,Data!$B$8:$B$252,'Modelled unit costs'!$A25,Data!$C$8:$C$252,"&gt;2020")</f>
        <v>0</v>
      </c>
      <c r="G25" s="38">
        <f t="shared" si="1"/>
        <v>0.77875745758478365</v>
      </c>
      <c r="H25" s="38" t="str">
        <f t="shared" si="2"/>
        <v/>
      </c>
      <c r="J25" s="37"/>
      <c r="K25" s="37"/>
      <c r="L25" s="230"/>
    </row>
    <row r="26" spans="1:12" ht="13.15">
      <c r="A26" s="21" t="s">
        <v>21</v>
      </c>
      <c r="B26" s="37">
        <f>SUMIFS(Data!$H$8:$H$252,Data!$B$8:$B$252,'Modelled unit costs'!$A26,Data!$C$8:$C$252,"&lt;=2018")</f>
        <v>6.5870177438179791</v>
      </c>
      <c r="C26" s="37"/>
      <c r="D26" s="37">
        <f>SUMIFS(Data!$L$8:$L$252,Data!$B$8:$B$252,'Modelled unit costs'!$A26,Data!$C$8:$C$252,"&lt;=2018")</f>
        <v>4.8109999999999999</v>
      </c>
      <c r="E26" s="37">
        <f>SUMIFS(Data!$L$8:$L$252,Data!$B$8:$B$252,'Modelled unit costs'!$A26,Data!$C$8:$C$252,"&gt;2020")</f>
        <v>0</v>
      </c>
      <c r="G26" s="38">
        <f t="shared" si="1"/>
        <v>1.3691577102095156</v>
      </c>
      <c r="H26" s="38" t="str">
        <f t="shared" si="2"/>
        <v/>
      </c>
      <c r="J26" s="37"/>
      <c r="K26" s="37"/>
      <c r="L26" s="230"/>
    </row>
    <row r="27" spans="1:12" ht="13.15">
      <c r="A27" s="21" t="s">
        <v>14</v>
      </c>
      <c r="B27" s="37">
        <f>SUMIFS(Data!$H$8:$H$252,Data!$B$8:$B$252,'Modelled unit costs'!$A27,Data!$C$8:$C$252,"&lt;=2018")</f>
        <v>19.305361427985225</v>
      </c>
      <c r="C27" s="37">
        <f>SUMIFS(Data!$H$8:$H$252,Data!$B$8:$B$252,'Modelled unit costs'!$A27,Data!$C$8:$C$252,"&gt;2020")</f>
        <v>55.411000000000001</v>
      </c>
      <c r="D27" s="37">
        <f>SUMIFS(Data!$L$8:$L$252,Data!$B$8:$B$252,'Modelled unit costs'!$A27,Data!$C$8:$C$252,"&lt;=2018")</f>
        <v>18.707999999999998</v>
      </c>
      <c r="E27" s="37">
        <f>SUMIFS(Data!$L$8:$L$252,Data!$B$8:$B$252,'Modelled unit costs'!$A27,Data!$C$8:$C$252,"&gt;2020")</f>
        <v>46.255000000000003</v>
      </c>
      <c r="G27" s="38">
        <f t="shared" si="1"/>
        <v>1.0319308011537967</v>
      </c>
      <c r="H27" s="38">
        <f t="shared" si="2"/>
        <v>1.1979461679818397</v>
      </c>
      <c r="J27" s="37">
        <f>$G$29*E27</f>
        <v>41.006745079384814</v>
      </c>
      <c r="K27" s="37">
        <f t="shared" si="0"/>
        <v>52.671348268794212</v>
      </c>
      <c r="L27" s="230">
        <f t="shared" si="4"/>
        <v>46.839046674089516</v>
      </c>
    </row>
    <row r="28" spans="1:12">
      <c r="B28" s="39"/>
      <c r="C28" s="39"/>
    </row>
    <row r="29" spans="1:12">
      <c r="E29" s="205" t="s">
        <v>86</v>
      </c>
      <c r="G29" s="40">
        <f>IF(Controls!$C$24="Median",PERCENTILE(G$7:G$27,0.5),AVERAGE('Modelled unit costs'!G$7:G$27))</f>
        <v>0.8865364842586706</v>
      </c>
      <c r="H29" s="40">
        <f>IF(Controls!$C$24="Median",PERCENTILE(H$7:H$27,0.5),AVERAGE('Modelled unit costs'!H$7:H$27))</f>
        <v>1.1387168580433296</v>
      </c>
    </row>
    <row r="32" spans="1:12" ht="13.5">
      <c r="A32" s="41"/>
    </row>
    <row r="33" spans="1:1" ht="13.5">
      <c r="A33" s="41"/>
    </row>
    <row r="34" spans="1:1" ht="13.5">
      <c r="A34" s="41"/>
    </row>
    <row r="35" spans="1:1" ht="13.5">
      <c r="A35" s="41"/>
    </row>
    <row r="36" spans="1:1" ht="13.5">
      <c r="A36" s="41"/>
    </row>
    <row r="37" spans="1:1" ht="13.5">
      <c r="A37" s="41"/>
    </row>
    <row r="38" spans="1:1" ht="13.5">
      <c r="A38" s="41"/>
    </row>
    <row r="39" spans="1:1" ht="13.5">
      <c r="A39" s="41"/>
    </row>
    <row r="40" spans="1:1" ht="13.5">
      <c r="A40" s="41"/>
    </row>
    <row r="41" spans="1:1" ht="13.5">
      <c r="A41" s="41"/>
    </row>
    <row r="42" spans="1:1" ht="13.5">
      <c r="A42" s="41"/>
    </row>
    <row r="43" spans="1:1" ht="13.5">
      <c r="A43" s="41"/>
    </row>
    <row r="44" spans="1:1" ht="13.5">
      <c r="A44" s="41"/>
    </row>
    <row r="45" spans="1:1" ht="13.5">
      <c r="A45" s="41"/>
    </row>
    <row r="46" spans="1:1" ht="13.5">
      <c r="A46" s="41"/>
    </row>
    <row r="47" spans="1:1" ht="13.5">
      <c r="A47" s="41"/>
    </row>
    <row r="48" spans="1:1" ht="13.5">
      <c r="A48" s="41"/>
    </row>
    <row r="49" spans="1:1" ht="13.5">
      <c r="A49" s="41"/>
    </row>
    <row r="50" spans="1:1" ht="13.5">
      <c r="A50" s="41"/>
    </row>
    <row r="51" spans="1:1" ht="13.5">
      <c r="A51" s="41"/>
    </row>
    <row r="52" spans="1:1" ht="13.5">
      <c r="A52" s="41"/>
    </row>
    <row r="53" spans="1:1" ht="13.5">
      <c r="A53" s="41"/>
    </row>
    <row r="54" spans="1:1" ht="13.5">
      <c r="A54" s="41"/>
    </row>
    <row r="55" spans="1:1" ht="13.5">
      <c r="A55" s="41"/>
    </row>
    <row r="56" spans="1:1" ht="13.5">
      <c r="A56" s="41"/>
    </row>
    <row r="57" spans="1:1" ht="13.5">
      <c r="A57" s="41"/>
    </row>
    <row r="58" spans="1:1" ht="13.5">
      <c r="A58" s="41"/>
    </row>
    <row r="59" spans="1:1" ht="13.5">
      <c r="A59" s="41"/>
    </row>
    <row r="60" spans="1:1" ht="13.5">
      <c r="A60" s="41"/>
    </row>
    <row r="61" spans="1:1" ht="13.5">
      <c r="A61" s="41"/>
    </row>
    <row r="62" spans="1:1" ht="13.5">
      <c r="A62" s="41"/>
    </row>
    <row r="63" spans="1:1" ht="13.5">
      <c r="A63" s="41"/>
    </row>
    <row r="64" spans="1:1" ht="13.5">
      <c r="A64" s="41"/>
    </row>
    <row r="65" spans="1:1" ht="13.5">
      <c r="A65" s="41"/>
    </row>
    <row r="66" spans="1:1" ht="13.5">
      <c r="A66" s="41"/>
    </row>
    <row r="67" spans="1:1" ht="13.5">
      <c r="A67" s="41"/>
    </row>
    <row r="68" spans="1:1" ht="13.5">
      <c r="A68" s="41"/>
    </row>
    <row r="69" spans="1:1" ht="13.5">
      <c r="A69" s="41"/>
    </row>
    <row r="70" spans="1:1" ht="13.5">
      <c r="A70" s="41"/>
    </row>
    <row r="71" spans="1:1" ht="13.5">
      <c r="A71" s="41"/>
    </row>
    <row r="72" spans="1:1" ht="13.5">
      <c r="A72" s="41"/>
    </row>
    <row r="73" spans="1:1" ht="13.5">
      <c r="A73" s="41"/>
    </row>
    <row r="74" spans="1:1" ht="13.5">
      <c r="A74" s="41"/>
    </row>
    <row r="75" spans="1:1" ht="13.5">
      <c r="A75" s="41"/>
    </row>
    <row r="76" spans="1:1" ht="13.5">
      <c r="A76" s="41"/>
    </row>
    <row r="77" spans="1:1" ht="13.5">
      <c r="A77" s="41"/>
    </row>
    <row r="78" spans="1:1" ht="13.5">
      <c r="A78" s="41"/>
    </row>
    <row r="79" spans="1:1" ht="13.5">
      <c r="A79" s="41"/>
    </row>
    <row r="80" spans="1:1" ht="13.5">
      <c r="A80" s="41"/>
    </row>
    <row r="81" spans="1:1" ht="13.5">
      <c r="A81" s="41"/>
    </row>
    <row r="82" spans="1:1" ht="13.5">
      <c r="A82" s="41"/>
    </row>
    <row r="83" spans="1:1" ht="13.5">
      <c r="A83" s="41"/>
    </row>
    <row r="84" spans="1:1" ht="13.5">
      <c r="A84" s="41"/>
    </row>
    <row r="85" spans="1:1" ht="13.5">
      <c r="A85" s="41"/>
    </row>
    <row r="86" spans="1:1" ht="13.5">
      <c r="A86" s="41"/>
    </row>
    <row r="87" spans="1:1" ht="13.5">
      <c r="A87" s="41"/>
    </row>
    <row r="88" spans="1:1" ht="13.5">
      <c r="A88" s="41"/>
    </row>
    <row r="89" spans="1:1" ht="13.5">
      <c r="A89" s="41"/>
    </row>
    <row r="90" spans="1:1" ht="13.5">
      <c r="A90" s="41"/>
    </row>
    <row r="91" spans="1:1" ht="13.5">
      <c r="A91" s="41"/>
    </row>
    <row r="92" spans="1:1" ht="13.5">
      <c r="A92" s="41"/>
    </row>
    <row r="93" spans="1:1" ht="13.5">
      <c r="A93" s="41"/>
    </row>
    <row r="94" spans="1:1" ht="13.5">
      <c r="A94" s="41"/>
    </row>
    <row r="95" spans="1:1" ht="13.5">
      <c r="A95" s="41"/>
    </row>
    <row r="96" spans="1:1" ht="13.5">
      <c r="A96" s="41"/>
    </row>
    <row r="97" spans="1:1" ht="13.5">
      <c r="A97" s="41"/>
    </row>
    <row r="98" spans="1:1" ht="13.5">
      <c r="A98" s="41"/>
    </row>
    <row r="99" spans="1:1" ht="13.5">
      <c r="A99" s="41"/>
    </row>
    <row r="100" spans="1:1" ht="13.5">
      <c r="A100" s="41"/>
    </row>
    <row r="101" spans="1:1" ht="13.5">
      <c r="A101" s="41"/>
    </row>
    <row r="102" spans="1:1" ht="13.5">
      <c r="A102" s="41"/>
    </row>
    <row r="103" spans="1:1" ht="13.5">
      <c r="A103" s="41"/>
    </row>
    <row r="104" spans="1:1" ht="13.5">
      <c r="A104" s="41"/>
    </row>
    <row r="105" spans="1:1" ht="13.5">
      <c r="A105" s="41"/>
    </row>
    <row r="106" spans="1:1" ht="13.5">
      <c r="A106" s="41"/>
    </row>
    <row r="107" spans="1:1" ht="13.5">
      <c r="A107" s="41"/>
    </row>
    <row r="108" spans="1:1" ht="13.5">
      <c r="A108" s="41"/>
    </row>
    <row r="109" spans="1:1" ht="13.5">
      <c r="A109" s="41"/>
    </row>
    <row r="110" spans="1:1" ht="13.5">
      <c r="A110" s="41"/>
    </row>
    <row r="111" spans="1:1" ht="13.5">
      <c r="A111" s="41"/>
    </row>
    <row r="112" spans="1:1" ht="13.5">
      <c r="A112" s="41"/>
    </row>
    <row r="113" spans="1:1" ht="13.5">
      <c r="A113" s="41"/>
    </row>
    <row r="114" spans="1:1" ht="13.5">
      <c r="A114" s="41"/>
    </row>
    <row r="115" spans="1:1" ht="13.5">
      <c r="A115" s="41"/>
    </row>
    <row r="116" spans="1:1" ht="13.5">
      <c r="A116" s="41"/>
    </row>
    <row r="117" spans="1:1" ht="13.5">
      <c r="A117" s="41"/>
    </row>
    <row r="118" spans="1:1" ht="13.5">
      <c r="A118" s="41"/>
    </row>
    <row r="119" spans="1:1" ht="13.5">
      <c r="A119" s="41"/>
    </row>
    <row r="120" spans="1:1" ht="13.5">
      <c r="A120" s="41"/>
    </row>
    <row r="121" spans="1:1" ht="13.5">
      <c r="A121" s="41"/>
    </row>
    <row r="122" spans="1:1" ht="13.5">
      <c r="A122" s="41"/>
    </row>
    <row r="123" spans="1:1" ht="13.5">
      <c r="A123" s="41"/>
    </row>
    <row r="124" spans="1:1" ht="13.5">
      <c r="A124" s="41"/>
    </row>
    <row r="125" spans="1:1" ht="13.5">
      <c r="A125" s="41"/>
    </row>
    <row r="126" spans="1:1" ht="13.5">
      <c r="A126" s="41"/>
    </row>
    <row r="127" spans="1:1" ht="13.5">
      <c r="A127" s="41"/>
    </row>
    <row r="128" spans="1:1" ht="13.5">
      <c r="A128" s="41"/>
    </row>
    <row r="129" spans="1:1" ht="13.5">
      <c r="A129" s="41"/>
    </row>
    <row r="130" spans="1:1" ht="13.5">
      <c r="A130" s="41"/>
    </row>
    <row r="131" spans="1:1" ht="13.5">
      <c r="A131" s="41"/>
    </row>
    <row r="132" spans="1:1" ht="13.5">
      <c r="A132" s="41"/>
    </row>
    <row r="133" spans="1:1" ht="13.5">
      <c r="A133" s="41"/>
    </row>
    <row r="134" spans="1:1" ht="13.5">
      <c r="A134" s="41"/>
    </row>
    <row r="135" spans="1:1" ht="13.5">
      <c r="A135" s="41"/>
    </row>
    <row r="136" spans="1:1" ht="13.5">
      <c r="A136" s="41"/>
    </row>
    <row r="137" spans="1:1" ht="13.5">
      <c r="A137" s="41"/>
    </row>
    <row r="138" spans="1:1" ht="13.5">
      <c r="A138" s="41"/>
    </row>
    <row r="139" spans="1:1" ht="13.5">
      <c r="A139" s="41"/>
    </row>
    <row r="140" spans="1:1" ht="13.5">
      <c r="A140" s="41"/>
    </row>
    <row r="141" spans="1:1" ht="13.5">
      <c r="A141" s="41"/>
    </row>
    <row r="142" spans="1:1" ht="13.5">
      <c r="A142" s="41"/>
    </row>
    <row r="143" spans="1:1" ht="13.5">
      <c r="A143" s="41"/>
    </row>
    <row r="144" spans="1:1" ht="13.5">
      <c r="A144" s="41"/>
    </row>
    <row r="145" spans="1:1" ht="13.5">
      <c r="A145" s="41"/>
    </row>
    <row r="146" spans="1:1" ht="13.5">
      <c r="A146" s="41"/>
    </row>
    <row r="147" spans="1:1" ht="13.5">
      <c r="A147" s="41"/>
    </row>
    <row r="148" spans="1:1" ht="13.5">
      <c r="A148" s="41"/>
    </row>
    <row r="149" spans="1:1" ht="13.5">
      <c r="A149" s="41"/>
    </row>
    <row r="150" spans="1:1" ht="13.5">
      <c r="A150" s="41"/>
    </row>
    <row r="151" spans="1:1" ht="13.5">
      <c r="A151" s="41"/>
    </row>
    <row r="152" spans="1:1" ht="13.5">
      <c r="A152" s="41"/>
    </row>
    <row r="153" spans="1:1" ht="13.5">
      <c r="A153" s="41"/>
    </row>
    <row r="154" spans="1:1" ht="13.5">
      <c r="A154" s="41"/>
    </row>
    <row r="155" spans="1:1" ht="13.5">
      <c r="A155" s="41"/>
    </row>
    <row r="156" spans="1:1" ht="13.5">
      <c r="A156" s="41"/>
    </row>
    <row r="157" spans="1:1" ht="13.5">
      <c r="A157" s="41"/>
    </row>
    <row r="158" spans="1:1" ht="13.5">
      <c r="A158" s="41"/>
    </row>
    <row r="159" spans="1:1" ht="13.5">
      <c r="A159" s="41"/>
    </row>
    <row r="160" spans="1:1" ht="13.5">
      <c r="A160" s="41"/>
    </row>
    <row r="161" spans="1:1" ht="13.5">
      <c r="A161" s="41"/>
    </row>
    <row r="162" spans="1:1" ht="13.5">
      <c r="A162" s="41"/>
    </row>
    <row r="163" spans="1:1" ht="13.5">
      <c r="A163" s="41"/>
    </row>
    <row r="164" spans="1:1" ht="13.5">
      <c r="A164" s="41"/>
    </row>
    <row r="165" spans="1:1" ht="13.5">
      <c r="A165" s="41"/>
    </row>
    <row r="166" spans="1:1" ht="13.5">
      <c r="A166" s="41"/>
    </row>
    <row r="167" spans="1:1" ht="13.5">
      <c r="A167" s="41"/>
    </row>
    <row r="168" spans="1:1" ht="13.5">
      <c r="A168" s="41"/>
    </row>
    <row r="169" spans="1:1" ht="13.5">
      <c r="A169" s="41"/>
    </row>
    <row r="170" spans="1:1" ht="13.5">
      <c r="A170" s="41"/>
    </row>
    <row r="171" spans="1:1" ht="13.5">
      <c r="A171" s="41"/>
    </row>
    <row r="172" spans="1:1" ht="13.5">
      <c r="A172" s="41"/>
    </row>
    <row r="173" spans="1:1" ht="13.5">
      <c r="A173" s="41"/>
    </row>
    <row r="174" spans="1:1" ht="13.5">
      <c r="A174" s="41"/>
    </row>
    <row r="175" spans="1:1" ht="13.5">
      <c r="A175" s="41"/>
    </row>
    <row r="176" spans="1:1" ht="13.5">
      <c r="A176" s="41"/>
    </row>
    <row r="177" spans="1:1" ht="13.5">
      <c r="A177" s="41"/>
    </row>
    <row r="178" spans="1:1" ht="13.5">
      <c r="A178" s="41"/>
    </row>
    <row r="179" spans="1:1" ht="13.5">
      <c r="A179" s="41"/>
    </row>
    <row r="180" spans="1:1" ht="13.5">
      <c r="A180" s="41"/>
    </row>
    <row r="181" spans="1:1" ht="13.5">
      <c r="A181" s="41"/>
    </row>
    <row r="182" spans="1:1" ht="13.5">
      <c r="A182" s="41"/>
    </row>
    <row r="183" spans="1:1" ht="13.5">
      <c r="A183" s="41"/>
    </row>
    <row r="184" spans="1:1" ht="13.5">
      <c r="A184" s="41"/>
    </row>
    <row r="185" spans="1:1" ht="13.5">
      <c r="A185" s="41"/>
    </row>
    <row r="186" spans="1:1" ht="13.5">
      <c r="A186" s="41"/>
    </row>
    <row r="187" spans="1:1" ht="13.5">
      <c r="A187" s="41"/>
    </row>
    <row r="188" spans="1:1" ht="13.5">
      <c r="A188" s="41"/>
    </row>
    <row r="189" spans="1:1" ht="13.5">
      <c r="A189" s="41"/>
    </row>
    <row r="190" spans="1:1" ht="13.5">
      <c r="A190" s="41"/>
    </row>
    <row r="191" spans="1:1" ht="13.5">
      <c r="A191" s="41"/>
    </row>
    <row r="192" spans="1:1" ht="13.5">
      <c r="A192" s="41"/>
    </row>
    <row r="193" spans="1:1" ht="13.5">
      <c r="A193" s="41"/>
    </row>
    <row r="194" spans="1:1" ht="13.5">
      <c r="A194" s="41"/>
    </row>
    <row r="195" spans="1:1" ht="13.5">
      <c r="A195" s="41"/>
    </row>
    <row r="196" spans="1:1" ht="13.5">
      <c r="A196" s="41"/>
    </row>
    <row r="197" spans="1:1" ht="13.5">
      <c r="A197" s="41"/>
    </row>
    <row r="198" spans="1:1" ht="13.5">
      <c r="A198" s="41"/>
    </row>
    <row r="199" spans="1:1" ht="13.5">
      <c r="A199" s="41"/>
    </row>
    <row r="200" spans="1:1" ht="13.5">
      <c r="A200" s="41"/>
    </row>
    <row r="201" spans="1:1" ht="13.5">
      <c r="A201" s="41"/>
    </row>
    <row r="202" spans="1:1" ht="13.5">
      <c r="A202" s="41"/>
    </row>
    <row r="203" spans="1:1" ht="13.5">
      <c r="A203" s="41"/>
    </row>
    <row r="204" spans="1:1" ht="13.5">
      <c r="A204" s="41"/>
    </row>
    <row r="205" spans="1:1" ht="13.5">
      <c r="A205" s="41"/>
    </row>
    <row r="206" spans="1:1" ht="13.5">
      <c r="A206" s="41"/>
    </row>
    <row r="207" spans="1:1" ht="13.5">
      <c r="A207" s="41"/>
    </row>
    <row r="208" spans="1:1" ht="13.5">
      <c r="A208" s="41"/>
    </row>
    <row r="209" spans="1:1" ht="13.5">
      <c r="A209" s="41"/>
    </row>
    <row r="210" spans="1:1" ht="13.5">
      <c r="A210" s="41"/>
    </row>
    <row r="211" spans="1:1" ht="13.5">
      <c r="A211" s="41"/>
    </row>
    <row r="212" spans="1:1" ht="13.5">
      <c r="A212" s="41"/>
    </row>
    <row r="213" spans="1:1" ht="13.5">
      <c r="A213" s="41"/>
    </row>
    <row r="214" spans="1:1" ht="13.5">
      <c r="A214" s="41"/>
    </row>
    <row r="215" spans="1:1" ht="13.5">
      <c r="A215" s="41"/>
    </row>
    <row r="216" spans="1:1" ht="13.5">
      <c r="A216" s="41"/>
    </row>
    <row r="217" spans="1:1" ht="13.5">
      <c r="A217" s="41"/>
    </row>
    <row r="218" spans="1:1" ht="13.5">
      <c r="A218" s="41"/>
    </row>
    <row r="219" spans="1:1" ht="13.5">
      <c r="A219" s="41"/>
    </row>
    <row r="220" spans="1:1" ht="13.5">
      <c r="A220" s="41"/>
    </row>
    <row r="221" spans="1:1" ht="13.5">
      <c r="A221" s="41"/>
    </row>
    <row r="222" spans="1:1" ht="13.5">
      <c r="A222" s="41"/>
    </row>
    <row r="223" spans="1:1" ht="13.5">
      <c r="A223" s="41"/>
    </row>
    <row r="224" spans="1:1" ht="13.5">
      <c r="A224" s="41"/>
    </row>
    <row r="225" spans="1:1" ht="13.5">
      <c r="A225" s="41"/>
    </row>
    <row r="226" spans="1:1" ht="13.5">
      <c r="A226" s="41"/>
    </row>
    <row r="227" spans="1:1" ht="13.5">
      <c r="A227" s="41"/>
    </row>
    <row r="228" spans="1:1" ht="13.5">
      <c r="A228" s="41"/>
    </row>
    <row r="229" spans="1:1" ht="13.5">
      <c r="A229" s="41"/>
    </row>
    <row r="230" spans="1:1" ht="13.5">
      <c r="A230" s="41"/>
    </row>
    <row r="231" spans="1:1" ht="13.5">
      <c r="A231" s="41"/>
    </row>
    <row r="232" spans="1:1" ht="13.5">
      <c r="A232" s="41"/>
    </row>
    <row r="233" spans="1:1" ht="13.5">
      <c r="A233" s="41"/>
    </row>
    <row r="234" spans="1:1" ht="13.5">
      <c r="A234" s="41"/>
    </row>
    <row r="235" spans="1:1" ht="13.5">
      <c r="A235" s="41"/>
    </row>
    <row r="236" spans="1:1" ht="13.5">
      <c r="A236" s="41"/>
    </row>
    <row r="237" spans="1:1" ht="13.5">
      <c r="A237" s="41"/>
    </row>
    <row r="238" spans="1:1" ht="13.5">
      <c r="A238" s="41"/>
    </row>
    <row r="239" spans="1:1" ht="13.5">
      <c r="A239" s="41"/>
    </row>
    <row r="240" spans="1:1" ht="13.5">
      <c r="A240" s="41"/>
    </row>
    <row r="241" spans="1:1" ht="13.5">
      <c r="A241" s="41"/>
    </row>
    <row r="242" spans="1:1" ht="13.5">
      <c r="A242" s="41"/>
    </row>
    <row r="243" spans="1:1" ht="13.5">
      <c r="A243" s="41"/>
    </row>
    <row r="244" spans="1:1" ht="13.5">
      <c r="A244" s="41"/>
    </row>
    <row r="245" spans="1:1" ht="13.5">
      <c r="A245" s="41"/>
    </row>
    <row r="246" spans="1:1" ht="13.5">
      <c r="A246" s="41"/>
    </row>
    <row r="247" spans="1:1" ht="13.5">
      <c r="A247" s="41"/>
    </row>
    <row r="248" spans="1:1" ht="13.5">
      <c r="A248" s="41"/>
    </row>
    <row r="249" spans="1:1" ht="13.5">
      <c r="A249" s="41"/>
    </row>
    <row r="250" spans="1:1" ht="13.5">
      <c r="A250" s="41"/>
    </row>
  </sheetData>
  <mergeCells count="1">
    <mergeCell ref="L4:L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49"/>
  <sheetViews>
    <sheetView showGridLines="0" zoomScale="80" zoomScaleNormal="80" workbookViewId="0">
      <pane xSplit="2" ySplit="12" topLeftCell="C13" activePane="bottomRight" state="frozen"/>
      <selection pane="topRight" activeCell="D1" sqref="D1"/>
      <selection pane="bottomLeft" activeCell="A13" sqref="A13"/>
      <selection pane="bottomRight"/>
    </sheetView>
  </sheetViews>
  <sheetFormatPr defaultColWidth="9" defaultRowHeight="12.75"/>
  <cols>
    <col min="1" max="1" width="2.625" style="3" customWidth="1"/>
    <col min="2" max="2" width="13.5" style="3" customWidth="1"/>
    <col min="3" max="3" width="15.125" style="3" customWidth="1"/>
    <col min="4" max="4" width="13.125" style="3" customWidth="1"/>
    <col min="5" max="5" width="11.375" style="3" customWidth="1"/>
    <col min="6" max="7" width="12.125" style="3" customWidth="1"/>
    <col min="8" max="8" width="12.625" style="3" customWidth="1"/>
    <col min="9" max="9" width="10.875" style="3" bestFit="1" customWidth="1"/>
    <col min="10" max="11" width="10.875" style="3" customWidth="1"/>
    <col min="12" max="12" width="12" style="3" customWidth="1"/>
    <col min="13" max="13" width="11.625" style="3" customWidth="1"/>
    <col min="14" max="15" width="9" style="3"/>
    <col min="16" max="16" width="11.5" style="3" customWidth="1"/>
    <col min="17" max="16384" width="9" style="3"/>
  </cols>
  <sheetData>
    <row r="1" spans="1:17" ht="15">
      <c r="A1" s="1" t="s">
        <v>76</v>
      </c>
      <c r="B1" s="2"/>
      <c r="C1" s="2"/>
      <c r="D1" s="2"/>
      <c r="E1" s="2"/>
    </row>
    <row r="3" spans="1:17">
      <c r="B3" s="4" t="s">
        <v>61</v>
      </c>
      <c r="C3" s="5" t="s">
        <v>158</v>
      </c>
      <c r="D3" s="6"/>
      <c r="E3" s="6"/>
      <c r="F3" s="6"/>
      <c r="G3" s="6"/>
      <c r="H3" s="6"/>
    </row>
    <row r="4" spans="1:17">
      <c r="B4" s="4" t="s">
        <v>62</v>
      </c>
      <c r="C4" s="5" t="s">
        <v>161</v>
      </c>
      <c r="D4" s="6"/>
      <c r="E4" s="6"/>
      <c r="F4" s="6"/>
      <c r="G4" s="6"/>
      <c r="H4" s="6"/>
    </row>
    <row r="5" spans="1:17">
      <c r="B5" s="4" t="s">
        <v>63</v>
      </c>
      <c r="C5" s="7" t="s">
        <v>95</v>
      </c>
      <c r="D5" s="21" t="s">
        <v>152</v>
      </c>
      <c r="E5" s="21" t="s">
        <v>151</v>
      </c>
      <c r="F5" s="8"/>
      <c r="G5" s="8"/>
      <c r="H5" s="9"/>
      <c r="I5" s="10"/>
      <c r="J5" s="10"/>
    </row>
    <row r="6" spans="1:17">
      <c r="B6" s="4" t="s">
        <v>64</v>
      </c>
      <c r="C6" s="7" t="s">
        <v>31</v>
      </c>
      <c r="D6" s="8"/>
      <c r="E6" s="8"/>
      <c r="F6" s="8"/>
      <c r="G6" s="8"/>
      <c r="H6" s="11"/>
    </row>
    <row r="7" spans="1:17">
      <c r="B7" s="12" t="s">
        <v>65</v>
      </c>
      <c r="C7" s="13" t="s">
        <v>66</v>
      </c>
      <c r="D7" s="6"/>
      <c r="E7" s="6"/>
      <c r="F7" s="6"/>
      <c r="G7" s="6"/>
      <c r="H7" s="6"/>
    </row>
    <row r="11" spans="1:17">
      <c r="A11" s="10"/>
      <c r="B11" s="10"/>
      <c r="C11" s="10"/>
      <c r="F11" s="10"/>
      <c r="G11" s="10"/>
      <c r="H11" s="10"/>
      <c r="I11" s="15"/>
      <c r="J11" s="10"/>
    </row>
    <row r="12" spans="1:17" ht="65.650000000000006">
      <c r="B12" s="16" t="s">
        <v>6</v>
      </c>
      <c r="C12" s="16" t="s">
        <v>67</v>
      </c>
      <c r="D12" s="16" t="s">
        <v>68</v>
      </c>
      <c r="E12" s="16" t="s">
        <v>69</v>
      </c>
      <c r="F12" s="16" t="s">
        <v>70</v>
      </c>
      <c r="G12" s="16" t="s">
        <v>155</v>
      </c>
      <c r="H12" s="17" t="s">
        <v>156</v>
      </c>
      <c r="I12" s="18" t="s">
        <v>71</v>
      </c>
      <c r="J12" s="16" t="s">
        <v>72</v>
      </c>
      <c r="K12" s="16" t="s">
        <v>73</v>
      </c>
      <c r="L12" s="16" t="s">
        <v>74</v>
      </c>
      <c r="M12" s="18" t="s">
        <v>75</v>
      </c>
      <c r="P12" s="19"/>
      <c r="Q12" s="19"/>
    </row>
    <row r="13" spans="1:17" ht="13.15">
      <c r="A13" s="20">
        <v>1</v>
      </c>
      <c r="B13" s="21" t="s">
        <v>8</v>
      </c>
      <c r="C13" s="231">
        <f>SUMIFS(Data!$F$8:$F$252,Data!$B$8:$B$252,$B13,Data!$C$8:$C$252,"&gt;2020")</f>
        <v>218.99233412896689</v>
      </c>
      <c r="D13" s="189">
        <v>0</v>
      </c>
      <c r="E13" s="189">
        <v>59.027526634600775</v>
      </c>
      <c r="F13" s="190">
        <f>E13-D13</f>
        <v>59.027526634600775</v>
      </c>
      <c r="G13" s="231">
        <f>F13+C13</f>
        <v>278.01986076356764</v>
      </c>
      <c r="H13" s="231">
        <f>INDEX('Modelled unit costs'!$L$7:$L$27,MATCH(Allowance!$B13,'Modelled unit costs'!$A$7:$A$27,0))</f>
        <v>186.13090842426533</v>
      </c>
      <c r="I13" s="232">
        <f t="shared" ref="I13:I29" si="0">MIN(G13,H13)</f>
        <v>186.13090842426533</v>
      </c>
      <c r="J13" s="234">
        <v>0</v>
      </c>
      <c r="K13" s="231">
        <f>$I13*$J13</f>
        <v>0</v>
      </c>
      <c r="L13" s="231">
        <f>$I13*(1-$J13)</f>
        <v>186.13090842426533</v>
      </c>
      <c r="M13" s="23">
        <f>IFERROR(-(I13-$G13)/$G13,"")</f>
        <v>0.3305121874636362</v>
      </c>
      <c r="P13" s="24"/>
      <c r="Q13" s="25"/>
    </row>
    <row r="14" spans="1:17" ht="13.15">
      <c r="A14" s="20">
        <v>2</v>
      </c>
      <c r="B14" s="21" t="s">
        <v>28</v>
      </c>
      <c r="C14" s="231">
        <f>SUMIFS(Data!$F$8:$F$252,Data!$B$8:$B$252,$B14,Data!$C$8:$C$252,"&gt;2020")</f>
        <v>5.362042650002028</v>
      </c>
      <c r="D14" s="189">
        <v>0</v>
      </c>
      <c r="E14" s="189">
        <v>0</v>
      </c>
      <c r="F14" s="190">
        <f t="shared" ref="F14:F29" si="1">E14-D14</f>
        <v>0</v>
      </c>
      <c r="G14" s="231">
        <f t="shared" ref="G14:G29" si="2">F14+C14</f>
        <v>5.362042650002028</v>
      </c>
      <c r="H14" s="231">
        <f>INDEX('Modelled unit costs'!$L$7:$L$27,MATCH(Allowance!$B14,'Modelled unit costs'!$A$7:$A$27,0))</f>
        <v>2.422202997393192</v>
      </c>
      <c r="I14" s="232">
        <f t="shared" si="0"/>
        <v>2.422202997393192</v>
      </c>
      <c r="J14" s="234">
        <v>0</v>
      </c>
      <c r="K14" s="231">
        <f t="shared" ref="K14:K29" si="3">$I14*$J14</f>
        <v>0</v>
      </c>
      <c r="L14" s="231">
        <f t="shared" ref="L14:L29" si="4">$I14*(1-$J14)</f>
        <v>2.422202997393192</v>
      </c>
      <c r="M14" s="23">
        <f t="shared" ref="M14:M29" si="5">IFERROR(-(I14-$G14)/$G14,"")</f>
        <v>0.54826860666759603</v>
      </c>
      <c r="P14" s="24"/>
      <c r="Q14" s="25"/>
    </row>
    <row r="15" spans="1:17" ht="13.15">
      <c r="A15" s="20">
        <v>3</v>
      </c>
      <c r="B15" s="21" t="s">
        <v>9</v>
      </c>
      <c r="C15" s="231">
        <f>SUMIFS(Data!$F$8:$F$252,Data!$B$8:$B$252,$B15,Data!$C$8:$C$252,"&gt;2020")</f>
        <v>74.784999999999997</v>
      </c>
      <c r="D15" s="189">
        <v>0</v>
      </c>
      <c r="E15" s="189">
        <v>14.398999999999997</v>
      </c>
      <c r="F15" s="190">
        <f t="shared" si="1"/>
        <v>14.398999999999997</v>
      </c>
      <c r="G15" s="231">
        <f t="shared" si="2"/>
        <v>89.183999999999997</v>
      </c>
      <c r="H15" s="231">
        <f>INDEX('Modelled unit costs'!$L$7:$L$27,MATCH(Allowance!$B15,'Modelled unit costs'!$A$7:$A$27,0))</f>
        <v>92.332312502219338</v>
      </c>
      <c r="I15" s="232">
        <f t="shared" si="0"/>
        <v>89.183999999999997</v>
      </c>
      <c r="J15" s="234">
        <v>0</v>
      </c>
      <c r="K15" s="231">
        <f t="shared" si="3"/>
        <v>0</v>
      </c>
      <c r="L15" s="231">
        <f t="shared" si="4"/>
        <v>89.183999999999997</v>
      </c>
      <c r="M15" s="23">
        <f t="shared" si="5"/>
        <v>0</v>
      </c>
      <c r="P15" s="24"/>
      <c r="Q15" s="25"/>
    </row>
    <row r="16" spans="1:17" ht="13.15">
      <c r="A16" s="20">
        <v>4</v>
      </c>
      <c r="B16" s="21" t="s">
        <v>10</v>
      </c>
      <c r="C16" s="231">
        <f>SUMIFS(Data!$F$8:$F$252,Data!$B$8:$B$252,$B16,Data!$C$8:$C$252,"&gt;2020")</f>
        <v>141.62277906741321</v>
      </c>
      <c r="D16" s="189">
        <v>0</v>
      </c>
      <c r="E16" s="189">
        <v>0</v>
      </c>
      <c r="F16" s="190">
        <f t="shared" si="1"/>
        <v>0</v>
      </c>
      <c r="G16" s="231">
        <f t="shared" si="2"/>
        <v>141.62277906741321</v>
      </c>
      <c r="H16" s="231">
        <f>INDEX('Modelled unit costs'!$L$7:$L$27,MATCH(Allowance!$B16,'Modelled unit costs'!$A$7:$A$27,0))</f>
        <v>140.98092303765569</v>
      </c>
      <c r="I16" s="232">
        <f t="shared" si="0"/>
        <v>140.98092303765569</v>
      </c>
      <c r="J16" s="234">
        <v>0</v>
      </c>
      <c r="K16" s="231">
        <f t="shared" si="3"/>
        <v>0</v>
      </c>
      <c r="L16" s="231">
        <f t="shared" si="4"/>
        <v>140.98092303765569</v>
      </c>
      <c r="M16" s="23">
        <f t="shared" si="5"/>
        <v>4.5321524827019021E-3</v>
      </c>
      <c r="P16" s="24"/>
      <c r="Q16" s="25"/>
    </row>
    <row r="17" spans="1:17" ht="13.15">
      <c r="A17" s="20">
        <v>5</v>
      </c>
      <c r="B17" s="21" t="s">
        <v>11</v>
      </c>
      <c r="C17" s="231">
        <f>SUMIFS(Data!$F$8:$F$252,Data!$B$8:$B$252,$B17,Data!$C$8:$C$252,"&gt;2020")</f>
        <v>102.663</v>
      </c>
      <c r="D17" s="189">
        <v>0</v>
      </c>
      <c r="E17" s="189">
        <v>0</v>
      </c>
      <c r="F17" s="190">
        <f t="shared" si="1"/>
        <v>0</v>
      </c>
      <c r="G17" s="231">
        <f t="shared" si="2"/>
        <v>102.663</v>
      </c>
      <c r="H17" s="231">
        <f>INDEX('Modelled unit costs'!$L$7:$L$27,MATCH(Allowance!$B17,'Modelled unit costs'!$A$7:$A$27,0))</f>
        <v>65.783266437982434</v>
      </c>
      <c r="I17" s="232">
        <f t="shared" si="0"/>
        <v>65.783266437982434</v>
      </c>
      <c r="J17" s="234">
        <v>0</v>
      </c>
      <c r="K17" s="231">
        <f t="shared" si="3"/>
        <v>0</v>
      </c>
      <c r="L17" s="231">
        <f t="shared" si="4"/>
        <v>65.783266437982434</v>
      </c>
      <c r="M17" s="23">
        <f t="shared" si="5"/>
        <v>0.35923101372468724</v>
      </c>
      <c r="P17" s="24"/>
      <c r="Q17" s="25"/>
    </row>
    <row r="18" spans="1:17" ht="13.15">
      <c r="A18" s="20">
        <v>6</v>
      </c>
      <c r="B18" s="21" t="s">
        <v>27</v>
      </c>
      <c r="C18" s="231">
        <f>SUMIFS(Data!$F$8:$F$252,Data!$B$8:$B$252,$B18,Data!$C$8:$C$252,"&gt;2020")</f>
        <v>258.166</v>
      </c>
      <c r="D18" s="189">
        <v>0</v>
      </c>
      <c r="E18" s="189">
        <v>0</v>
      </c>
      <c r="F18" s="190">
        <f t="shared" si="1"/>
        <v>0</v>
      </c>
      <c r="G18" s="231">
        <f t="shared" si="2"/>
        <v>258.166</v>
      </c>
      <c r="H18" s="231">
        <f>INDEX('Modelled unit costs'!$L$7:$L$27,MATCH(Allowance!$B18,'Modelled unit costs'!$A$7:$A$27,0))</f>
        <v>131.43767504829839</v>
      </c>
      <c r="I18" s="232">
        <f t="shared" si="0"/>
        <v>131.43767504829839</v>
      </c>
      <c r="J18" s="234">
        <v>0</v>
      </c>
      <c r="K18" s="231">
        <f t="shared" si="3"/>
        <v>0</v>
      </c>
      <c r="L18" s="231">
        <f t="shared" si="4"/>
        <v>131.43767504829839</v>
      </c>
      <c r="M18" s="23">
        <f t="shared" si="5"/>
        <v>0.49087922093421138</v>
      </c>
      <c r="P18" s="24"/>
      <c r="Q18" s="25"/>
    </row>
    <row r="19" spans="1:17" ht="13.15">
      <c r="A19" s="20">
        <v>7</v>
      </c>
      <c r="B19" s="21" t="s">
        <v>14</v>
      </c>
      <c r="C19" s="231">
        <f>SUMIFS(Data!$F$8:$F$252,Data!$B$8:$B$252,$B19,Data!$C$8:$C$252,"&gt;2020")</f>
        <v>47.432000000000002</v>
      </c>
      <c r="D19" s="189">
        <v>0</v>
      </c>
      <c r="E19" s="189">
        <v>7.9789999999999992</v>
      </c>
      <c r="F19" s="190">
        <f t="shared" si="1"/>
        <v>7.9789999999999992</v>
      </c>
      <c r="G19" s="231">
        <f>F19+C19</f>
        <v>55.411000000000001</v>
      </c>
      <c r="H19" s="231">
        <f>INDEX('Modelled unit costs'!$L$7:$L$27,MATCH(Allowance!$B19,'Modelled unit costs'!$A$7:$A$27,0))</f>
        <v>46.839046674089516</v>
      </c>
      <c r="I19" s="232">
        <f t="shared" si="0"/>
        <v>46.839046674089516</v>
      </c>
      <c r="J19" s="234">
        <v>0</v>
      </c>
      <c r="K19" s="231">
        <f t="shared" si="3"/>
        <v>0</v>
      </c>
      <c r="L19" s="231">
        <f t="shared" si="4"/>
        <v>46.839046674089516</v>
      </c>
      <c r="M19" s="23">
        <f t="shared" si="5"/>
        <v>0.15469768323817445</v>
      </c>
      <c r="P19" s="24"/>
      <c r="Q19" s="25"/>
    </row>
    <row r="20" spans="1:17" ht="13.15">
      <c r="A20" s="20">
        <v>8</v>
      </c>
      <c r="B20" s="21" t="s">
        <v>15</v>
      </c>
      <c r="C20" s="231">
        <f>SUMIFS(Data!$F$8:$F$252,Data!$B$8:$B$252,$B20,Data!$C$8:$C$252,"&gt;2020")</f>
        <v>250.33482647010399</v>
      </c>
      <c r="D20" s="189">
        <v>0</v>
      </c>
      <c r="E20" s="189">
        <v>0</v>
      </c>
      <c r="F20" s="190">
        <f t="shared" si="1"/>
        <v>0</v>
      </c>
      <c r="G20" s="231">
        <f t="shared" si="2"/>
        <v>250.33482647010399</v>
      </c>
      <c r="H20" s="231">
        <f>INDEX('Modelled unit costs'!$L$7:$L$27,MATCH(Allowance!$B20,'Modelled unit costs'!$A$7:$A$27,0))</f>
        <v>218.25750219320193</v>
      </c>
      <c r="I20" s="232">
        <f t="shared" si="0"/>
        <v>218.25750219320193</v>
      </c>
      <c r="J20" s="234">
        <v>0</v>
      </c>
      <c r="K20" s="231">
        <f t="shared" si="3"/>
        <v>0</v>
      </c>
      <c r="L20" s="231">
        <f t="shared" si="4"/>
        <v>218.25750219320193</v>
      </c>
      <c r="M20" s="23">
        <f t="shared" si="5"/>
        <v>0.12813768155719582</v>
      </c>
      <c r="P20" s="24"/>
      <c r="Q20" s="25"/>
    </row>
    <row r="21" spans="1:17" ht="13.15">
      <c r="A21" s="20">
        <v>9</v>
      </c>
      <c r="B21" s="21" t="s">
        <v>16</v>
      </c>
      <c r="C21" s="231">
        <f>SUMIFS(Data!$F$8:$F$252,Data!$B$8:$B$252,$B21,Data!$C$8:$C$252,"&gt;2020")</f>
        <v>51.667000000000002</v>
      </c>
      <c r="D21" s="189">
        <v>0</v>
      </c>
      <c r="E21" s="189">
        <v>0</v>
      </c>
      <c r="F21" s="190">
        <f t="shared" si="1"/>
        <v>0</v>
      </c>
      <c r="G21" s="231">
        <f t="shared" si="2"/>
        <v>51.667000000000002</v>
      </c>
      <c r="H21" s="231">
        <f>INDEX('Modelled unit costs'!$L$7:$L$27,MATCH(Allowance!$B21,'Modelled unit costs'!$A$7:$A$27,0))</f>
        <v>45.945909950134329</v>
      </c>
      <c r="I21" s="232">
        <f t="shared" si="0"/>
        <v>45.945909950134329</v>
      </c>
      <c r="J21" s="234">
        <v>0</v>
      </c>
      <c r="K21" s="231">
        <f t="shared" si="3"/>
        <v>0</v>
      </c>
      <c r="L21" s="231">
        <f t="shared" si="4"/>
        <v>45.945909950134329</v>
      </c>
      <c r="M21" s="23">
        <f t="shared" si="5"/>
        <v>0.11073006077120159</v>
      </c>
      <c r="P21" s="24"/>
      <c r="Q21" s="25"/>
    </row>
    <row r="22" spans="1:17" ht="13.15">
      <c r="A22" s="20">
        <v>10</v>
      </c>
      <c r="B22" s="21" t="s">
        <v>17</v>
      </c>
      <c r="C22" s="231">
        <f>SUMIFS(Data!$F$8:$F$252,Data!$B$8:$B$252,$B22,Data!$C$8:$C$252,"&gt;2020")</f>
        <v>16.8923076923077</v>
      </c>
      <c r="D22" s="189">
        <v>0</v>
      </c>
      <c r="E22" s="189">
        <v>0</v>
      </c>
      <c r="F22" s="190">
        <f t="shared" si="1"/>
        <v>0</v>
      </c>
      <c r="G22" s="231">
        <f t="shared" si="2"/>
        <v>16.8923076923077</v>
      </c>
      <c r="H22" s="231">
        <f>INDEX('Modelled unit costs'!$L$7:$L$27,MATCH(Allowance!$B22,'Modelled unit costs'!$A$7:$A$27,0))</f>
        <v>33.717430269314846</v>
      </c>
      <c r="I22" s="232">
        <f t="shared" si="0"/>
        <v>16.8923076923077</v>
      </c>
      <c r="J22" s="234">
        <v>0</v>
      </c>
      <c r="K22" s="231">
        <f t="shared" si="3"/>
        <v>0</v>
      </c>
      <c r="L22" s="231">
        <f t="shared" si="4"/>
        <v>16.8923076923077</v>
      </c>
      <c r="M22" s="23">
        <f t="shared" si="5"/>
        <v>0</v>
      </c>
      <c r="P22" s="24"/>
      <c r="Q22" s="25"/>
    </row>
    <row r="23" spans="1:17" ht="13.15">
      <c r="A23" s="20">
        <v>11</v>
      </c>
      <c r="B23" s="21" t="s">
        <v>18</v>
      </c>
      <c r="C23" s="231">
        <f>SUMIFS(Data!$F$8:$F$252,Data!$B$8:$B$252,$B23,Data!$C$8:$C$252,"&gt;2020")</f>
        <v>40.899000000000001</v>
      </c>
      <c r="D23" s="189">
        <v>0</v>
      </c>
      <c r="E23" s="189">
        <v>0</v>
      </c>
      <c r="F23" s="190">
        <f t="shared" si="1"/>
        <v>0</v>
      </c>
      <c r="G23" s="231">
        <f t="shared" si="2"/>
        <v>40.899000000000001</v>
      </c>
      <c r="H23" s="231">
        <f>INDEX('Modelled unit costs'!$L$7:$L$27,MATCH(Allowance!$B23,'Modelled unit costs'!$A$7:$A$27,0))</f>
        <v>111.16762883868833</v>
      </c>
      <c r="I23" s="232">
        <f t="shared" si="0"/>
        <v>40.899000000000001</v>
      </c>
      <c r="J23" s="234">
        <v>0</v>
      </c>
      <c r="K23" s="231">
        <f t="shared" si="3"/>
        <v>0</v>
      </c>
      <c r="L23" s="231">
        <f t="shared" si="4"/>
        <v>40.899000000000001</v>
      </c>
      <c r="M23" s="23">
        <f t="shared" si="5"/>
        <v>0</v>
      </c>
      <c r="P23" s="24"/>
      <c r="Q23" s="25"/>
    </row>
    <row r="24" spans="1:17" ht="13.15">
      <c r="A24" s="20">
        <v>12</v>
      </c>
      <c r="B24" s="21" t="s">
        <v>19</v>
      </c>
      <c r="C24" s="231">
        <f>SUMIFS(Data!$F$8:$F$252,Data!$B$8:$B$252,$B24,Data!$C$8:$C$252,"&gt;2020")</f>
        <v>53.841999999999999</v>
      </c>
      <c r="D24" s="189">
        <v>0</v>
      </c>
      <c r="E24" s="189">
        <v>0</v>
      </c>
      <c r="F24" s="190">
        <f t="shared" si="1"/>
        <v>0</v>
      </c>
      <c r="G24" s="231">
        <f>F24+C24</f>
        <v>53.841999999999999</v>
      </c>
      <c r="H24" s="231">
        <f>INDEX('Modelled unit costs'!$L$7:$L$27,MATCH(Allowance!$B24,'Modelled unit costs'!$A$7:$A$27,0))</f>
        <v>82.36394583380175</v>
      </c>
      <c r="I24" s="232">
        <f t="shared" si="0"/>
        <v>53.841999999999999</v>
      </c>
      <c r="J24" s="234">
        <v>0</v>
      </c>
      <c r="K24" s="231">
        <f t="shared" si="3"/>
        <v>0</v>
      </c>
      <c r="L24" s="231">
        <f t="shared" si="4"/>
        <v>53.841999999999999</v>
      </c>
      <c r="M24" s="23">
        <f t="shared" si="5"/>
        <v>0</v>
      </c>
      <c r="P24" s="24"/>
      <c r="Q24" s="25"/>
    </row>
    <row r="25" spans="1:17" ht="13.15">
      <c r="A25" s="20">
        <v>13</v>
      </c>
      <c r="B25" s="21" t="s">
        <v>20</v>
      </c>
      <c r="C25" s="231">
        <f>SUMIFS(Data!$F$8:$F$252,Data!$B$8:$B$252,$B25,Data!$C$8:$C$252,"&gt;2020")</f>
        <v>26.768999999999998</v>
      </c>
      <c r="D25" s="189">
        <v>0</v>
      </c>
      <c r="E25" s="189">
        <v>0</v>
      </c>
      <c r="F25" s="190">
        <f t="shared" si="1"/>
        <v>0</v>
      </c>
      <c r="G25" s="231">
        <f t="shared" si="2"/>
        <v>26.768999999999998</v>
      </c>
      <c r="H25" s="231">
        <f>INDEX('Modelled unit costs'!$L$7:$L$27,MATCH(Allowance!$B25,'Modelled unit costs'!$A$7:$A$27,0))</f>
        <v>29.50692857066899</v>
      </c>
      <c r="I25" s="232">
        <f t="shared" si="0"/>
        <v>26.768999999999998</v>
      </c>
      <c r="J25" s="234">
        <v>0</v>
      </c>
      <c r="K25" s="231">
        <f t="shared" si="3"/>
        <v>0</v>
      </c>
      <c r="L25" s="231">
        <f t="shared" si="4"/>
        <v>26.768999999999998</v>
      </c>
      <c r="M25" s="23">
        <f t="shared" si="5"/>
        <v>0</v>
      </c>
      <c r="P25" s="24"/>
      <c r="Q25" s="25"/>
    </row>
    <row r="26" spans="1:17" ht="13.15">
      <c r="A26" s="20">
        <v>14</v>
      </c>
      <c r="B26" s="21" t="s">
        <v>23</v>
      </c>
      <c r="C26" s="231">
        <f>SUMIFS(Data!$F$8:$F$252,Data!$B$8:$B$252,$B26,Data!$C$8:$C$252,"&gt;2020")</f>
        <v>4.92</v>
      </c>
      <c r="D26" s="189">
        <v>0</v>
      </c>
      <c r="E26" s="189">
        <v>0.24499999999999997</v>
      </c>
      <c r="F26" s="190">
        <f t="shared" si="1"/>
        <v>0.24499999999999997</v>
      </c>
      <c r="G26" s="231">
        <f t="shared" si="2"/>
        <v>5.165</v>
      </c>
      <c r="H26" s="231">
        <f>INDEX('Modelled unit costs'!$L$7:$L$27,MATCH(Allowance!$B26,'Modelled unit costs'!$A$7:$A$27,0))</f>
        <v>9.7505822165129796</v>
      </c>
      <c r="I26" s="232">
        <f t="shared" si="0"/>
        <v>5.165</v>
      </c>
      <c r="J26" s="234">
        <v>0</v>
      </c>
      <c r="K26" s="231">
        <f t="shared" si="3"/>
        <v>0</v>
      </c>
      <c r="L26" s="231">
        <f t="shared" si="4"/>
        <v>5.165</v>
      </c>
      <c r="M26" s="23">
        <f t="shared" si="5"/>
        <v>0</v>
      </c>
      <c r="P26" s="24"/>
      <c r="Q26" s="25"/>
    </row>
    <row r="27" spans="1:17" ht="13.15">
      <c r="A27" s="20">
        <v>15</v>
      </c>
      <c r="B27" s="21" t="s">
        <v>24</v>
      </c>
      <c r="C27" s="231">
        <f>SUMIFS(Data!$F$8:$F$252,Data!$B$8:$B$252,$B27,Data!$C$8:$C$252,"&gt;2020")</f>
        <v>5.7009999999999987</v>
      </c>
      <c r="D27" s="189">
        <v>0</v>
      </c>
      <c r="E27" s="189">
        <v>3.7000000000000006</v>
      </c>
      <c r="F27" s="190">
        <f t="shared" si="1"/>
        <v>3.7000000000000006</v>
      </c>
      <c r="G27" s="231">
        <f t="shared" si="2"/>
        <v>9.4009999999999998</v>
      </c>
      <c r="H27" s="231">
        <f>INDEX('Modelled unit costs'!$L$7:$L$27,MATCH(Allowance!$B27,'Modelled unit costs'!$A$7:$A$27,0))</f>
        <v>12.78846222996598</v>
      </c>
      <c r="I27" s="232">
        <f t="shared" si="0"/>
        <v>9.4009999999999998</v>
      </c>
      <c r="J27" s="234">
        <v>0</v>
      </c>
      <c r="K27" s="231">
        <f t="shared" si="3"/>
        <v>0</v>
      </c>
      <c r="L27" s="231">
        <f t="shared" si="4"/>
        <v>9.4009999999999998</v>
      </c>
      <c r="M27" s="23">
        <f t="shared" si="5"/>
        <v>0</v>
      </c>
      <c r="P27" s="24"/>
      <c r="Q27" s="25"/>
    </row>
    <row r="28" spans="1:17" ht="13.15">
      <c r="A28" s="20">
        <v>16</v>
      </c>
      <c r="B28" s="21" t="s">
        <v>25</v>
      </c>
      <c r="C28" s="231">
        <f>SUMIFS(Data!$F$8:$F$252,Data!$B$8:$B$252,$B28,Data!$C$8:$C$252,"&gt;2020")</f>
        <v>83.742364812878122</v>
      </c>
      <c r="D28" s="189">
        <v>0</v>
      </c>
      <c r="E28" s="189">
        <v>58.27</v>
      </c>
      <c r="F28" s="190">
        <f t="shared" si="1"/>
        <v>58.27</v>
      </c>
      <c r="G28" s="231">
        <f t="shared" si="2"/>
        <v>142.01236481287813</v>
      </c>
      <c r="H28" s="231">
        <f>INDEX('Modelled unit costs'!$L$7:$L$27,MATCH(Allowance!$B28,'Modelled unit costs'!$A$7:$A$27,0))</f>
        <v>46.955498741271867</v>
      </c>
      <c r="I28" s="232">
        <f t="shared" si="0"/>
        <v>46.955498741271867</v>
      </c>
      <c r="J28" s="234">
        <v>9.6650049548791569E-4</v>
      </c>
      <c r="K28" s="231">
        <f t="shared" si="3"/>
        <v>4.5382512799321463E-2</v>
      </c>
      <c r="L28" s="231">
        <f t="shared" si="4"/>
        <v>46.910116228472546</v>
      </c>
      <c r="M28" s="23">
        <f t="shared" si="5"/>
        <v>0.66935626483551247</v>
      </c>
      <c r="P28" s="24"/>
      <c r="Q28" s="25"/>
    </row>
    <row r="29" spans="1:17" ht="13.15">
      <c r="A29" s="20">
        <v>17</v>
      </c>
      <c r="B29" s="21" t="s">
        <v>26</v>
      </c>
      <c r="C29" s="231">
        <f>SUMIFS(Data!$F$8:$F$252,Data!$B$8:$B$252,$B29,Data!$C$8:$C$252,"&gt;2020")</f>
        <v>74.948670600483339</v>
      </c>
      <c r="D29" s="189">
        <v>0</v>
      </c>
      <c r="E29" s="189">
        <v>0.49357234355671653</v>
      </c>
      <c r="F29" s="190">
        <f t="shared" si="1"/>
        <v>0.49357234355671653</v>
      </c>
      <c r="G29" s="231">
        <f t="shared" si="2"/>
        <v>75.442242944040061</v>
      </c>
      <c r="H29" s="231">
        <f>INDEX('Modelled unit costs'!$L$7:$L$27,MATCH(Allowance!$B29,'Modelled unit costs'!$A$7:$A$27,0))</f>
        <v>41.56729940940091</v>
      </c>
      <c r="I29" s="232">
        <f t="shared" si="0"/>
        <v>41.56729940940091</v>
      </c>
      <c r="J29" s="234">
        <v>0</v>
      </c>
      <c r="K29" s="231">
        <f t="shared" si="3"/>
        <v>0</v>
      </c>
      <c r="L29" s="231">
        <f t="shared" si="4"/>
        <v>41.56729940940091</v>
      </c>
      <c r="M29" s="23">
        <f t="shared" si="5"/>
        <v>0.44901824511986188</v>
      </c>
      <c r="P29" s="24"/>
      <c r="Q29" s="25"/>
    </row>
    <row r="30" spans="1:17" ht="13.15">
      <c r="B30" s="26" t="s">
        <v>53</v>
      </c>
      <c r="C30" s="27">
        <f t="shared" ref="C30:H30" si="6">SUM(C13:C29)</f>
        <v>1458.7393254221554</v>
      </c>
      <c r="D30" s="27">
        <f t="shared" si="6"/>
        <v>0</v>
      </c>
      <c r="E30" s="27">
        <f t="shared" si="6"/>
        <v>144.1140989781575</v>
      </c>
      <c r="F30" s="28">
        <f t="shared" si="6"/>
        <v>144.1140989781575</v>
      </c>
      <c r="G30" s="27">
        <f>SUM(G13:G29)</f>
        <v>1602.8534244003129</v>
      </c>
      <c r="H30" s="27">
        <f t="shared" si="6"/>
        <v>1297.947523374866</v>
      </c>
      <c r="I30" s="233">
        <f>SUM(I13:I29)</f>
        <v>1168.4725406060013</v>
      </c>
      <c r="J30" s="28"/>
      <c r="K30" s="27">
        <f>SUM(K13:K29)</f>
        <v>4.5382512799321463E-2</v>
      </c>
      <c r="L30" s="27">
        <f>SUM(L13:L29)</f>
        <v>1168.427158093202</v>
      </c>
      <c r="M30" s="29">
        <f>IFERROR(-(I30-$G30)/$G30,"")</f>
        <v>0.27100474515118539</v>
      </c>
      <c r="P30" s="24"/>
      <c r="Q30" s="25"/>
    </row>
    <row r="31" spans="1:17" ht="13.15">
      <c r="P31" s="30"/>
      <c r="Q31" s="31"/>
    </row>
    <row r="32" spans="1:17">
      <c r="C32" s="32"/>
      <c r="D32" s="32"/>
      <c r="E32" s="32"/>
      <c r="F32" s="32"/>
      <c r="G32" s="32"/>
      <c r="H32" s="32"/>
      <c r="I32" s="32"/>
      <c r="J32" s="32"/>
      <c r="K32" s="32"/>
      <c r="L32" s="32"/>
      <c r="M32" s="32"/>
    </row>
    <row r="33" spans="3:13">
      <c r="C33" s="32"/>
      <c r="D33" s="32"/>
      <c r="E33" s="32"/>
      <c r="F33" s="32"/>
      <c r="G33" s="32"/>
      <c r="H33" s="32"/>
      <c r="I33" s="32"/>
      <c r="J33" s="32"/>
      <c r="K33" s="32"/>
      <c r="L33" s="32"/>
      <c r="M33" s="32"/>
    </row>
    <row r="34" spans="3:13">
      <c r="H34" s="32"/>
      <c r="I34" s="32"/>
    </row>
    <row r="35" spans="3:13">
      <c r="H35" s="32"/>
      <c r="I35" s="32"/>
    </row>
    <row r="36" spans="3:13">
      <c r="H36" s="32"/>
      <c r="I36" s="32"/>
    </row>
    <row r="37" spans="3:13">
      <c r="H37" s="32"/>
      <c r="I37" s="32"/>
    </row>
    <row r="38" spans="3:13">
      <c r="H38" s="32"/>
      <c r="I38" s="32"/>
    </row>
    <row r="39" spans="3:13">
      <c r="H39" s="32"/>
      <c r="I39" s="32"/>
    </row>
    <row r="40" spans="3:13">
      <c r="H40" s="32"/>
      <c r="I40" s="32"/>
    </row>
    <row r="41" spans="3:13">
      <c r="H41" s="32"/>
      <c r="I41" s="32"/>
    </row>
    <row r="42" spans="3:13">
      <c r="H42" s="32"/>
      <c r="I42" s="32"/>
    </row>
    <row r="43" spans="3:13">
      <c r="H43" s="32"/>
      <c r="I43" s="32"/>
    </row>
    <row r="44" spans="3:13">
      <c r="H44" s="32"/>
      <c r="I44" s="32"/>
    </row>
    <row r="45" spans="3:13">
      <c r="H45" s="32"/>
      <c r="I45" s="32"/>
    </row>
    <row r="46" spans="3:13">
      <c r="H46" s="32"/>
      <c r="I46" s="32"/>
    </row>
    <row r="47" spans="3:13">
      <c r="H47" s="32"/>
      <c r="I47" s="32"/>
    </row>
    <row r="48" spans="3:13">
      <c r="H48" s="32"/>
      <c r="I48" s="32"/>
    </row>
    <row r="49" spans="8:9">
      <c r="H49" s="32"/>
      <c r="I49" s="32"/>
    </row>
  </sheetData>
  <dataValidations count="1">
    <dataValidation type="list" allowBlank="1" showInputMessage="1" showErrorMessage="1" sqref="C7:H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Controls</vt:lpstr>
      <vt:lpstr>Data</vt:lpstr>
      <vt:lpstr>Coeffs</vt:lpstr>
      <vt:lpstr>Forecast drivers</vt:lpstr>
      <vt:lpstr>Selected forecast drivers</vt:lpstr>
      <vt:lpstr>Modelled costs</vt:lpstr>
      <vt:lpstr>Modelled unit costs</vt:lpstr>
      <vt:lpstr>Allowance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2019-01-24T09:28:54Z</dcterms:created>
  <dcterms:modified xsi:type="dcterms:W3CDTF">2019-01-28T17:08:01Z</dcterms:modified>
</cp:coreProperties>
</file>