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3160" windowHeight="9290"/>
  </bookViews>
  <sheets>
    <sheet name="Cover" sheetId="22" r:id="rId1"/>
    <sheet name="Data" sheetId="41" r:id="rId2"/>
    <sheet name="Analysis" sheetId="82" r:id="rId3"/>
    <sheet name="Allowance" sheetId="81" r:id="rId4"/>
  </sheets>
  <calcPr calcId="152511"/>
</workbook>
</file>

<file path=xl/calcChain.xml><?xml version="1.0" encoding="utf-8"?>
<calcChain xmlns="http://schemas.openxmlformats.org/spreadsheetml/2006/main">
  <c r="F15" i="81" l="1"/>
  <c r="F17" i="81"/>
  <c r="F22" i="81"/>
  <c r="F24" i="81"/>
  <c r="F26" i="81"/>
  <c r="F28" i="81"/>
  <c r="F29" i="81"/>
  <c r="F27" i="81" l="1"/>
  <c r="F13" i="81"/>
  <c r="F25" i="81"/>
  <c r="F21" i="81"/>
  <c r="F19" i="81"/>
  <c r="F20" i="81"/>
  <c r="F18" i="81"/>
  <c r="F23" i="81"/>
  <c r="F16" i="81"/>
  <c r="F14" i="81"/>
  <c r="H14" i="81"/>
  <c r="H16" i="81" l="1"/>
  <c r="H17" i="81"/>
  <c r="H19" i="81"/>
  <c r="H20" i="81"/>
  <c r="H22" i="81"/>
  <c r="H23" i="81"/>
  <c r="H26" i="81"/>
  <c r="H27" i="81"/>
  <c r="H29" i="81"/>
  <c r="H13" i="81"/>
  <c r="A5" i="82" l="1"/>
  <c r="A4" i="82"/>
  <c r="J30" i="81" l="1"/>
  <c r="D30" i="81" l="1"/>
  <c r="F30" i="81" l="1"/>
  <c r="E30" i="81"/>
  <c r="A96" i="41" l="1"/>
  <c r="A101" i="41"/>
  <c r="A97" i="41"/>
  <c r="A102" i="41" l="1"/>
  <c r="A98" i="41"/>
  <c r="A103" i="41" l="1"/>
  <c r="A99" i="41"/>
  <c r="A100" i="41"/>
  <c r="A105" i="41" l="1"/>
  <c r="A104" i="41"/>
  <c r="B9" i="82" l="1"/>
  <c r="B7" i="82"/>
  <c r="E7" i="82"/>
  <c r="D9" i="82"/>
  <c r="C9" i="82"/>
  <c r="D18" i="82" l="1"/>
  <c r="D19" i="82"/>
  <c r="B20" i="82"/>
  <c r="D7" i="82"/>
  <c r="C19" i="82"/>
  <c r="E17" i="82"/>
  <c r="E20" i="82"/>
  <c r="E19" i="82"/>
  <c r="B17" i="82"/>
  <c r="C20" i="82"/>
  <c r="B11" i="82"/>
  <c r="E9" i="82"/>
  <c r="C14" i="82"/>
  <c r="D16" i="82"/>
  <c r="D20" i="82"/>
  <c r="D13" i="82"/>
  <c r="C16" i="82"/>
  <c r="B21" i="82"/>
  <c r="E10" i="82"/>
  <c r="D14" i="82"/>
  <c r="C23" i="82"/>
  <c r="B16" i="82"/>
  <c r="B23" i="82"/>
  <c r="D23" i="82"/>
  <c r="C22" i="82"/>
  <c r="B22" i="82"/>
  <c r="B18" i="82"/>
  <c r="D21" i="82"/>
  <c r="B12" i="82"/>
  <c r="E12" i="82"/>
  <c r="B8" i="82"/>
  <c r="E8" i="82"/>
  <c r="D12" i="82"/>
  <c r="D8" i="82"/>
  <c r="C12" i="82"/>
  <c r="C8" i="82"/>
  <c r="E11" i="82"/>
  <c r="F17" i="82"/>
  <c r="E23" i="82"/>
  <c r="E21" i="82"/>
  <c r="F20" i="82"/>
  <c r="B10" i="82"/>
  <c r="C11" i="82"/>
  <c r="C7" i="82"/>
  <c r="E18" i="82"/>
  <c r="D11" i="82"/>
  <c r="D15" i="82"/>
  <c r="B14" i="82"/>
  <c r="B19" i="82"/>
  <c r="B13" i="82"/>
  <c r="D10" i="82"/>
  <c r="C13" i="82"/>
  <c r="B15" i="82"/>
  <c r="E14" i="82"/>
  <c r="F18" i="82"/>
  <c r="E15" i="82"/>
  <c r="E16" i="82"/>
  <c r="C18" i="82"/>
  <c r="D22" i="82"/>
  <c r="E13" i="82"/>
  <c r="C17" i="82"/>
  <c r="C10" i="82"/>
  <c r="C21" i="82"/>
  <c r="D17" i="82"/>
  <c r="E22" i="82"/>
  <c r="C15" i="82"/>
  <c r="E24" i="82" l="1"/>
  <c r="B24" i="82"/>
  <c r="D24" i="82"/>
  <c r="C24" i="82"/>
  <c r="I10" i="82"/>
  <c r="I13" i="82"/>
  <c r="I7" i="82"/>
  <c r="I23" i="82"/>
  <c r="I20" i="82"/>
  <c r="I9" i="82"/>
  <c r="I22" i="82"/>
  <c r="I8" i="82"/>
  <c r="I15" i="82"/>
  <c r="I19" i="82"/>
  <c r="I11" i="82"/>
  <c r="I14" i="82"/>
  <c r="I18" i="82"/>
  <c r="I17" i="82"/>
  <c r="I21" i="82"/>
  <c r="I16" i="82"/>
  <c r="I12" i="82"/>
  <c r="G17" i="82"/>
  <c r="G18" i="82"/>
  <c r="L18" i="82" s="1"/>
  <c r="G20" i="82"/>
  <c r="F16" i="82"/>
  <c r="F14" i="82"/>
  <c r="F11" i="82"/>
  <c r="F23" i="82"/>
  <c r="F21" i="82"/>
  <c r="F8" i="82"/>
  <c r="F12" i="82"/>
  <c r="F10" i="82"/>
  <c r="F13" i="82"/>
  <c r="F22" i="82"/>
  <c r="F19" i="82"/>
  <c r="F9" i="82"/>
  <c r="F15" i="82"/>
  <c r="I24" i="82" l="1"/>
  <c r="J18" i="82"/>
  <c r="C26" i="81"/>
  <c r="J20" i="82"/>
  <c r="C23" i="81"/>
  <c r="J17" i="82"/>
  <c r="G9" i="82"/>
  <c r="G21" i="82"/>
  <c r="G22" i="82"/>
  <c r="G23" i="82"/>
  <c r="G14" i="82"/>
  <c r="J14" i="82" s="1"/>
  <c r="G15" i="82"/>
  <c r="L15" i="82" s="1"/>
  <c r="G19" i="82"/>
  <c r="G13" i="82"/>
  <c r="J13" i="82" s="1"/>
  <c r="G12" i="82"/>
  <c r="G8" i="82"/>
  <c r="G11" i="82"/>
  <c r="G16" i="82"/>
  <c r="C24" i="81"/>
  <c r="H24" i="81"/>
  <c r="G10" i="82"/>
  <c r="F7" i="82"/>
  <c r="F24" i="82" s="1"/>
  <c r="J9" i="82" l="1"/>
  <c r="L9" i="82"/>
  <c r="J12" i="82"/>
  <c r="L12" i="82"/>
  <c r="H18" i="81" s="1"/>
  <c r="J19" i="82"/>
  <c r="L19" i="82"/>
  <c r="H25" i="81" s="1"/>
  <c r="J22" i="82"/>
  <c r="L22" i="82"/>
  <c r="H28" i="81" s="1"/>
  <c r="J15" i="82"/>
  <c r="C21" i="81"/>
  <c r="C22" i="81"/>
  <c r="J16" i="82"/>
  <c r="C29" i="81"/>
  <c r="J23" i="82"/>
  <c r="C17" i="81"/>
  <c r="G17" i="81" s="1"/>
  <c r="J11" i="82"/>
  <c r="C16" i="81"/>
  <c r="J10" i="82"/>
  <c r="C14" i="81"/>
  <c r="G14" i="81" s="1"/>
  <c r="I14" i="81" s="1"/>
  <c r="J8" i="82"/>
  <c r="C27" i="81"/>
  <c r="J21" i="82"/>
  <c r="C19" i="81"/>
  <c r="C25" i="81"/>
  <c r="C28" i="81"/>
  <c r="H21" i="81"/>
  <c r="C18" i="81"/>
  <c r="G18" i="81" s="1"/>
  <c r="C20" i="81"/>
  <c r="H15" i="81"/>
  <c r="C15" i="81"/>
  <c r="G15" i="81" s="1"/>
  <c r="G7" i="82"/>
  <c r="G23" i="81"/>
  <c r="G26" i="81"/>
  <c r="G24" i="81"/>
  <c r="J7" i="82" l="1"/>
  <c r="G24" i="82"/>
  <c r="J24" i="82" s="1"/>
  <c r="L24" i="82"/>
  <c r="I18" i="81"/>
  <c r="L18" i="81" s="1"/>
  <c r="C13" i="81"/>
  <c r="K14" i="81"/>
  <c r="L14" i="81"/>
  <c r="G22" i="81"/>
  <c r="G16" i="81"/>
  <c r="G28" i="81"/>
  <c r="G27" i="81"/>
  <c r="G21" i="81"/>
  <c r="G19" i="81"/>
  <c r="G29" i="81"/>
  <c r="G25" i="81"/>
  <c r="G20" i="81"/>
  <c r="K18" i="81" l="1"/>
  <c r="C30" i="81"/>
  <c r="G13" i="81"/>
  <c r="I21" i="81"/>
  <c r="G30" i="81" l="1"/>
  <c r="I15" i="81" l="1"/>
  <c r="I24" i="81"/>
  <c r="I26" i="81"/>
  <c r="I17" i="81"/>
  <c r="I23" i="81"/>
  <c r="K24" i="81" l="1"/>
  <c r="L24" i="81"/>
  <c r="L23" i="81"/>
  <c r="K23" i="81"/>
  <c r="L15" i="81"/>
  <c r="K15" i="81"/>
  <c r="L17" i="81"/>
  <c r="K17" i="81"/>
  <c r="L26" i="81"/>
  <c r="K26" i="81"/>
  <c r="I20" i="81"/>
  <c r="I29" i="81"/>
  <c r="I16" i="81"/>
  <c r="I22" i="81"/>
  <c r="I27" i="81"/>
  <c r="I25" i="81"/>
  <c r="I28" i="81"/>
  <c r="I19" i="81"/>
  <c r="L19" i="81" l="1"/>
  <c r="K19" i="81"/>
  <c r="L25" i="81"/>
  <c r="K25" i="81"/>
  <c r="K16" i="81"/>
  <c r="L16" i="81"/>
  <c r="L27" i="81"/>
  <c r="K27" i="81"/>
  <c r="K22" i="81"/>
  <c r="L22" i="81"/>
  <c r="L28" i="81"/>
  <c r="K28" i="81"/>
  <c r="L29" i="81"/>
  <c r="K29" i="81"/>
  <c r="L21" i="81"/>
  <c r="K21" i="81"/>
  <c r="K20" i="81"/>
  <c r="L20" i="81"/>
  <c r="H30" i="81" l="1"/>
  <c r="I13" i="81"/>
  <c r="K13" i="81" l="1"/>
  <c r="L13" i="81"/>
  <c r="I30" i="81"/>
  <c r="L30" i="81" l="1"/>
  <c r="K30" i="81"/>
</calcChain>
</file>

<file path=xl/sharedStrings.xml><?xml version="1.0" encoding="utf-8"?>
<sst xmlns="http://schemas.openxmlformats.org/spreadsheetml/2006/main" count="282" uniqueCount="149">
  <si>
    <t>ANH</t>
  </si>
  <si>
    <t>NES</t>
  </si>
  <si>
    <t>NWT</t>
  </si>
  <si>
    <t>SRN</t>
  </si>
  <si>
    <t>SVT</t>
  </si>
  <si>
    <t>SWB</t>
  </si>
  <si>
    <t>TMS</t>
  </si>
  <si>
    <t>WSH</t>
  </si>
  <si>
    <t>WSX</t>
  </si>
  <si>
    <t>YKY</t>
  </si>
  <si>
    <t>AFW</t>
  </si>
  <si>
    <t>BRL</t>
  </si>
  <si>
    <t>DVW</t>
  </si>
  <si>
    <t>PRT</t>
  </si>
  <si>
    <t>SES</t>
  </si>
  <si>
    <t>SEW</t>
  </si>
  <si>
    <t>SSC</t>
  </si>
  <si>
    <t>Company</t>
  </si>
  <si>
    <t>W3027CAW</t>
  </si>
  <si>
    <t>Assessor's name</t>
  </si>
  <si>
    <t>Control</t>
  </si>
  <si>
    <t>Wholesale water</t>
  </si>
  <si>
    <t>Shallow dive</t>
  </si>
  <si>
    <t>BWH</t>
  </si>
  <si>
    <t>ANH21</t>
  </si>
  <si>
    <t>ANH22</t>
  </si>
  <si>
    <t>ANH23</t>
  </si>
  <si>
    <t>ANH24</t>
  </si>
  <si>
    <t>ANH25</t>
  </si>
  <si>
    <t>NES21</t>
  </si>
  <si>
    <t>NES22</t>
  </si>
  <si>
    <t>NES23</t>
  </si>
  <si>
    <t>NES24</t>
  </si>
  <si>
    <t>NES25</t>
  </si>
  <si>
    <t>NWT21</t>
  </si>
  <si>
    <t>NWT22</t>
  </si>
  <si>
    <t>NWT23</t>
  </si>
  <si>
    <t>NWT24</t>
  </si>
  <si>
    <t>NWT25</t>
  </si>
  <si>
    <t>SRN21</t>
  </si>
  <si>
    <t>SRN22</t>
  </si>
  <si>
    <t>SRN23</t>
  </si>
  <si>
    <t>SRN24</t>
  </si>
  <si>
    <t>SRN25</t>
  </si>
  <si>
    <t>SVT21</t>
  </si>
  <si>
    <t>SVT22</t>
  </si>
  <si>
    <t>SVT23</t>
  </si>
  <si>
    <t>SVT24</t>
  </si>
  <si>
    <t>SVT25</t>
  </si>
  <si>
    <t>SWB21</t>
  </si>
  <si>
    <t>SWB22</t>
  </si>
  <si>
    <t>SWB23</t>
  </si>
  <si>
    <t>SWB24</t>
  </si>
  <si>
    <t>SWB25</t>
  </si>
  <si>
    <t>TMS21</t>
  </si>
  <si>
    <t>TMS22</t>
  </si>
  <si>
    <t>TMS23</t>
  </si>
  <si>
    <t>TMS24</t>
  </si>
  <si>
    <t>TMS25</t>
  </si>
  <si>
    <t>WSH21</t>
  </si>
  <si>
    <t>WSH22</t>
  </si>
  <si>
    <t>WSH23</t>
  </si>
  <si>
    <t>WSH24</t>
  </si>
  <si>
    <t>WSH25</t>
  </si>
  <si>
    <t>WSX21</t>
  </si>
  <si>
    <t>WSX22</t>
  </si>
  <si>
    <t>WSX23</t>
  </si>
  <si>
    <t>WSX24</t>
  </si>
  <si>
    <t>WSX25</t>
  </si>
  <si>
    <t>YKY21</t>
  </si>
  <si>
    <t>YKY22</t>
  </si>
  <si>
    <t>YKY23</t>
  </si>
  <si>
    <t>YKY24</t>
  </si>
  <si>
    <t>YKY25</t>
  </si>
  <si>
    <t>AFW21</t>
  </si>
  <si>
    <t>AFW22</t>
  </si>
  <si>
    <t>AFW23</t>
  </si>
  <si>
    <t>AFW24</t>
  </si>
  <si>
    <t>AFW25</t>
  </si>
  <si>
    <t>BRL21</t>
  </si>
  <si>
    <t>BRL22</t>
  </si>
  <si>
    <t>BRL23</t>
  </si>
  <si>
    <t>BRL24</t>
  </si>
  <si>
    <t>BRL25</t>
  </si>
  <si>
    <t>BWH21</t>
  </si>
  <si>
    <t>BWH22</t>
  </si>
  <si>
    <t>BWH23</t>
  </si>
  <si>
    <t>BWH24</t>
  </si>
  <si>
    <t>BWH25</t>
  </si>
  <si>
    <t>DVW21</t>
  </si>
  <si>
    <t>DVW22</t>
  </si>
  <si>
    <t>DVW23</t>
  </si>
  <si>
    <t>DVW24</t>
  </si>
  <si>
    <t>DVW25</t>
  </si>
  <si>
    <t>PRT21</t>
  </si>
  <si>
    <t>PRT22</t>
  </si>
  <si>
    <t>PRT23</t>
  </si>
  <si>
    <t>PRT24</t>
  </si>
  <si>
    <t>PRT25</t>
  </si>
  <si>
    <t>SES21</t>
  </si>
  <si>
    <t>SES22</t>
  </si>
  <si>
    <t>SES23</t>
  </si>
  <si>
    <t>SES24</t>
  </si>
  <si>
    <t>SES25</t>
  </si>
  <si>
    <t>SEW21</t>
  </si>
  <si>
    <t>SEW22</t>
  </si>
  <si>
    <t>SEW23</t>
  </si>
  <si>
    <t>SEW24</t>
  </si>
  <si>
    <t>SEW25</t>
  </si>
  <si>
    <t>SSC21</t>
  </si>
  <si>
    <t>SSC22</t>
  </si>
  <si>
    <t>SSC23</t>
  </si>
  <si>
    <t>SSC24</t>
  </si>
  <si>
    <t>SSC25</t>
  </si>
  <si>
    <t>SVE</t>
  </si>
  <si>
    <t>HDD</t>
  </si>
  <si>
    <t>realW3026TECAW</t>
  </si>
  <si>
    <t>realW3027CAW</t>
  </si>
  <si>
    <t>Cover sheet</t>
  </si>
  <si>
    <t>Data</t>
  </si>
  <si>
    <t>Approach</t>
  </si>
  <si>
    <t>Materiality</t>
  </si>
  <si>
    <t>Total</t>
  </si>
  <si>
    <t>Capex allowed - network plus</t>
  </si>
  <si>
    <t>Cost allowance for AMP7 (£m)</t>
  </si>
  <si>
    <t>Enhancement line</t>
  </si>
  <si>
    <t>BoN code</t>
  </si>
  <si>
    <t>Peer review (initials, date)</t>
  </si>
  <si>
    <t xml:space="preserve">Allowed costs </t>
  </si>
  <si>
    <t>Capex in business plan - wholesale water</t>
  </si>
  <si>
    <t>Capex allowed - wholesale water</t>
  </si>
  <si>
    <t>Proportion of water resources</t>
  </si>
  <si>
    <t>Capex allowed - water resources</t>
  </si>
  <si>
    <t>Capex reallocated out to other lines</t>
  </si>
  <si>
    <t>Capex reallocated in to this line</t>
  </si>
  <si>
    <t>Net Capex reallocated in</t>
  </si>
  <si>
    <t>Allowance</t>
  </si>
  <si>
    <t>Financial data in £m of 2017-18</t>
  </si>
  <si>
    <t>Improvements to river flows - capex</t>
  </si>
  <si>
    <t>Wholesale water totex</t>
  </si>
  <si>
    <t>Year</t>
  </si>
  <si>
    <t>Code</t>
  </si>
  <si>
    <t>Totex</t>
  </si>
  <si>
    <t>Improvements to river flows</t>
  </si>
  <si>
    <t>Materiality analysis and determination of allowance</t>
  </si>
  <si>
    <t>Capex after reallocations</t>
  </si>
  <si>
    <t>Modelled Allowance</t>
  </si>
  <si>
    <t>PM</t>
  </si>
  <si>
    <t>AF 23/01/19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</si>
</sst>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00"/>
    <numFmt numFmtId="166" formatCode="#,##0_);\(#,##0\);&quot;-  &quot;;&quot; &quot;@&quot; &quot;"/>
    <numFmt numFmtId="167" formatCode="_-* #,##0.000_-;\-* #,##0.000_-;_-* &quot;-&quot;??_-;_-@_-"/>
    <numFmt numFmtId="168" formatCode="_(* #,##0.0_);_(* \(#,##0.0\);_(* &quot;-&quot;??_);_(@_)"/>
    <numFmt numFmtId="169" formatCode="_(* #,##0_);_(* \(#,##0\);_(* &quot;-&quot;??_);_(@_)"/>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1"/>
      <color indexed="8"/>
      <name val="Calibri"/>
      <family val="2"/>
      <scheme val="minor"/>
    </font>
    <font>
      <sz val="11"/>
      <color theme="1"/>
      <name val="Calibri"/>
      <family val="2"/>
      <scheme val="minor"/>
    </font>
    <font>
      <b/>
      <sz val="14"/>
      <color theme="1"/>
      <name val="Gill Sans MT"/>
      <family val="2"/>
    </font>
    <font>
      <sz val="10"/>
      <color theme="1"/>
      <name val="Calibri"/>
      <family val="2"/>
      <scheme val="minor"/>
    </font>
    <font>
      <sz val="9"/>
      <name val="Gill Sans MT"/>
      <family val="2"/>
    </font>
    <font>
      <sz val="11"/>
      <color theme="1"/>
      <name val="Gill Sans MT"/>
      <family val="2"/>
    </font>
    <font>
      <i/>
      <sz val="11"/>
      <color rgb="FF7F7F7F"/>
      <name val="Arial"/>
      <family val="2"/>
    </font>
    <font>
      <b/>
      <sz val="10"/>
      <color theme="1"/>
      <name val="Calibri"/>
      <family val="2"/>
      <scheme val="minor"/>
    </font>
    <font>
      <i/>
      <sz val="10"/>
      <color rgb="FF7F7F7F"/>
      <name val="Calibri"/>
      <family val="2"/>
      <scheme val="minor"/>
    </font>
    <font>
      <b/>
      <sz val="10"/>
      <name val="Calibri"/>
      <family val="2"/>
      <scheme val="minor"/>
    </font>
    <font>
      <sz val="14"/>
      <color theme="3"/>
      <name val="Calibri"/>
      <family val="2"/>
      <scheme val="minor"/>
    </font>
    <font>
      <sz val="10"/>
      <color theme="3"/>
      <name val="Calibri"/>
      <family val="2"/>
      <scheme val="minor"/>
    </font>
    <font>
      <sz val="12"/>
      <color theme="3"/>
      <name val="Calibri"/>
      <family val="2"/>
      <scheme val="minor"/>
    </font>
    <font>
      <b/>
      <sz val="14"/>
      <color theme="3"/>
      <name val="Calibri"/>
      <family val="2"/>
      <scheme val="minor"/>
    </font>
    <font>
      <b/>
      <sz val="10"/>
      <color theme="3"/>
      <name val="Calibri"/>
      <family val="2"/>
      <scheme val="minor"/>
    </font>
    <font>
      <b/>
      <sz val="14"/>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0" tint="-0.499984740745262"/>
      </bottom>
      <diagonal/>
    </border>
  </borders>
  <cellStyleXfs count="22">
    <xf numFmtId="0" fontId="0" fillId="0" borderId="0"/>
    <xf numFmtId="0" fontId="9" fillId="0" borderId="0"/>
    <xf numFmtId="0" fontId="8" fillId="0" borderId="0"/>
    <xf numFmtId="0" fontId="10" fillId="0" borderId="0"/>
    <xf numFmtId="0" fontId="11" fillId="0" borderId="0"/>
    <xf numFmtId="0" fontId="7" fillId="0" borderId="0"/>
    <xf numFmtId="164" fontId="11" fillId="0" borderId="0" applyFont="0" applyFill="0" applyBorder="0" applyAlignment="0" applyProtection="0"/>
    <xf numFmtId="9" fontId="11" fillId="0" borderId="0" applyFont="0" applyFill="0" applyBorder="0" applyAlignment="0" applyProtection="0"/>
    <xf numFmtId="0" fontId="6" fillId="0" borderId="0"/>
    <xf numFmtId="166" fontId="5" fillId="0" borderId="0" applyFont="0" applyFill="0" applyBorder="0" applyProtection="0">
      <alignment vertical="top"/>
    </xf>
    <xf numFmtId="0" fontId="11" fillId="0" borderId="0"/>
    <xf numFmtId="164" fontId="11" fillId="0" borderId="0" applyFont="0" applyFill="0" applyBorder="0" applyAlignment="0" applyProtection="0"/>
    <xf numFmtId="0" fontId="4" fillId="0" borderId="0"/>
    <xf numFmtId="0" fontId="3" fillId="0" borderId="0"/>
    <xf numFmtId="0" fontId="3" fillId="0" borderId="0"/>
    <xf numFmtId="164" fontId="11" fillId="0" borderId="0" applyFont="0" applyFill="0" applyBorder="0" applyAlignment="0" applyProtection="0"/>
    <xf numFmtId="0" fontId="11" fillId="0" borderId="0"/>
    <xf numFmtId="0" fontId="2" fillId="0" borderId="0"/>
    <xf numFmtId="0" fontId="16"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60">
    <xf numFmtId="0" fontId="0" fillId="0" borderId="0" xfId="0"/>
    <xf numFmtId="0" fontId="13" fillId="0" borderId="0" xfId="0" applyFont="1"/>
    <xf numFmtId="0" fontId="13" fillId="0" borderId="1" xfId="0" applyFont="1" applyBorder="1" applyAlignment="1">
      <alignment vertical="center"/>
    </xf>
    <xf numFmtId="0" fontId="12" fillId="3" borderId="2" xfId="10" applyFont="1" applyFill="1" applyBorder="1"/>
    <xf numFmtId="0" fontId="14" fillId="3" borderId="3" xfId="1" applyFont="1" applyFill="1" applyBorder="1"/>
    <xf numFmtId="0" fontId="15" fillId="0" borderId="0" xfId="0" applyFont="1"/>
    <xf numFmtId="0" fontId="15" fillId="0" borderId="0" xfId="0" applyFont="1" applyAlignment="1">
      <alignment horizontal="center" vertical="center"/>
    </xf>
    <xf numFmtId="0" fontId="17" fillId="0" borderId="0" xfId="0" applyFont="1"/>
    <xf numFmtId="0" fontId="17" fillId="2" borderId="1" xfId="0" applyFont="1" applyFill="1" applyBorder="1" applyAlignment="1">
      <alignment horizontal="left" wrapText="1"/>
    </xf>
    <xf numFmtId="0" fontId="17" fillId="2" borderId="1" xfId="0" quotePrefix="1" applyFont="1" applyFill="1" applyBorder="1" applyAlignment="1">
      <alignment horizontal="left" wrapText="1"/>
    </xf>
    <xf numFmtId="0" fontId="17" fillId="6" borderId="1" xfId="0" applyFont="1" applyFill="1" applyBorder="1" applyAlignment="1">
      <alignment horizontal="left" wrapText="1"/>
    </xf>
    <xf numFmtId="0" fontId="17" fillId="3" borderId="0" xfId="0" applyFont="1" applyFill="1"/>
    <xf numFmtId="0" fontId="13" fillId="5" borderId="1" xfId="0" applyFont="1" applyFill="1" applyBorder="1" applyAlignment="1">
      <alignment horizontal="left"/>
    </xf>
    <xf numFmtId="0" fontId="13" fillId="0" borderId="1" xfId="0" applyFont="1" applyBorder="1" applyAlignment="1"/>
    <xf numFmtId="0" fontId="13" fillId="0" borderId="0" xfId="0" applyFont="1" applyBorder="1" applyAlignment="1"/>
    <xf numFmtId="14" fontId="13" fillId="0" borderId="1" xfId="0" applyNumberFormat="1" applyFont="1" applyBorder="1"/>
    <xf numFmtId="0" fontId="13" fillId="0" borderId="0" xfId="0" applyFont="1" applyBorder="1"/>
    <xf numFmtId="0" fontId="13" fillId="0" borderId="0" xfId="0" applyFont="1" applyBorder="1" applyAlignment="1" applyProtection="1">
      <alignment horizontal="left"/>
      <protection locked="0"/>
    </xf>
    <xf numFmtId="0" fontId="18" fillId="0" borderId="0" xfId="18" applyFont="1"/>
    <xf numFmtId="14" fontId="13" fillId="0" borderId="0" xfId="0" applyNumberFormat="1" applyFont="1" applyBorder="1" applyAlignment="1" applyProtection="1">
      <alignment horizontal="left"/>
      <protection locked="0"/>
    </xf>
    <xf numFmtId="0" fontId="13" fillId="0" borderId="4" xfId="0" applyFont="1" applyBorder="1" applyAlignment="1">
      <alignment vertical="top"/>
    </xf>
    <xf numFmtId="0" fontId="13" fillId="0" borderId="4" xfId="0" applyFont="1" applyBorder="1" applyAlignment="1"/>
    <xf numFmtId="0" fontId="13" fillId="0" borderId="0" xfId="0" applyFont="1" applyFill="1"/>
    <xf numFmtId="0" fontId="13" fillId="0" borderId="1" xfId="21" applyFont="1" applyBorder="1" applyAlignment="1">
      <alignment horizontal="center"/>
    </xf>
    <xf numFmtId="0" fontId="13" fillId="0" borderId="1" xfId="21" applyFont="1" applyBorder="1"/>
    <xf numFmtId="167" fontId="13" fillId="0" borderId="1" xfId="6" applyNumberFormat="1" applyFont="1" applyBorder="1"/>
    <xf numFmtId="167" fontId="13" fillId="6" borderId="1" xfId="6" applyNumberFormat="1" applyFont="1" applyFill="1" applyBorder="1"/>
    <xf numFmtId="9" fontId="13" fillId="0" borderId="1" xfId="7" applyFont="1" applyBorder="1"/>
    <xf numFmtId="0" fontId="17" fillId="0" borderId="1" xfId="21" applyFont="1" applyBorder="1"/>
    <xf numFmtId="167" fontId="19" fillId="0" borderId="1" xfId="6" applyNumberFormat="1" applyFont="1" applyBorder="1"/>
    <xf numFmtId="167" fontId="17" fillId="6" borderId="1" xfId="6" applyNumberFormat="1" applyFont="1" applyFill="1" applyBorder="1"/>
    <xf numFmtId="165" fontId="13" fillId="0" borderId="1" xfId="0" applyNumberFormat="1" applyFont="1" applyBorder="1" applyAlignment="1">
      <alignment vertical="center" wrapText="1"/>
    </xf>
    <xf numFmtId="0" fontId="20" fillId="0" borderId="0" xfId="0" applyFont="1" applyAlignment="1">
      <alignment vertical="center"/>
    </xf>
    <xf numFmtId="0" fontId="17" fillId="2" borderId="1" xfId="0" applyNumberFormat="1" applyFont="1" applyFill="1" applyBorder="1" applyAlignment="1">
      <alignment horizontal="center"/>
    </xf>
    <xf numFmtId="168" fontId="13" fillId="0" borderId="1" xfId="6" applyNumberFormat="1" applyFont="1" applyBorder="1"/>
    <xf numFmtId="169" fontId="13" fillId="0" borderId="1" xfId="6" applyNumberFormat="1" applyFont="1" applyBorder="1"/>
    <xf numFmtId="10" fontId="13" fillId="0" borderId="1" xfId="7" applyNumberFormat="1" applyFont="1" applyBorder="1"/>
    <xf numFmtId="164" fontId="13" fillId="0" borderId="1" xfId="6" applyFont="1" applyBorder="1"/>
    <xf numFmtId="164" fontId="17" fillId="0" borderId="1" xfId="6" applyNumberFormat="1" applyFont="1" applyBorder="1"/>
    <xf numFmtId="164" fontId="13" fillId="0" borderId="1" xfId="6" applyNumberFormat="1" applyFont="1" applyBorder="1"/>
    <xf numFmtId="0" fontId="21" fillId="0" borderId="0" xfId="0" applyFont="1" applyAlignment="1">
      <alignment vertical="center"/>
    </xf>
    <xf numFmtId="0" fontId="13" fillId="0" borderId="0" xfId="0" applyFont="1" applyAlignment="1">
      <alignment vertical="center"/>
    </xf>
    <xf numFmtId="0" fontId="13" fillId="0" borderId="0" xfId="0" applyFont="1" applyAlignment="1">
      <alignment vertical="top" wrapText="1"/>
    </xf>
    <xf numFmtId="0" fontId="13" fillId="4" borderId="1" xfId="0" applyFont="1" applyFill="1" applyBorder="1" applyAlignment="1">
      <alignment vertical="top" wrapText="1"/>
    </xf>
    <xf numFmtId="2" fontId="13" fillId="0" borderId="1" xfId="0" applyNumberFormat="1" applyFont="1" applyFill="1" applyBorder="1" applyAlignment="1">
      <alignment vertical="center"/>
    </xf>
    <xf numFmtId="2" fontId="13" fillId="0" borderId="1" xfId="0" applyNumberFormat="1" applyFont="1" applyBorder="1" applyAlignment="1">
      <alignment vertical="center"/>
    </xf>
    <xf numFmtId="2" fontId="13" fillId="0" borderId="1" xfId="16" applyNumberFormat="1" applyFont="1" applyFill="1" applyBorder="1" applyAlignment="1">
      <alignment vertical="center"/>
    </xf>
    <xf numFmtId="0" fontId="13" fillId="0" borderId="1" xfId="0" applyFont="1" applyFill="1" applyBorder="1" applyAlignment="1">
      <alignment vertical="center"/>
    </xf>
    <xf numFmtId="4" fontId="13" fillId="0" borderId="0" xfId="0" applyNumberFormat="1" applyFont="1" applyAlignment="1">
      <alignment vertical="center"/>
    </xf>
    <xf numFmtId="4" fontId="13" fillId="0" borderId="0" xfId="0" applyNumberFormat="1" applyFont="1"/>
    <xf numFmtId="0" fontId="22" fillId="0" borderId="0" xfId="0" applyFont="1" applyAlignment="1">
      <alignment vertical="center"/>
    </xf>
    <xf numFmtId="0" fontId="23" fillId="0" borderId="0" xfId="0" applyFont="1" applyAlignment="1">
      <alignment vertical="center"/>
    </xf>
    <xf numFmtId="0" fontId="24" fillId="0" borderId="0" xfId="0" applyFont="1"/>
    <xf numFmtId="0" fontId="17" fillId="0" borderId="1" xfId="0" applyFont="1" applyBorder="1"/>
    <xf numFmtId="168" fontId="17" fillId="0" borderId="1" xfId="0" applyNumberFormat="1" applyFont="1" applyBorder="1"/>
    <xf numFmtId="169" fontId="17" fillId="0" borderId="1" xfId="6" applyNumberFormat="1" applyFont="1" applyBorder="1"/>
    <xf numFmtId="168" fontId="17" fillId="0" borderId="1" xfId="6" applyNumberFormat="1" applyFont="1" applyBorder="1"/>
    <xf numFmtId="164" fontId="13" fillId="0" borderId="0" xfId="0" applyNumberFormat="1" applyFont="1"/>
    <xf numFmtId="167" fontId="13" fillId="0" borderId="1" xfId="6" applyNumberFormat="1" applyFont="1" applyFill="1" applyBorder="1"/>
    <xf numFmtId="0" fontId="25" fillId="3" borderId="0" xfId="0" applyFont="1" applyFill="1"/>
  </cellXfs>
  <cellStyles count="22">
    <cellStyle name="Comma" xfId="6" builtinId="3"/>
    <cellStyle name="Comma 2" xfId="11"/>
    <cellStyle name="Comma 3" xfId="15"/>
    <cellStyle name="Comma 4 2" xfId="20"/>
    <cellStyle name="Explanatory Text" xfId="18" builtinId="53"/>
    <cellStyle name="Normal" xfId="0" builtinId="0"/>
    <cellStyle name="Normal 2" xfId="4"/>
    <cellStyle name="Normal 2 2" xfId="1"/>
    <cellStyle name="Normal 2 2 2" xfId="10"/>
    <cellStyle name="Normal 2 6" xfId="16"/>
    <cellStyle name="Normal 20" xfId="9"/>
    <cellStyle name="Normal 3" xfId="2"/>
    <cellStyle name="Normal 3 2" xfId="13"/>
    <cellStyle name="Normal 4" xfId="5"/>
    <cellStyle name="Normal 4 2" xfId="14"/>
    <cellStyle name="Normal 5" xfId="8"/>
    <cellStyle name="Normal 5 2" xfId="12"/>
    <cellStyle name="Normal 5 2 2" xfId="21"/>
    <cellStyle name="Normal 6" xfId="17"/>
    <cellStyle name="Normal 9" xfId="3"/>
    <cellStyle name="Percent" xfId="7" builtinId="5"/>
    <cellStyle name="Percent 2" xfId="19"/>
  </cellStyles>
  <dxfs count="5">
    <dxf>
      <font>
        <color rgb="FF006100"/>
      </font>
      <fill>
        <patternFill>
          <bgColor rgb="FFC6EFCE"/>
        </patternFill>
      </fill>
    </dxf>
    <dxf>
      <font>
        <color rgb="FF9C0006"/>
      </font>
      <fill>
        <patternFill>
          <bgColor rgb="FFFFC7CE"/>
        </patternFill>
      </fill>
    </dxf>
    <dxf>
      <font>
        <color theme="0"/>
      </font>
    </dxf>
    <dxf>
      <font>
        <color theme="0"/>
      </font>
    </dxf>
    <dxf>
      <font>
        <color theme="0"/>
      </font>
    </dxf>
  </dxfs>
  <tableStyles count="0" defaultTableStyle="TableStyleMedium2" defaultPivotStyle="PivotStyleMedium9"/>
  <colors>
    <mruColors>
      <color rgb="FFD2ECB6"/>
      <color rgb="FFFFD9D9"/>
      <color rgb="FFE23114"/>
      <color rgb="FFFFF1C5"/>
      <color rgb="FFFFABAB"/>
      <color rgb="FFFF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6350</xdr:colOff>
      <xdr:row>15</xdr:row>
      <xdr:rowOff>38100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01600" y="469900"/>
          <a:ext cx="9067800" cy="2844800"/>
        </a:xfrm>
        <a:prstGeom prst="rect">
          <a:avLst/>
        </a:prstGeom>
        <a:solidFill>
          <a:schemeClr val="bg2">
            <a:lumMod val="7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Improvements to river flows enhancement 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for improvements to river flows, Table WS2 line 20 Improvements to river flows.</a:t>
          </a:r>
        </a:p>
        <a:p>
          <a:endParaRPr lang="en-GB" sz="10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We assess the costs for improvements to river flows using our shallow dive process because all proposals are not material. We do not apply the company specific efficiency challenge to the costs to improve river flows.</a:t>
          </a:r>
          <a:endParaRPr lang="en-GB">
            <a:effectLst/>
          </a:endParaRP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
  <sheetViews>
    <sheetView showGridLines="0" tabSelected="1" zoomScale="80" zoomScaleNormal="80" workbookViewId="0"/>
  </sheetViews>
  <sheetFormatPr defaultColWidth="8.81640625" defaultRowHeight="16.5" x14ac:dyDescent="0.5"/>
  <cols>
    <col min="1" max="1" width="11.1796875" style="5" customWidth="1"/>
    <col min="2" max="2" width="100.453125" style="5" customWidth="1"/>
    <col min="3" max="3" width="18" style="6" customWidth="1"/>
    <col min="4" max="16384" width="8.81640625" style="5"/>
  </cols>
  <sheetData>
    <row r="1" spans="1:3" ht="20.25" customHeight="1" x14ac:dyDescent="0.6">
      <c r="A1" s="3" t="s">
        <v>118</v>
      </c>
      <c r="B1" s="4"/>
      <c r="C1" s="4"/>
    </row>
    <row r="2" spans="1:3" ht="17.25" customHeight="1" x14ac:dyDescent="0.5"/>
    <row r="3" spans="1:3" ht="17.25" customHeight="1" x14ac:dyDescent="0.5"/>
    <row r="4" spans="1:3" ht="17.25" customHeight="1" x14ac:dyDescent="0.5"/>
    <row r="5" spans="1:3" ht="17.25" customHeight="1" x14ac:dyDescent="0.5"/>
    <row r="6" spans="1:3" ht="17.25" customHeight="1" x14ac:dyDescent="0.5"/>
    <row r="7" spans="1:3" ht="17.25" customHeight="1" x14ac:dyDescent="0.5"/>
    <row r="8" spans="1:3" ht="17.25" customHeight="1" x14ac:dyDescent="0.5"/>
    <row r="9" spans="1:3" ht="17.25" customHeight="1" x14ac:dyDescent="0.5"/>
    <row r="10" spans="1:3" ht="17.25" customHeight="1" x14ac:dyDescent="0.5"/>
    <row r="11" spans="1:3" ht="17.25" customHeight="1" x14ac:dyDescent="0.5"/>
    <row r="12" spans="1:3" ht="17.25" customHeight="1" x14ac:dyDescent="0.5"/>
    <row r="13" spans="1:3" ht="17.25" customHeight="1" x14ac:dyDescent="0.5"/>
    <row r="14" spans="1:3" ht="17.25" customHeight="1" x14ac:dyDescent="0.5"/>
    <row r="15" spans="1:3" ht="17.25" customHeight="1" x14ac:dyDescent="0.5"/>
    <row r="16" spans="1:3" ht="17.25" customHeight="1" x14ac:dyDescent="0.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12"/>
  <sheetViews>
    <sheetView showGridLines="0" zoomScale="80" zoomScaleNormal="80" workbookViewId="0">
      <pane xSplit="3" ySplit="5" topLeftCell="D6" activePane="bottomRight" state="frozen"/>
      <selection pane="topRight" activeCell="D1" sqref="D1"/>
      <selection pane="bottomLeft" activeCell="A8" sqref="A8"/>
      <selection pane="bottomRight" activeCell="B109" sqref="B109"/>
    </sheetView>
  </sheetViews>
  <sheetFormatPr defaultColWidth="8.54296875" defaultRowHeight="13" x14ac:dyDescent="0.3"/>
  <cols>
    <col min="1" max="1" width="10.54296875" style="41" customWidth="1"/>
    <col min="2" max="2" width="11.453125" style="41" customWidth="1"/>
    <col min="3" max="3" width="10.453125" style="41" customWidth="1"/>
    <col min="4" max="5" width="18.54296875" style="1" customWidth="1"/>
    <col min="6" max="16384" width="8.54296875" style="1"/>
  </cols>
  <sheetData>
    <row r="1" spans="1:5" ht="18.5" x14ac:dyDescent="0.3">
      <c r="A1" s="32" t="s">
        <v>119</v>
      </c>
    </row>
    <row r="2" spans="1:5" ht="15.5" x14ac:dyDescent="0.3">
      <c r="A2" s="50" t="s">
        <v>137</v>
      </c>
    </row>
    <row r="3" spans="1:5" x14ac:dyDescent="0.3">
      <c r="A3" s="40"/>
    </row>
    <row r="4" spans="1:5" s="42" customFormat="1" x14ac:dyDescent="0.35">
      <c r="A4" s="43"/>
      <c r="B4" s="43"/>
      <c r="C4" s="43"/>
      <c r="D4" s="43" t="s">
        <v>117</v>
      </c>
      <c r="E4" s="43" t="s">
        <v>116</v>
      </c>
    </row>
    <row r="5" spans="1:5" ht="26" x14ac:dyDescent="0.3">
      <c r="A5" s="43" t="s">
        <v>141</v>
      </c>
      <c r="B5" s="43" t="s">
        <v>17</v>
      </c>
      <c r="C5" s="43" t="s">
        <v>140</v>
      </c>
      <c r="D5" s="43" t="s">
        <v>138</v>
      </c>
      <c r="E5" s="43" t="s">
        <v>139</v>
      </c>
    </row>
    <row r="6" spans="1:5" x14ac:dyDescent="0.3">
      <c r="A6" s="46" t="s">
        <v>24</v>
      </c>
      <c r="B6" s="47" t="s">
        <v>0</v>
      </c>
      <c r="C6" s="47">
        <v>2021</v>
      </c>
      <c r="D6" s="44">
        <v>0</v>
      </c>
      <c r="E6" s="45">
        <v>498.47770338281299</v>
      </c>
    </row>
    <row r="7" spans="1:5" x14ac:dyDescent="0.3">
      <c r="A7" s="46" t="s">
        <v>25</v>
      </c>
      <c r="B7" s="47" t="s">
        <v>0</v>
      </c>
      <c r="C7" s="47">
        <v>2022</v>
      </c>
      <c r="D7" s="44">
        <v>0</v>
      </c>
      <c r="E7" s="45">
        <v>579.18202511472305</v>
      </c>
    </row>
    <row r="8" spans="1:5" x14ac:dyDescent="0.3">
      <c r="A8" s="46" t="s">
        <v>26</v>
      </c>
      <c r="B8" s="47" t="s">
        <v>0</v>
      </c>
      <c r="C8" s="47">
        <v>2023</v>
      </c>
      <c r="D8" s="44">
        <v>0</v>
      </c>
      <c r="E8" s="45">
        <v>637.09420862741194</v>
      </c>
    </row>
    <row r="9" spans="1:5" x14ac:dyDescent="0.3">
      <c r="A9" s="46" t="s">
        <v>27</v>
      </c>
      <c r="B9" s="47" t="s">
        <v>0</v>
      </c>
      <c r="C9" s="47">
        <v>2024</v>
      </c>
      <c r="D9" s="44">
        <v>0</v>
      </c>
      <c r="E9" s="45">
        <v>622.90395098778004</v>
      </c>
    </row>
    <row r="10" spans="1:5" x14ac:dyDescent="0.3">
      <c r="A10" s="46" t="s">
        <v>28</v>
      </c>
      <c r="B10" s="47" t="s">
        <v>0</v>
      </c>
      <c r="C10" s="47">
        <v>2025</v>
      </c>
      <c r="D10" s="44">
        <v>0</v>
      </c>
      <c r="E10" s="45">
        <v>476.34762997356398</v>
      </c>
    </row>
    <row r="11" spans="1:5" x14ac:dyDescent="0.3">
      <c r="A11" s="46" t="s">
        <v>29</v>
      </c>
      <c r="B11" s="47" t="s">
        <v>1</v>
      </c>
      <c r="C11" s="47">
        <v>2021</v>
      </c>
      <c r="D11" s="44">
        <v>1.7000000000000001E-2</v>
      </c>
      <c r="E11" s="45">
        <v>349.52199999999999</v>
      </c>
    </row>
    <row r="12" spans="1:5" x14ac:dyDescent="0.3">
      <c r="A12" s="46" t="s">
        <v>30</v>
      </c>
      <c r="B12" s="47" t="s">
        <v>1</v>
      </c>
      <c r="C12" s="47">
        <v>2022</v>
      </c>
      <c r="D12" s="44">
        <v>1.7000000000000001E-2</v>
      </c>
      <c r="E12" s="45">
        <v>369.464</v>
      </c>
    </row>
    <row r="13" spans="1:5" x14ac:dyDescent="0.3">
      <c r="A13" s="46" t="s">
        <v>31</v>
      </c>
      <c r="B13" s="47" t="s">
        <v>1</v>
      </c>
      <c r="C13" s="47">
        <v>2023</v>
      </c>
      <c r="D13" s="44">
        <v>1.0999999999999999E-2</v>
      </c>
      <c r="E13" s="45">
        <v>361.08300000000003</v>
      </c>
    </row>
    <row r="14" spans="1:5" x14ac:dyDescent="0.3">
      <c r="A14" s="46" t="s">
        <v>32</v>
      </c>
      <c r="B14" s="47" t="s">
        <v>1</v>
      </c>
      <c r="C14" s="47">
        <v>2024</v>
      </c>
      <c r="D14" s="44">
        <v>6.0000000000000001E-3</v>
      </c>
      <c r="E14" s="45">
        <v>337.65199999999999</v>
      </c>
    </row>
    <row r="15" spans="1:5" x14ac:dyDescent="0.3">
      <c r="A15" s="46" t="s">
        <v>33</v>
      </c>
      <c r="B15" s="47" t="s">
        <v>1</v>
      </c>
      <c r="C15" s="47">
        <v>2025</v>
      </c>
      <c r="D15" s="44">
        <v>6.0000000000000001E-3</v>
      </c>
      <c r="E15" s="45">
        <v>312.16300000000001</v>
      </c>
    </row>
    <row r="16" spans="1:5" x14ac:dyDescent="0.3">
      <c r="A16" s="46" t="s">
        <v>34</v>
      </c>
      <c r="B16" s="47" t="s">
        <v>2</v>
      </c>
      <c r="C16" s="47">
        <v>2021</v>
      </c>
      <c r="D16" s="44">
        <v>0</v>
      </c>
      <c r="E16" s="45">
        <v>546.91416406629901</v>
      </c>
    </row>
    <row r="17" spans="1:5" x14ac:dyDescent="0.3">
      <c r="A17" s="46" t="s">
        <v>35</v>
      </c>
      <c r="B17" s="47" t="s">
        <v>2</v>
      </c>
      <c r="C17" s="47">
        <v>2022</v>
      </c>
      <c r="D17" s="44">
        <v>0</v>
      </c>
      <c r="E17" s="45">
        <v>511.02602983742503</v>
      </c>
    </row>
    <row r="18" spans="1:5" x14ac:dyDescent="0.3">
      <c r="A18" s="46" t="s">
        <v>36</v>
      </c>
      <c r="B18" s="47" t="s">
        <v>2</v>
      </c>
      <c r="C18" s="47">
        <v>2023</v>
      </c>
      <c r="D18" s="44">
        <v>0</v>
      </c>
      <c r="E18" s="45">
        <v>491.88321983896702</v>
      </c>
    </row>
    <row r="19" spans="1:5" x14ac:dyDescent="0.3">
      <c r="A19" s="46" t="s">
        <v>37</v>
      </c>
      <c r="B19" s="47" t="s">
        <v>2</v>
      </c>
      <c r="C19" s="47">
        <v>2024</v>
      </c>
      <c r="D19" s="44">
        <v>0</v>
      </c>
      <c r="E19" s="45">
        <v>466.261810421863</v>
      </c>
    </row>
    <row r="20" spans="1:5" x14ac:dyDescent="0.3">
      <c r="A20" s="46" t="s">
        <v>38</v>
      </c>
      <c r="B20" s="47" t="s">
        <v>2</v>
      </c>
      <c r="C20" s="47">
        <v>2025</v>
      </c>
      <c r="D20" s="44">
        <v>0</v>
      </c>
      <c r="E20" s="45">
        <v>461.41828629616703</v>
      </c>
    </row>
    <row r="21" spans="1:5" x14ac:dyDescent="0.3">
      <c r="A21" s="46" t="s">
        <v>39</v>
      </c>
      <c r="B21" s="47" t="s">
        <v>3</v>
      </c>
      <c r="C21" s="47">
        <v>2021</v>
      </c>
      <c r="D21" s="44">
        <v>0</v>
      </c>
      <c r="E21" s="45">
        <v>250.37200000000001</v>
      </c>
    </row>
    <row r="22" spans="1:5" x14ac:dyDescent="0.3">
      <c r="A22" s="46" t="s">
        <v>40</v>
      </c>
      <c r="B22" s="47" t="s">
        <v>3</v>
      </c>
      <c r="C22" s="47">
        <v>2022</v>
      </c>
      <c r="D22" s="44">
        <v>0</v>
      </c>
      <c r="E22" s="45">
        <v>250.60900000000001</v>
      </c>
    </row>
    <row r="23" spans="1:5" x14ac:dyDescent="0.3">
      <c r="A23" s="46" t="s">
        <v>41</v>
      </c>
      <c r="B23" s="47" t="s">
        <v>3</v>
      </c>
      <c r="C23" s="47">
        <v>2023</v>
      </c>
      <c r="D23" s="44">
        <v>0</v>
      </c>
      <c r="E23" s="45">
        <v>233.85300000000001</v>
      </c>
    </row>
    <row r="24" spans="1:5" x14ac:dyDescent="0.3">
      <c r="A24" s="46" t="s">
        <v>42</v>
      </c>
      <c r="B24" s="47" t="s">
        <v>3</v>
      </c>
      <c r="C24" s="47">
        <v>2024</v>
      </c>
      <c r="D24" s="44">
        <v>0</v>
      </c>
      <c r="E24" s="45">
        <v>230.23699999999999</v>
      </c>
    </row>
    <row r="25" spans="1:5" x14ac:dyDescent="0.3">
      <c r="A25" s="46" t="s">
        <v>43</v>
      </c>
      <c r="B25" s="47" t="s">
        <v>3</v>
      </c>
      <c r="C25" s="47">
        <v>2025</v>
      </c>
      <c r="D25" s="44">
        <v>0</v>
      </c>
      <c r="E25" s="45">
        <v>261.53300000000002</v>
      </c>
    </row>
    <row r="26" spans="1:5" x14ac:dyDescent="0.3">
      <c r="A26" s="46" t="s">
        <v>44</v>
      </c>
      <c r="B26" s="47" t="s">
        <v>4</v>
      </c>
      <c r="C26" s="47">
        <v>2021</v>
      </c>
      <c r="D26" s="44">
        <v>0</v>
      </c>
      <c r="E26" s="45">
        <v>0</v>
      </c>
    </row>
    <row r="27" spans="1:5" x14ac:dyDescent="0.3">
      <c r="A27" s="46" t="s">
        <v>45</v>
      </c>
      <c r="B27" s="47" t="s">
        <v>4</v>
      </c>
      <c r="C27" s="47">
        <v>2022</v>
      </c>
      <c r="D27" s="44">
        <v>0</v>
      </c>
      <c r="E27" s="45">
        <v>0</v>
      </c>
    </row>
    <row r="28" spans="1:5" x14ac:dyDescent="0.3">
      <c r="A28" s="46" t="s">
        <v>46</v>
      </c>
      <c r="B28" s="47" t="s">
        <v>4</v>
      </c>
      <c r="C28" s="47">
        <v>2023</v>
      </c>
      <c r="D28" s="44">
        <v>0</v>
      </c>
      <c r="E28" s="45">
        <v>0</v>
      </c>
    </row>
    <row r="29" spans="1:5" x14ac:dyDescent="0.3">
      <c r="A29" s="46" t="s">
        <v>47</v>
      </c>
      <c r="B29" s="47" t="s">
        <v>4</v>
      </c>
      <c r="C29" s="47">
        <v>2024</v>
      </c>
      <c r="D29" s="44">
        <v>0</v>
      </c>
      <c r="E29" s="45">
        <v>0</v>
      </c>
    </row>
    <row r="30" spans="1:5" x14ac:dyDescent="0.3">
      <c r="A30" s="46" t="s">
        <v>48</v>
      </c>
      <c r="B30" s="47" t="s">
        <v>4</v>
      </c>
      <c r="C30" s="47">
        <v>2025</v>
      </c>
      <c r="D30" s="44">
        <v>0</v>
      </c>
      <c r="E30" s="45">
        <v>0</v>
      </c>
    </row>
    <row r="31" spans="1:5" x14ac:dyDescent="0.3">
      <c r="A31" s="46" t="s">
        <v>49</v>
      </c>
      <c r="B31" s="47" t="s">
        <v>5</v>
      </c>
      <c r="C31" s="47">
        <v>2021</v>
      </c>
      <c r="D31" s="44">
        <v>0</v>
      </c>
      <c r="E31" s="45">
        <v>164.92599999999999</v>
      </c>
    </row>
    <row r="32" spans="1:5" x14ac:dyDescent="0.3">
      <c r="A32" s="46" t="s">
        <v>50</v>
      </c>
      <c r="B32" s="47" t="s">
        <v>5</v>
      </c>
      <c r="C32" s="47">
        <v>2022</v>
      </c>
      <c r="D32" s="44">
        <v>0</v>
      </c>
      <c r="E32" s="45">
        <v>179.66900000000001</v>
      </c>
    </row>
    <row r="33" spans="1:5" x14ac:dyDescent="0.3">
      <c r="A33" s="46" t="s">
        <v>51</v>
      </c>
      <c r="B33" s="47" t="s">
        <v>5</v>
      </c>
      <c r="C33" s="47">
        <v>2023</v>
      </c>
      <c r="D33" s="44">
        <v>0</v>
      </c>
      <c r="E33" s="45">
        <v>192.19399999999999</v>
      </c>
    </row>
    <row r="34" spans="1:5" x14ac:dyDescent="0.3">
      <c r="A34" s="46" t="s">
        <v>52</v>
      </c>
      <c r="B34" s="47" t="s">
        <v>5</v>
      </c>
      <c r="C34" s="47">
        <v>2024</v>
      </c>
      <c r="D34" s="44">
        <v>0</v>
      </c>
      <c r="E34" s="45">
        <v>181.702</v>
      </c>
    </row>
    <row r="35" spans="1:5" x14ac:dyDescent="0.3">
      <c r="A35" s="46" t="s">
        <v>53</v>
      </c>
      <c r="B35" s="47" t="s">
        <v>5</v>
      </c>
      <c r="C35" s="47">
        <v>2025</v>
      </c>
      <c r="D35" s="44">
        <v>0</v>
      </c>
      <c r="E35" s="45">
        <v>175.761</v>
      </c>
    </row>
    <row r="36" spans="1:5" x14ac:dyDescent="0.3">
      <c r="A36" s="46" t="s">
        <v>54</v>
      </c>
      <c r="B36" s="47" t="s">
        <v>6</v>
      </c>
      <c r="C36" s="47">
        <v>2021</v>
      </c>
      <c r="D36" s="44">
        <v>0</v>
      </c>
      <c r="E36" s="45">
        <v>1070.0059304862</v>
      </c>
    </row>
    <row r="37" spans="1:5" x14ac:dyDescent="0.3">
      <c r="A37" s="46" t="s">
        <v>55</v>
      </c>
      <c r="B37" s="47" t="s">
        <v>6</v>
      </c>
      <c r="C37" s="47">
        <v>2022</v>
      </c>
      <c r="D37" s="44">
        <v>0</v>
      </c>
      <c r="E37" s="45">
        <v>1195.82265311585</v>
      </c>
    </row>
    <row r="38" spans="1:5" x14ac:dyDescent="0.3">
      <c r="A38" s="46" t="s">
        <v>56</v>
      </c>
      <c r="B38" s="47" t="s">
        <v>6</v>
      </c>
      <c r="C38" s="47">
        <v>2023</v>
      </c>
      <c r="D38" s="44">
        <v>0</v>
      </c>
      <c r="E38" s="45">
        <v>1164.87342744906</v>
      </c>
    </row>
    <row r="39" spans="1:5" x14ac:dyDescent="0.3">
      <c r="A39" s="46" t="s">
        <v>57</v>
      </c>
      <c r="B39" s="47" t="s">
        <v>6</v>
      </c>
      <c r="C39" s="47">
        <v>2024</v>
      </c>
      <c r="D39" s="44">
        <v>0</v>
      </c>
      <c r="E39" s="45">
        <v>1136.5628313935199</v>
      </c>
    </row>
    <row r="40" spans="1:5" x14ac:dyDescent="0.3">
      <c r="A40" s="46" t="s">
        <v>58</v>
      </c>
      <c r="B40" s="47" t="s">
        <v>6</v>
      </c>
      <c r="C40" s="47">
        <v>2025</v>
      </c>
      <c r="D40" s="44">
        <v>0</v>
      </c>
      <c r="E40" s="45">
        <v>1090.9390820118099</v>
      </c>
    </row>
    <row r="41" spans="1:5" x14ac:dyDescent="0.3">
      <c r="A41" s="46" t="s">
        <v>59</v>
      </c>
      <c r="B41" s="47" t="s">
        <v>7</v>
      </c>
      <c r="C41" s="47">
        <v>2021</v>
      </c>
      <c r="D41" s="44">
        <v>0.498</v>
      </c>
      <c r="E41" s="45">
        <v>329.959</v>
      </c>
    </row>
    <row r="42" spans="1:5" x14ac:dyDescent="0.3">
      <c r="A42" s="46" t="s">
        <v>60</v>
      </c>
      <c r="B42" s="47" t="s">
        <v>7</v>
      </c>
      <c r="C42" s="47">
        <v>2022</v>
      </c>
      <c r="D42" s="44">
        <v>0.49199999999999999</v>
      </c>
      <c r="E42" s="45">
        <v>343.76</v>
      </c>
    </row>
    <row r="43" spans="1:5" x14ac:dyDescent="0.3">
      <c r="A43" s="46" t="s">
        <v>61</v>
      </c>
      <c r="B43" s="47" t="s">
        <v>7</v>
      </c>
      <c r="C43" s="47">
        <v>2023</v>
      </c>
      <c r="D43" s="44">
        <v>0.48699999999999999</v>
      </c>
      <c r="E43" s="45">
        <v>335.88499999999999</v>
      </c>
    </row>
    <row r="44" spans="1:5" x14ac:dyDescent="0.3">
      <c r="A44" s="46" t="s">
        <v>62</v>
      </c>
      <c r="B44" s="47" t="s">
        <v>7</v>
      </c>
      <c r="C44" s="47">
        <v>2024</v>
      </c>
      <c r="D44" s="44">
        <v>0.48</v>
      </c>
      <c r="E44" s="45">
        <v>322.13900000000001</v>
      </c>
    </row>
    <row r="45" spans="1:5" x14ac:dyDescent="0.3">
      <c r="A45" s="46" t="s">
        <v>63</v>
      </c>
      <c r="B45" s="47" t="s">
        <v>7</v>
      </c>
      <c r="C45" s="47">
        <v>2025</v>
      </c>
      <c r="D45" s="44">
        <v>0.25900000000000001</v>
      </c>
      <c r="E45" s="45">
        <v>314.649</v>
      </c>
    </row>
    <row r="46" spans="1:5" x14ac:dyDescent="0.3">
      <c r="A46" s="46" t="s">
        <v>64</v>
      </c>
      <c r="B46" s="47" t="s">
        <v>8</v>
      </c>
      <c r="C46" s="47">
        <v>2021</v>
      </c>
      <c r="D46" s="44">
        <v>0</v>
      </c>
      <c r="E46" s="45">
        <v>136.11830693204701</v>
      </c>
    </row>
    <row r="47" spans="1:5" x14ac:dyDescent="0.3">
      <c r="A47" s="46" t="s">
        <v>65</v>
      </c>
      <c r="B47" s="47" t="s">
        <v>8</v>
      </c>
      <c r="C47" s="47">
        <v>2022</v>
      </c>
      <c r="D47" s="44">
        <v>0</v>
      </c>
      <c r="E47" s="45">
        <v>127.600640139625</v>
      </c>
    </row>
    <row r="48" spans="1:5" x14ac:dyDescent="0.3">
      <c r="A48" s="46" t="s">
        <v>66</v>
      </c>
      <c r="B48" s="47" t="s">
        <v>8</v>
      </c>
      <c r="C48" s="47">
        <v>2023</v>
      </c>
      <c r="D48" s="44">
        <v>0</v>
      </c>
      <c r="E48" s="45">
        <v>146.37373859446299</v>
      </c>
    </row>
    <row r="49" spans="1:5" x14ac:dyDescent="0.3">
      <c r="A49" s="46" t="s">
        <v>67</v>
      </c>
      <c r="B49" s="47" t="s">
        <v>8</v>
      </c>
      <c r="C49" s="47">
        <v>2024</v>
      </c>
      <c r="D49" s="44">
        <v>0</v>
      </c>
      <c r="E49" s="45">
        <v>127.48123932778</v>
      </c>
    </row>
    <row r="50" spans="1:5" x14ac:dyDescent="0.3">
      <c r="A50" s="46" t="s">
        <v>68</v>
      </c>
      <c r="B50" s="47" t="s">
        <v>8</v>
      </c>
      <c r="C50" s="47">
        <v>2025</v>
      </c>
      <c r="D50" s="44">
        <v>0</v>
      </c>
      <c r="E50" s="45">
        <v>122.774642789297</v>
      </c>
    </row>
    <row r="51" spans="1:5" x14ac:dyDescent="0.3">
      <c r="A51" s="46" t="s">
        <v>69</v>
      </c>
      <c r="B51" s="47" t="s">
        <v>9</v>
      </c>
      <c r="C51" s="47">
        <v>2021</v>
      </c>
      <c r="D51" s="44">
        <v>0</v>
      </c>
      <c r="E51" s="45">
        <v>414.65499999999997</v>
      </c>
    </row>
    <row r="52" spans="1:5" x14ac:dyDescent="0.3">
      <c r="A52" s="46" t="s">
        <v>70</v>
      </c>
      <c r="B52" s="47" t="s">
        <v>9</v>
      </c>
      <c r="C52" s="47">
        <v>2022</v>
      </c>
      <c r="D52" s="44">
        <v>0</v>
      </c>
      <c r="E52" s="45">
        <v>412.077</v>
      </c>
    </row>
    <row r="53" spans="1:5" x14ac:dyDescent="0.3">
      <c r="A53" s="46" t="s">
        <v>71</v>
      </c>
      <c r="B53" s="47" t="s">
        <v>9</v>
      </c>
      <c r="C53" s="47">
        <v>2023</v>
      </c>
      <c r="D53" s="44">
        <v>0</v>
      </c>
      <c r="E53" s="45">
        <v>420.154</v>
      </c>
    </row>
    <row r="54" spans="1:5" x14ac:dyDescent="0.3">
      <c r="A54" s="46" t="s">
        <v>72</v>
      </c>
      <c r="B54" s="47" t="s">
        <v>9</v>
      </c>
      <c r="C54" s="47">
        <v>2024</v>
      </c>
      <c r="D54" s="44">
        <v>0</v>
      </c>
      <c r="E54" s="45">
        <v>402.70400000000001</v>
      </c>
    </row>
    <row r="55" spans="1:5" x14ac:dyDescent="0.3">
      <c r="A55" s="46" t="s">
        <v>73</v>
      </c>
      <c r="B55" s="47" t="s">
        <v>9</v>
      </c>
      <c r="C55" s="47">
        <v>2025</v>
      </c>
      <c r="D55" s="44">
        <v>0</v>
      </c>
      <c r="E55" s="45">
        <v>374.83300000000003</v>
      </c>
    </row>
    <row r="56" spans="1:5" x14ac:dyDescent="0.3">
      <c r="A56" s="46" t="s">
        <v>74</v>
      </c>
      <c r="B56" s="47" t="s">
        <v>10</v>
      </c>
      <c r="C56" s="47">
        <v>2021</v>
      </c>
      <c r="D56" s="44">
        <v>0.2</v>
      </c>
      <c r="E56" s="45">
        <v>294.21575712666902</v>
      </c>
    </row>
    <row r="57" spans="1:5" x14ac:dyDescent="0.3">
      <c r="A57" s="46" t="s">
        <v>75</v>
      </c>
      <c r="B57" s="47" t="s">
        <v>10</v>
      </c>
      <c r="C57" s="47">
        <v>2022</v>
      </c>
      <c r="D57" s="44">
        <v>0.1</v>
      </c>
      <c r="E57" s="45">
        <v>293.25057516172097</v>
      </c>
    </row>
    <row r="58" spans="1:5" x14ac:dyDescent="0.3">
      <c r="A58" s="46" t="s">
        <v>76</v>
      </c>
      <c r="B58" s="47" t="s">
        <v>10</v>
      </c>
      <c r="C58" s="47">
        <v>2023</v>
      </c>
      <c r="D58" s="44">
        <v>0.1</v>
      </c>
      <c r="E58" s="45">
        <v>281.71299825291601</v>
      </c>
    </row>
    <row r="59" spans="1:5" x14ac:dyDescent="0.3">
      <c r="A59" s="46" t="s">
        <v>77</v>
      </c>
      <c r="B59" s="47" t="s">
        <v>10</v>
      </c>
      <c r="C59" s="47">
        <v>2024</v>
      </c>
      <c r="D59" s="44">
        <v>0.05</v>
      </c>
      <c r="E59" s="45">
        <v>263.00993647553798</v>
      </c>
    </row>
    <row r="60" spans="1:5" x14ac:dyDescent="0.3">
      <c r="A60" s="46" t="s">
        <v>78</v>
      </c>
      <c r="B60" s="47" t="s">
        <v>10</v>
      </c>
      <c r="C60" s="47">
        <v>2025</v>
      </c>
      <c r="D60" s="44">
        <v>0.05</v>
      </c>
      <c r="E60" s="45">
        <v>236.27183602763799</v>
      </c>
    </row>
    <row r="61" spans="1:5" x14ac:dyDescent="0.3">
      <c r="A61" s="46" t="s">
        <v>79</v>
      </c>
      <c r="B61" s="47" t="s">
        <v>11</v>
      </c>
      <c r="C61" s="47">
        <v>2021</v>
      </c>
      <c r="D61" s="44">
        <v>4.7E-2</v>
      </c>
      <c r="E61" s="45">
        <v>90.980999999999995</v>
      </c>
    </row>
    <row r="62" spans="1:5" x14ac:dyDescent="0.3">
      <c r="A62" s="46" t="s">
        <v>80</v>
      </c>
      <c r="B62" s="47" t="s">
        <v>11</v>
      </c>
      <c r="C62" s="47">
        <v>2022</v>
      </c>
      <c r="D62" s="44">
        <v>4.7E-2</v>
      </c>
      <c r="E62" s="45">
        <v>90.581999999999994</v>
      </c>
    </row>
    <row r="63" spans="1:5" x14ac:dyDescent="0.3">
      <c r="A63" s="46" t="s">
        <v>81</v>
      </c>
      <c r="B63" s="47" t="s">
        <v>11</v>
      </c>
      <c r="C63" s="47">
        <v>2023</v>
      </c>
      <c r="D63" s="44">
        <v>4.7E-2</v>
      </c>
      <c r="E63" s="45">
        <v>91.372</v>
      </c>
    </row>
    <row r="64" spans="1:5" x14ac:dyDescent="0.3">
      <c r="A64" s="46" t="s">
        <v>82</v>
      </c>
      <c r="B64" s="47" t="s">
        <v>11</v>
      </c>
      <c r="C64" s="47">
        <v>2024</v>
      </c>
      <c r="D64" s="44">
        <v>4.7E-2</v>
      </c>
      <c r="E64" s="45">
        <v>91.606999999999999</v>
      </c>
    </row>
    <row r="65" spans="1:5" x14ac:dyDescent="0.3">
      <c r="A65" s="46" t="s">
        <v>83</v>
      </c>
      <c r="B65" s="47" t="s">
        <v>11</v>
      </c>
      <c r="C65" s="47">
        <v>2025</v>
      </c>
      <c r="D65" s="44">
        <v>4.7E-2</v>
      </c>
      <c r="E65" s="45">
        <v>92.655000000000001</v>
      </c>
    </row>
    <row r="66" spans="1:5" x14ac:dyDescent="0.3">
      <c r="A66" s="46" t="s">
        <v>84</v>
      </c>
      <c r="B66" s="47" t="s">
        <v>23</v>
      </c>
      <c r="C66" s="47">
        <v>2021</v>
      </c>
      <c r="D66" s="44">
        <v>0</v>
      </c>
      <c r="E66" s="45">
        <v>0</v>
      </c>
    </row>
    <row r="67" spans="1:5" x14ac:dyDescent="0.3">
      <c r="A67" s="46" t="s">
        <v>85</v>
      </c>
      <c r="B67" s="47" t="s">
        <v>23</v>
      </c>
      <c r="C67" s="47">
        <v>2022</v>
      </c>
      <c r="D67" s="44">
        <v>0</v>
      </c>
      <c r="E67" s="45">
        <v>0</v>
      </c>
    </row>
    <row r="68" spans="1:5" x14ac:dyDescent="0.3">
      <c r="A68" s="46" t="s">
        <v>86</v>
      </c>
      <c r="B68" s="47" t="s">
        <v>23</v>
      </c>
      <c r="C68" s="47">
        <v>2023</v>
      </c>
      <c r="D68" s="44">
        <v>0</v>
      </c>
      <c r="E68" s="45">
        <v>0</v>
      </c>
    </row>
    <row r="69" spans="1:5" x14ac:dyDescent="0.3">
      <c r="A69" s="46" t="s">
        <v>87</v>
      </c>
      <c r="B69" s="47" t="s">
        <v>23</v>
      </c>
      <c r="C69" s="47">
        <v>2024</v>
      </c>
      <c r="D69" s="44">
        <v>0</v>
      </c>
      <c r="E69" s="45">
        <v>0</v>
      </c>
    </row>
    <row r="70" spans="1:5" x14ac:dyDescent="0.3">
      <c r="A70" s="46" t="s">
        <v>88</v>
      </c>
      <c r="B70" s="47" t="s">
        <v>23</v>
      </c>
      <c r="C70" s="47">
        <v>2025</v>
      </c>
      <c r="D70" s="44">
        <v>0</v>
      </c>
      <c r="E70" s="45">
        <v>0</v>
      </c>
    </row>
    <row r="71" spans="1:5" x14ac:dyDescent="0.3">
      <c r="A71" s="46" t="s">
        <v>89</v>
      </c>
      <c r="B71" s="47" t="s">
        <v>12</v>
      </c>
      <c r="C71" s="47">
        <v>2021</v>
      </c>
      <c r="D71" s="44">
        <v>0</v>
      </c>
      <c r="E71" s="45">
        <v>0</v>
      </c>
    </row>
    <row r="72" spans="1:5" x14ac:dyDescent="0.3">
      <c r="A72" s="46" t="s">
        <v>90</v>
      </c>
      <c r="B72" s="47" t="s">
        <v>12</v>
      </c>
      <c r="C72" s="47">
        <v>2022</v>
      </c>
      <c r="D72" s="44">
        <v>0</v>
      </c>
      <c r="E72" s="45">
        <v>0</v>
      </c>
    </row>
    <row r="73" spans="1:5" x14ac:dyDescent="0.3">
      <c r="A73" s="46" t="s">
        <v>91</v>
      </c>
      <c r="B73" s="47" t="s">
        <v>12</v>
      </c>
      <c r="C73" s="47">
        <v>2023</v>
      </c>
      <c r="D73" s="44">
        <v>0</v>
      </c>
      <c r="E73" s="45">
        <v>0</v>
      </c>
    </row>
    <row r="74" spans="1:5" x14ac:dyDescent="0.3">
      <c r="A74" s="46" t="s">
        <v>92</v>
      </c>
      <c r="B74" s="47" t="s">
        <v>12</v>
      </c>
      <c r="C74" s="47">
        <v>2024</v>
      </c>
      <c r="D74" s="44">
        <v>0</v>
      </c>
      <c r="E74" s="45">
        <v>0</v>
      </c>
    </row>
    <row r="75" spans="1:5" x14ac:dyDescent="0.3">
      <c r="A75" s="46" t="s">
        <v>93</v>
      </c>
      <c r="B75" s="47" t="s">
        <v>12</v>
      </c>
      <c r="C75" s="47">
        <v>2025</v>
      </c>
      <c r="D75" s="44">
        <v>0</v>
      </c>
      <c r="E75" s="45">
        <v>0</v>
      </c>
    </row>
    <row r="76" spans="1:5" x14ac:dyDescent="0.3">
      <c r="A76" s="46" t="s">
        <v>94</v>
      </c>
      <c r="B76" s="47" t="s">
        <v>13</v>
      </c>
      <c r="C76" s="47">
        <v>2021</v>
      </c>
      <c r="D76" s="44">
        <v>0</v>
      </c>
      <c r="E76" s="45">
        <v>40.406999999999996</v>
      </c>
    </row>
    <row r="77" spans="1:5" x14ac:dyDescent="0.3">
      <c r="A77" s="46" t="s">
        <v>95</v>
      </c>
      <c r="B77" s="47" t="s">
        <v>13</v>
      </c>
      <c r="C77" s="47">
        <v>2022</v>
      </c>
      <c r="D77" s="44">
        <v>0</v>
      </c>
      <c r="E77" s="45">
        <v>38.174999999999997</v>
      </c>
    </row>
    <row r="78" spans="1:5" x14ac:dyDescent="0.3">
      <c r="A78" s="46" t="s">
        <v>96</v>
      </c>
      <c r="B78" s="47" t="s">
        <v>13</v>
      </c>
      <c r="C78" s="47">
        <v>2023</v>
      </c>
      <c r="D78" s="44">
        <v>0</v>
      </c>
      <c r="E78" s="45">
        <v>38.857999999999997</v>
      </c>
    </row>
    <row r="79" spans="1:5" x14ac:dyDescent="0.3">
      <c r="A79" s="46" t="s">
        <v>97</v>
      </c>
      <c r="B79" s="47" t="s">
        <v>13</v>
      </c>
      <c r="C79" s="47">
        <v>2024</v>
      </c>
      <c r="D79" s="44">
        <v>0</v>
      </c>
      <c r="E79" s="45">
        <v>51.771999999999998</v>
      </c>
    </row>
    <row r="80" spans="1:5" x14ac:dyDescent="0.3">
      <c r="A80" s="46" t="s">
        <v>98</v>
      </c>
      <c r="B80" s="47" t="s">
        <v>13</v>
      </c>
      <c r="C80" s="47">
        <v>2025</v>
      </c>
      <c r="D80" s="44">
        <v>0</v>
      </c>
      <c r="E80" s="45">
        <v>54.731999999999999</v>
      </c>
    </row>
    <row r="81" spans="1:5" x14ac:dyDescent="0.3">
      <c r="A81" s="46" t="s">
        <v>99</v>
      </c>
      <c r="B81" s="47" t="s">
        <v>14</v>
      </c>
      <c r="C81" s="47">
        <v>2021</v>
      </c>
      <c r="D81" s="44">
        <v>0</v>
      </c>
      <c r="E81" s="45">
        <v>52.654000000000003</v>
      </c>
    </row>
    <row r="82" spans="1:5" x14ac:dyDescent="0.3">
      <c r="A82" s="46" t="s">
        <v>100</v>
      </c>
      <c r="B82" s="47" t="s">
        <v>14</v>
      </c>
      <c r="C82" s="47">
        <v>2022</v>
      </c>
      <c r="D82" s="44">
        <v>0</v>
      </c>
      <c r="E82" s="45">
        <v>57.351999999999997</v>
      </c>
    </row>
    <row r="83" spans="1:5" x14ac:dyDescent="0.3">
      <c r="A83" s="46" t="s">
        <v>101</v>
      </c>
      <c r="B83" s="47" t="s">
        <v>14</v>
      </c>
      <c r="C83" s="47">
        <v>2023</v>
      </c>
      <c r="D83" s="44">
        <v>0</v>
      </c>
      <c r="E83" s="45">
        <v>51.917999999999999</v>
      </c>
    </row>
    <row r="84" spans="1:5" x14ac:dyDescent="0.3">
      <c r="A84" s="46" t="s">
        <v>102</v>
      </c>
      <c r="B84" s="47" t="s">
        <v>14</v>
      </c>
      <c r="C84" s="47">
        <v>2024</v>
      </c>
      <c r="D84" s="44">
        <v>0</v>
      </c>
      <c r="E84" s="45">
        <v>46.165999999999997</v>
      </c>
    </row>
    <row r="85" spans="1:5" x14ac:dyDescent="0.3">
      <c r="A85" s="46" t="s">
        <v>103</v>
      </c>
      <c r="B85" s="47" t="s">
        <v>14</v>
      </c>
      <c r="C85" s="47">
        <v>2025</v>
      </c>
      <c r="D85" s="44">
        <v>0</v>
      </c>
      <c r="E85" s="45">
        <v>45.219000000000001</v>
      </c>
    </row>
    <row r="86" spans="1:5" x14ac:dyDescent="0.3">
      <c r="A86" s="46" t="s">
        <v>104</v>
      </c>
      <c r="B86" s="47" t="s">
        <v>15</v>
      </c>
      <c r="C86" s="47">
        <v>2021</v>
      </c>
      <c r="D86" s="44">
        <v>0.69921285284913104</v>
      </c>
      <c r="E86" s="45">
        <v>172.16200000000001</v>
      </c>
    </row>
    <row r="87" spans="1:5" x14ac:dyDescent="0.3">
      <c r="A87" s="46" t="s">
        <v>105</v>
      </c>
      <c r="B87" s="47" t="s">
        <v>15</v>
      </c>
      <c r="C87" s="47">
        <v>2022</v>
      </c>
      <c r="D87" s="44">
        <v>0.38455990676067903</v>
      </c>
      <c r="E87" s="45">
        <v>199.673</v>
      </c>
    </row>
    <row r="88" spans="1:5" x14ac:dyDescent="0.3">
      <c r="A88" s="46" t="s">
        <v>106</v>
      </c>
      <c r="B88" s="47" t="s">
        <v>15</v>
      </c>
      <c r="C88" s="47">
        <v>2023</v>
      </c>
      <c r="D88" s="44">
        <v>0.29340668196439801</v>
      </c>
      <c r="E88" s="45">
        <v>208.291</v>
      </c>
    </row>
    <row r="89" spans="1:5" x14ac:dyDescent="0.3">
      <c r="A89" s="46" t="s">
        <v>107</v>
      </c>
      <c r="B89" s="47" t="s">
        <v>15</v>
      </c>
      <c r="C89" s="47">
        <v>2024</v>
      </c>
      <c r="D89" s="44">
        <v>0.17272441205427999</v>
      </c>
      <c r="E89" s="45">
        <v>186.22200000000001</v>
      </c>
    </row>
    <row r="90" spans="1:5" x14ac:dyDescent="0.3">
      <c r="A90" s="46" t="s">
        <v>108</v>
      </c>
      <c r="B90" s="47" t="s">
        <v>15</v>
      </c>
      <c r="C90" s="47">
        <v>2025</v>
      </c>
      <c r="D90" s="44">
        <v>0.17030267815840999</v>
      </c>
      <c r="E90" s="45">
        <v>194.59899999999999</v>
      </c>
    </row>
    <row r="91" spans="1:5" x14ac:dyDescent="0.3">
      <c r="A91" s="46" t="s">
        <v>109</v>
      </c>
      <c r="B91" s="47" t="s">
        <v>16</v>
      </c>
      <c r="C91" s="47">
        <v>2021</v>
      </c>
      <c r="D91" s="44">
        <v>0</v>
      </c>
      <c r="E91" s="45">
        <v>112.527432753265</v>
      </c>
    </row>
    <row r="92" spans="1:5" x14ac:dyDescent="0.3">
      <c r="A92" s="46" t="s">
        <v>110</v>
      </c>
      <c r="B92" s="47" t="s">
        <v>16</v>
      </c>
      <c r="C92" s="47">
        <v>2022</v>
      </c>
      <c r="D92" s="44">
        <v>0</v>
      </c>
      <c r="E92" s="45">
        <v>116.29561663750501</v>
      </c>
    </row>
    <row r="93" spans="1:5" x14ac:dyDescent="0.3">
      <c r="A93" s="46" t="s">
        <v>111</v>
      </c>
      <c r="B93" s="47" t="s">
        <v>16</v>
      </c>
      <c r="C93" s="47">
        <v>2023</v>
      </c>
      <c r="D93" s="44">
        <v>0</v>
      </c>
      <c r="E93" s="45">
        <v>117.955781425252</v>
      </c>
    </row>
    <row r="94" spans="1:5" x14ac:dyDescent="0.3">
      <c r="A94" s="46" t="s">
        <v>112</v>
      </c>
      <c r="B94" s="47" t="s">
        <v>16</v>
      </c>
      <c r="C94" s="47">
        <v>2024</v>
      </c>
      <c r="D94" s="44">
        <v>0</v>
      </c>
      <c r="E94" s="45">
        <v>94.121966414052807</v>
      </c>
    </row>
    <row r="95" spans="1:5" x14ac:dyDescent="0.3">
      <c r="A95" s="46" t="s">
        <v>113</v>
      </c>
      <c r="B95" s="47" t="s">
        <v>16</v>
      </c>
      <c r="C95" s="47">
        <v>2025</v>
      </c>
      <c r="D95" s="44">
        <v>0</v>
      </c>
      <c r="E95" s="45">
        <v>97.128204442325099</v>
      </c>
    </row>
    <row r="96" spans="1:5" x14ac:dyDescent="0.3">
      <c r="A96" s="46" t="str">
        <f t="shared" ref="A96" si="0">B96&amp;RIGHT(C96,2)</f>
        <v>SVE21</v>
      </c>
      <c r="B96" s="2" t="s">
        <v>114</v>
      </c>
      <c r="C96" s="47">
        <v>2021</v>
      </c>
      <c r="D96" s="44">
        <v>1.202</v>
      </c>
      <c r="E96" s="45">
        <v>575.06571742576398</v>
      </c>
    </row>
    <row r="97" spans="1:5" x14ac:dyDescent="0.3">
      <c r="A97" s="46" t="str">
        <f>B97&amp;RIGHT(C97,2)</f>
        <v>SVE22</v>
      </c>
      <c r="B97" s="2" t="s">
        <v>114</v>
      </c>
      <c r="C97" s="47">
        <v>2022</v>
      </c>
      <c r="D97" s="44">
        <v>1.45</v>
      </c>
      <c r="E97" s="45">
        <v>631.12859132579104</v>
      </c>
    </row>
    <row r="98" spans="1:5" x14ac:dyDescent="0.3">
      <c r="A98" s="46" t="str">
        <f>B98&amp;RIGHT(C98,2)</f>
        <v>SVE23</v>
      </c>
      <c r="B98" s="2" t="s">
        <v>114</v>
      </c>
      <c r="C98" s="47">
        <v>2023</v>
      </c>
      <c r="D98" s="44">
        <v>1.748</v>
      </c>
      <c r="E98" s="45">
        <v>643.43469392974998</v>
      </c>
    </row>
    <row r="99" spans="1:5" x14ac:dyDescent="0.3">
      <c r="A99" s="46" t="str">
        <f>B99&amp;RIGHT(C99,2)</f>
        <v>SVE24</v>
      </c>
      <c r="B99" s="2" t="s">
        <v>114</v>
      </c>
      <c r="C99" s="47">
        <v>2024</v>
      </c>
      <c r="D99" s="44">
        <v>3.8130000000000002</v>
      </c>
      <c r="E99" s="45">
        <v>635.41164547131598</v>
      </c>
    </row>
    <row r="100" spans="1:5" x14ac:dyDescent="0.3">
      <c r="A100" s="46" t="str">
        <f>B100&amp;RIGHT(C100,2)</f>
        <v>SVE25</v>
      </c>
      <c r="B100" s="2" t="s">
        <v>114</v>
      </c>
      <c r="C100" s="47">
        <v>2025</v>
      </c>
      <c r="D100" s="44">
        <v>6.96</v>
      </c>
      <c r="E100" s="45">
        <v>630.76354224170598</v>
      </c>
    </row>
    <row r="101" spans="1:5" x14ac:dyDescent="0.3">
      <c r="A101" s="46" t="str">
        <f t="shared" ref="A101" si="1">B101&amp;RIGHT(C101,2)</f>
        <v>HDD21</v>
      </c>
      <c r="B101" s="2" t="s">
        <v>115</v>
      </c>
      <c r="C101" s="47">
        <v>2021</v>
      </c>
      <c r="D101" s="44">
        <v>0</v>
      </c>
      <c r="E101" s="45">
        <v>26.872050951823599</v>
      </c>
    </row>
    <row r="102" spans="1:5" x14ac:dyDescent="0.3">
      <c r="A102" s="46" t="str">
        <f>B102&amp;RIGHT(C102,2)</f>
        <v>HDD22</v>
      </c>
      <c r="B102" s="2" t="s">
        <v>115</v>
      </c>
      <c r="C102" s="47">
        <v>2022</v>
      </c>
      <c r="D102" s="44">
        <v>0</v>
      </c>
      <c r="E102" s="45">
        <v>26.692718899269298</v>
      </c>
    </row>
    <row r="103" spans="1:5" x14ac:dyDescent="0.3">
      <c r="A103" s="46" t="str">
        <f>B103&amp;RIGHT(C103,2)</f>
        <v>HDD23</v>
      </c>
      <c r="B103" s="2" t="s">
        <v>115</v>
      </c>
      <c r="C103" s="47">
        <v>2023</v>
      </c>
      <c r="D103" s="44">
        <v>0</v>
      </c>
      <c r="E103" s="45">
        <v>26.203587153191499</v>
      </c>
    </row>
    <row r="104" spans="1:5" x14ac:dyDescent="0.3">
      <c r="A104" s="46" t="str">
        <f>B104&amp;RIGHT(C104,2)</f>
        <v>HDD24</v>
      </c>
      <c r="B104" s="2" t="s">
        <v>115</v>
      </c>
      <c r="C104" s="47">
        <v>2024</v>
      </c>
      <c r="D104" s="44">
        <v>0</v>
      </c>
      <c r="E104" s="45">
        <v>25.616950688549899</v>
      </c>
    </row>
    <row r="105" spans="1:5" x14ac:dyDescent="0.3">
      <c r="A105" s="46" t="str">
        <f>B105&amp;RIGHT(C105,2)</f>
        <v>HDD25</v>
      </c>
      <c r="B105" s="2" t="s">
        <v>115</v>
      </c>
      <c r="C105" s="47">
        <v>2025</v>
      </c>
      <c r="D105" s="44">
        <v>0</v>
      </c>
      <c r="E105" s="45">
        <v>25.9173372120738</v>
      </c>
    </row>
    <row r="107" spans="1:5" s="49" customFormat="1" x14ac:dyDescent="0.3">
      <c r="A107" s="48"/>
      <c r="B107" s="1"/>
      <c r="C107" s="1"/>
      <c r="D107" s="1"/>
      <c r="E107" s="1"/>
    </row>
    <row r="108" spans="1:5" x14ac:dyDescent="0.3">
      <c r="B108" s="1"/>
      <c r="C108" s="1"/>
    </row>
    <row r="109" spans="1:5" x14ac:dyDescent="0.3">
      <c r="B109" s="1"/>
      <c r="C109" s="1"/>
    </row>
    <row r="110" spans="1:5" x14ac:dyDescent="0.3">
      <c r="B110" s="1"/>
      <c r="C110" s="1"/>
    </row>
    <row r="111" spans="1:5" x14ac:dyDescent="0.3">
      <c r="B111" s="1"/>
      <c r="C111" s="1"/>
    </row>
    <row r="112" spans="1:5" x14ac:dyDescent="0.3">
      <c r="B112" s="1"/>
      <c r="C112"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4"/>
  <sheetViews>
    <sheetView showGridLines="0" zoomScale="80" zoomScaleNormal="80" workbookViewId="0">
      <selection activeCell="I6" sqref="I6"/>
    </sheetView>
  </sheetViews>
  <sheetFormatPr defaultColWidth="9.1796875" defaultRowHeight="13" x14ac:dyDescent="0.3"/>
  <cols>
    <col min="1" max="9" width="9.1796875" style="1"/>
    <col min="10" max="10" width="10.81640625" style="1" bestFit="1" customWidth="1"/>
    <col min="11" max="11" width="13.54296875" style="1" customWidth="1"/>
    <col min="12" max="16384" width="9.1796875" style="1"/>
  </cols>
  <sheetData>
    <row r="1" spans="1:14" ht="18.5" x14ac:dyDescent="0.3">
      <c r="A1" s="51" t="s">
        <v>144</v>
      </c>
    </row>
    <row r="4" spans="1:14" x14ac:dyDescent="0.3">
      <c r="A4" s="1" t="str">
        <f>Data!D4</f>
        <v>realW3027CAW</v>
      </c>
    </row>
    <row r="5" spans="1:14" x14ac:dyDescent="0.3">
      <c r="A5" s="52" t="str">
        <f>Data!D5</f>
        <v>Improvements to river flows - capex</v>
      </c>
    </row>
    <row r="6" spans="1:14" x14ac:dyDescent="0.3">
      <c r="B6" s="33">
        <v>2021</v>
      </c>
      <c r="C6" s="33">
        <v>2022</v>
      </c>
      <c r="D6" s="33">
        <v>2023</v>
      </c>
      <c r="E6" s="33">
        <v>2024</v>
      </c>
      <c r="F6" s="33">
        <v>2025</v>
      </c>
      <c r="G6" s="33" t="s">
        <v>122</v>
      </c>
      <c r="I6" s="33" t="s">
        <v>142</v>
      </c>
      <c r="J6" s="33" t="s">
        <v>121</v>
      </c>
      <c r="K6" s="33" t="s">
        <v>120</v>
      </c>
      <c r="L6" s="33" t="s">
        <v>136</v>
      </c>
    </row>
    <row r="7" spans="1:14" x14ac:dyDescent="0.3">
      <c r="A7" s="31" t="s">
        <v>0</v>
      </c>
      <c r="B7" s="34">
        <f>SUMIFS(Data!$D$6:$D$105,Data!$B$6:$B$105,$A7,Data!$C$6:$C$105,B$6)</f>
        <v>0</v>
      </c>
      <c r="C7" s="34">
        <f>SUMIFS(Data!$D$6:$D$105,Data!$B$6:$B$105,$A7,Data!$C$6:$C$105,C$6)</f>
        <v>0</v>
      </c>
      <c r="D7" s="34">
        <f>SUMIFS(Data!$D$6:$D$105,Data!$B$6:$B$105,$A7,Data!$C$6:$C$105,D$6)</f>
        <v>0</v>
      </c>
      <c r="E7" s="34">
        <f>SUMIFS(Data!$D$6:$D$105,Data!$B$6:$B$105,$A7,Data!$C$6:$C$105,E$6)</f>
        <v>0</v>
      </c>
      <c r="F7" s="34">
        <f>SUMIFS(Data!$D$6:$D$105,Data!$B$6:$B$105,$A7,Data!$C$6:$C$105,F$6)</f>
        <v>0</v>
      </c>
      <c r="G7" s="38">
        <f>SUM(B7:F7)</f>
        <v>0</v>
      </c>
      <c r="I7" s="35">
        <f>SUMIFS(Data!$E$6:$E$105,Data!$B$6:$B$105,$A7,Data!$C$6:$C$105,"&gt;=2021")</f>
        <v>2814.0055180862919</v>
      </c>
      <c r="J7" s="36">
        <f>G7/I7</f>
        <v>0</v>
      </c>
      <c r="K7" s="34" t="s">
        <v>22</v>
      </c>
      <c r="L7" s="37"/>
    </row>
    <row r="8" spans="1:14" x14ac:dyDescent="0.3">
      <c r="A8" s="31" t="s">
        <v>115</v>
      </c>
      <c r="B8" s="34">
        <f>SUMIFS(Data!$D$6:$D$105,Data!$B$6:$B$105,$A8,Data!$C$6:$C$105,B$6)</f>
        <v>0</v>
      </c>
      <c r="C8" s="34">
        <f>SUMIFS(Data!$D$6:$D$105,Data!$B$6:$B$105,$A8,Data!$C$6:$C$105,C$6)</f>
        <v>0</v>
      </c>
      <c r="D8" s="34">
        <f>SUMIFS(Data!$D$6:$D$105,Data!$B$6:$B$105,$A8,Data!$C$6:$C$105,D$6)</f>
        <v>0</v>
      </c>
      <c r="E8" s="34">
        <f>SUMIFS(Data!$D$6:$D$105,Data!$B$6:$B$105,$A8,Data!$C$6:$C$105,E$6)</f>
        <v>0</v>
      </c>
      <c r="F8" s="34">
        <f>SUMIFS(Data!$D$6:$D$105,Data!$B$6:$B$105,$A8,Data!$C$6:$C$105,F$6)</f>
        <v>0</v>
      </c>
      <c r="G8" s="38">
        <f t="shared" ref="G8:G17" si="0">SUM(B8:F8)</f>
        <v>0</v>
      </c>
      <c r="I8" s="35">
        <f>SUMIFS(Data!$E$6:$E$105,Data!$B$6:$B$105,$A8,Data!$C$6:$C$105,"&gt;=2021")</f>
        <v>131.30264490490808</v>
      </c>
      <c r="J8" s="36">
        <f t="shared" ref="J8:J24" si="1">G8/I8</f>
        <v>0</v>
      </c>
      <c r="K8" s="34" t="s">
        <v>22</v>
      </c>
      <c r="L8" s="37"/>
    </row>
    <row r="9" spans="1:14" x14ac:dyDescent="0.3">
      <c r="A9" s="31" t="s">
        <v>1</v>
      </c>
      <c r="B9" s="34">
        <f>SUMIFS(Data!$D$6:$D$105,Data!$B$6:$B$105,$A9,Data!$C$6:$C$105,B$6)</f>
        <v>1.7000000000000001E-2</v>
      </c>
      <c r="C9" s="34">
        <f>SUMIFS(Data!$D$6:$D$105,Data!$B$6:$B$105,$A9,Data!$C$6:$C$105,C$6)</f>
        <v>1.7000000000000001E-2</v>
      </c>
      <c r="D9" s="34">
        <f>SUMIFS(Data!$D$6:$D$105,Data!$B$6:$B$105,$A9,Data!$C$6:$C$105,D$6)</f>
        <v>1.0999999999999999E-2</v>
      </c>
      <c r="E9" s="34">
        <f>SUMIFS(Data!$D$6:$D$105,Data!$B$6:$B$105,$A9,Data!$C$6:$C$105,E$6)</f>
        <v>6.0000000000000001E-3</v>
      </c>
      <c r="F9" s="34">
        <f>SUMIFS(Data!$D$6:$D$105,Data!$B$6:$B$105,$A9,Data!$C$6:$C$105,F$6)</f>
        <v>6.0000000000000001E-3</v>
      </c>
      <c r="G9" s="38">
        <f t="shared" si="0"/>
        <v>5.6999999999999995E-2</v>
      </c>
      <c r="I9" s="35">
        <f>SUMIFS(Data!$E$6:$E$105,Data!$B$6:$B$105,$A9,Data!$C$6:$C$105,"&gt;=2021")</f>
        <v>1729.884</v>
      </c>
      <c r="J9" s="36">
        <f t="shared" si="1"/>
        <v>3.2950186255263357E-5</v>
      </c>
      <c r="K9" s="34" t="s">
        <v>22</v>
      </c>
      <c r="L9" s="39">
        <f>$G9</f>
        <v>5.6999999999999995E-2</v>
      </c>
      <c r="N9" s="57"/>
    </row>
    <row r="10" spans="1:14" x14ac:dyDescent="0.3">
      <c r="A10" s="31" t="s">
        <v>2</v>
      </c>
      <c r="B10" s="34">
        <f>SUMIFS(Data!$D$6:$D$105,Data!$B$6:$B$105,$A10,Data!$C$6:$C$105,B$6)</f>
        <v>0</v>
      </c>
      <c r="C10" s="34">
        <f>SUMIFS(Data!$D$6:$D$105,Data!$B$6:$B$105,$A10,Data!$C$6:$C$105,C$6)</f>
        <v>0</v>
      </c>
      <c r="D10" s="34">
        <f>SUMIFS(Data!$D$6:$D$105,Data!$B$6:$B$105,$A10,Data!$C$6:$C$105,D$6)</f>
        <v>0</v>
      </c>
      <c r="E10" s="34">
        <f>SUMIFS(Data!$D$6:$D$105,Data!$B$6:$B$105,$A10,Data!$C$6:$C$105,E$6)</f>
        <v>0</v>
      </c>
      <c r="F10" s="34">
        <f>SUMIFS(Data!$D$6:$D$105,Data!$B$6:$B$105,$A10,Data!$C$6:$C$105,F$6)</f>
        <v>0</v>
      </c>
      <c r="G10" s="38">
        <f t="shared" si="0"/>
        <v>0</v>
      </c>
      <c r="I10" s="35">
        <f>SUMIFS(Data!$E$6:$E$105,Data!$B$6:$B$105,$A10,Data!$C$6:$C$105,"&gt;=2021")</f>
        <v>2477.5035104607214</v>
      </c>
      <c r="J10" s="36">
        <f t="shared" si="1"/>
        <v>0</v>
      </c>
      <c r="K10" s="34" t="s">
        <v>22</v>
      </c>
      <c r="L10" s="39"/>
      <c r="N10" s="57"/>
    </row>
    <row r="11" spans="1:14" x14ac:dyDescent="0.3">
      <c r="A11" s="31" t="s">
        <v>3</v>
      </c>
      <c r="B11" s="34">
        <f>SUMIFS(Data!$D$6:$D$105,Data!$B$6:$B$105,$A11,Data!$C$6:$C$105,B$6)</f>
        <v>0</v>
      </c>
      <c r="C11" s="34">
        <f>SUMIFS(Data!$D$6:$D$105,Data!$B$6:$B$105,$A11,Data!$C$6:$C$105,C$6)</f>
        <v>0</v>
      </c>
      <c r="D11" s="34">
        <f>SUMIFS(Data!$D$6:$D$105,Data!$B$6:$B$105,$A11,Data!$C$6:$C$105,D$6)</f>
        <v>0</v>
      </c>
      <c r="E11" s="34">
        <f>SUMIFS(Data!$D$6:$D$105,Data!$B$6:$B$105,$A11,Data!$C$6:$C$105,E$6)</f>
        <v>0</v>
      </c>
      <c r="F11" s="34">
        <f>SUMIFS(Data!$D$6:$D$105,Data!$B$6:$B$105,$A11,Data!$C$6:$C$105,F$6)</f>
        <v>0</v>
      </c>
      <c r="G11" s="38">
        <f t="shared" si="0"/>
        <v>0</v>
      </c>
      <c r="I11" s="35">
        <f>SUMIFS(Data!$E$6:$E$105,Data!$B$6:$B$105,$A11,Data!$C$6:$C$105,"&gt;=2021")</f>
        <v>1226.604</v>
      </c>
      <c r="J11" s="36">
        <f t="shared" si="1"/>
        <v>0</v>
      </c>
      <c r="K11" s="34" t="s">
        <v>22</v>
      </c>
      <c r="L11" s="39"/>
      <c r="N11" s="57"/>
    </row>
    <row r="12" spans="1:14" x14ac:dyDescent="0.3">
      <c r="A12" s="31" t="s">
        <v>114</v>
      </c>
      <c r="B12" s="34">
        <f>SUMIFS(Data!$D$6:$D$105,Data!$B$6:$B$105,$A12,Data!$C$6:$C$105,B$6)</f>
        <v>1.202</v>
      </c>
      <c r="C12" s="34">
        <f>SUMIFS(Data!$D$6:$D$105,Data!$B$6:$B$105,$A12,Data!$C$6:$C$105,C$6)</f>
        <v>1.45</v>
      </c>
      <c r="D12" s="34">
        <f>SUMIFS(Data!$D$6:$D$105,Data!$B$6:$B$105,$A12,Data!$C$6:$C$105,D$6)</f>
        <v>1.748</v>
      </c>
      <c r="E12" s="34">
        <f>SUMIFS(Data!$D$6:$D$105,Data!$B$6:$B$105,$A12,Data!$C$6:$C$105,E$6)</f>
        <v>3.8130000000000002</v>
      </c>
      <c r="F12" s="34">
        <f>SUMIFS(Data!$D$6:$D$105,Data!$B$6:$B$105,$A12,Data!$C$6:$C$105,F$6)</f>
        <v>6.96</v>
      </c>
      <c r="G12" s="38">
        <f t="shared" si="0"/>
        <v>15.173000000000002</v>
      </c>
      <c r="I12" s="35">
        <f>SUMIFS(Data!$E$6:$E$105,Data!$B$6:$B$105,$A12,Data!$C$6:$C$105,"&gt;=2021")</f>
        <v>3115.8041903943272</v>
      </c>
      <c r="J12" s="36">
        <f t="shared" si="1"/>
        <v>4.8696898369854722E-3</v>
      </c>
      <c r="K12" s="34" t="s">
        <v>22</v>
      </c>
      <c r="L12" s="39">
        <f>$G12</f>
        <v>15.173000000000002</v>
      </c>
      <c r="N12" s="57"/>
    </row>
    <row r="13" spans="1:14" x14ac:dyDescent="0.3">
      <c r="A13" s="31" t="s">
        <v>5</v>
      </c>
      <c r="B13" s="34">
        <f>SUMIFS(Data!$D$6:$D$105,Data!$B$6:$B$105,$A13,Data!$C$6:$C$105,B$6)</f>
        <v>0</v>
      </c>
      <c r="C13" s="34">
        <f>SUMIFS(Data!$D$6:$D$105,Data!$B$6:$B$105,$A13,Data!$C$6:$C$105,C$6)</f>
        <v>0</v>
      </c>
      <c r="D13" s="34">
        <f>SUMIFS(Data!$D$6:$D$105,Data!$B$6:$B$105,$A13,Data!$C$6:$C$105,D$6)</f>
        <v>0</v>
      </c>
      <c r="E13" s="34">
        <f>SUMIFS(Data!$D$6:$D$105,Data!$B$6:$B$105,$A13,Data!$C$6:$C$105,E$6)</f>
        <v>0</v>
      </c>
      <c r="F13" s="34">
        <f>SUMIFS(Data!$D$6:$D$105,Data!$B$6:$B$105,$A13,Data!$C$6:$C$105,F$6)</f>
        <v>0</v>
      </c>
      <c r="G13" s="38">
        <f t="shared" si="0"/>
        <v>0</v>
      </c>
      <c r="I13" s="35">
        <f>SUMIFS(Data!$E$6:$E$105,Data!$B$6:$B$105,$A13,Data!$C$6:$C$105,"&gt;=2021")</f>
        <v>894.25199999999995</v>
      </c>
      <c r="J13" s="36">
        <f t="shared" si="1"/>
        <v>0</v>
      </c>
      <c r="K13" s="34" t="s">
        <v>22</v>
      </c>
      <c r="L13" s="39"/>
      <c r="N13" s="57"/>
    </row>
    <row r="14" spans="1:14" x14ac:dyDescent="0.3">
      <c r="A14" s="31" t="s">
        <v>6</v>
      </c>
      <c r="B14" s="34">
        <f>SUMIFS(Data!$D$6:$D$105,Data!$B$6:$B$105,$A14,Data!$C$6:$C$105,B$6)</f>
        <v>0</v>
      </c>
      <c r="C14" s="34">
        <f>SUMIFS(Data!$D$6:$D$105,Data!$B$6:$B$105,$A14,Data!$C$6:$C$105,C$6)</f>
        <v>0</v>
      </c>
      <c r="D14" s="34">
        <f>SUMIFS(Data!$D$6:$D$105,Data!$B$6:$B$105,$A14,Data!$C$6:$C$105,D$6)</f>
        <v>0</v>
      </c>
      <c r="E14" s="34">
        <f>SUMIFS(Data!$D$6:$D$105,Data!$B$6:$B$105,$A14,Data!$C$6:$C$105,E$6)</f>
        <v>0</v>
      </c>
      <c r="F14" s="34">
        <f>SUMIFS(Data!$D$6:$D$105,Data!$B$6:$B$105,$A14,Data!$C$6:$C$105,F$6)</f>
        <v>0</v>
      </c>
      <c r="G14" s="38">
        <f t="shared" si="0"/>
        <v>0</v>
      </c>
      <c r="I14" s="35">
        <f>SUMIFS(Data!$E$6:$E$105,Data!$B$6:$B$105,$A14,Data!$C$6:$C$105,"&gt;=2021")</f>
        <v>5658.2039244564403</v>
      </c>
      <c r="J14" s="36">
        <f t="shared" si="1"/>
        <v>0</v>
      </c>
      <c r="K14" s="34" t="s">
        <v>22</v>
      </c>
      <c r="L14" s="39"/>
      <c r="N14" s="57"/>
    </row>
    <row r="15" spans="1:14" x14ac:dyDescent="0.3">
      <c r="A15" s="31" t="s">
        <v>7</v>
      </c>
      <c r="B15" s="34">
        <f>SUMIFS(Data!$D$6:$D$105,Data!$B$6:$B$105,$A15,Data!$C$6:$C$105,B$6)</f>
        <v>0.498</v>
      </c>
      <c r="C15" s="34">
        <f>SUMIFS(Data!$D$6:$D$105,Data!$B$6:$B$105,$A15,Data!$C$6:$C$105,C$6)</f>
        <v>0.49199999999999999</v>
      </c>
      <c r="D15" s="34">
        <f>SUMIFS(Data!$D$6:$D$105,Data!$B$6:$B$105,$A15,Data!$C$6:$C$105,D$6)</f>
        <v>0.48699999999999999</v>
      </c>
      <c r="E15" s="34">
        <f>SUMIFS(Data!$D$6:$D$105,Data!$B$6:$B$105,$A15,Data!$C$6:$C$105,E$6)</f>
        <v>0.48</v>
      </c>
      <c r="F15" s="34">
        <f>SUMIFS(Data!$D$6:$D$105,Data!$B$6:$B$105,$A15,Data!$C$6:$C$105,F$6)</f>
        <v>0.25900000000000001</v>
      </c>
      <c r="G15" s="38">
        <f t="shared" si="0"/>
        <v>2.2159999999999997</v>
      </c>
      <c r="I15" s="35">
        <f>SUMIFS(Data!$E$6:$E$105,Data!$B$6:$B$105,$A15,Data!$C$6:$C$105,"&gt;=2021")</f>
        <v>1646.3919999999998</v>
      </c>
      <c r="J15" s="36">
        <f t="shared" si="1"/>
        <v>1.3459734984135004E-3</v>
      </c>
      <c r="K15" s="34" t="s">
        <v>22</v>
      </c>
      <c r="L15" s="39">
        <f>$G15</f>
        <v>2.2159999999999997</v>
      </c>
      <c r="N15" s="57"/>
    </row>
    <row r="16" spans="1:14" x14ac:dyDescent="0.3">
      <c r="A16" s="31" t="s">
        <v>8</v>
      </c>
      <c r="B16" s="34">
        <f>SUMIFS(Data!$D$6:$D$105,Data!$B$6:$B$105,$A16,Data!$C$6:$C$105,B$6)</f>
        <v>0</v>
      </c>
      <c r="C16" s="34">
        <f>SUMIFS(Data!$D$6:$D$105,Data!$B$6:$B$105,$A16,Data!$C$6:$C$105,C$6)</f>
        <v>0</v>
      </c>
      <c r="D16" s="34">
        <f>SUMIFS(Data!$D$6:$D$105,Data!$B$6:$B$105,$A16,Data!$C$6:$C$105,D$6)</f>
        <v>0</v>
      </c>
      <c r="E16" s="34">
        <f>SUMIFS(Data!$D$6:$D$105,Data!$B$6:$B$105,$A16,Data!$C$6:$C$105,E$6)</f>
        <v>0</v>
      </c>
      <c r="F16" s="34">
        <f>SUMIFS(Data!$D$6:$D$105,Data!$B$6:$B$105,$A16,Data!$C$6:$C$105,F$6)</f>
        <v>0</v>
      </c>
      <c r="G16" s="38">
        <f t="shared" si="0"/>
        <v>0</v>
      </c>
      <c r="I16" s="35">
        <f>SUMIFS(Data!$E$6:$E$105,Data!$B$6:$B$105,$A16,Data!$C$6:$C$105,"&gt;=2021")</f>
        <v>660.34856778321205</v>
      </c>
      <c r="J16" s="36">
        <f t="shared" si="1"/>
        <v>0</v>
      </c>
      <c r="K16" s="34" t="s">
        <v>22</v>
      </c>
      <c r="L16" s="39"/>
      <c r="N16" s="57"/>
    </row>
    <row r="17" spans="1:14" x14ac:dyDescent="0.3">
      <c r="A17" s="31" t="s">
        <v>9</v>
      </c>
      <c r="B17" s="34">
        <f>SUMIFS(Data!$D$6:$D$105,Data!$B$6:$B$105,$A17,Data!$C$6:$C$105,B$6)</f>
        <v>0</v>
      </c>
      <c r="C17" s="34">
        <f>SUMIFS(Data!$D$6:$D$105,Data!$B$6:$B$105,$A17,Data!$C$6:$C$105,C$6)</f>
        <v>0</v>
      </c>
      <c r="D17" s="34">
        <f>SUMIFS(Data!$D$6:$D$105,Data!$B$6:$B$105,$A17,Data!$C$6:$C$105,D$6)</f>
        <v>0</v>
      </c>
      <c r="E17" s="34">
        <f>SUMIFS(Data!$D$6:$D$105,Data!$B$6:$B$105,$A17,Data!$C$6:$C$105,E$6)</f>
        <v>0</v>
      </c>
      <c r="F17" s="34">
        <f>SUMIFS(Data!$D$6:$D$105,Data!$B$6:$B$105,$A17,Data!$C$6:$C$105,F$6)</f>
        <v>0</v>
      </c>
      <c r="G17" s="38">
        <f t="shared" si="0"/>
        <v>0</v>
      </c>
      <c r="I17" s="35">
        <f>SUMIFS(Data!$E$6:$E$105,Data!$B$6:$B$105,$A17,Data!$C$6:$C$105,"&gt;=2021")</f>
        <v>2024.423</v>
      </c>
      <c r="J17" s="36">
        <f t="shared" si="1"/>
        <v>0</v>
      </c>
      <c r="K17" s="34" t="s">
        <v>22</v>
      </c>
      <c r="L17" s="39"/>
      <c r="N17" s="57"/>
    </row>
    <row r="18" spans="1:14" x14ac:dyDescent="0.3">
      <c r="A18" s="31" t="s">
        <v>10</v>
      </c>
      <c r="B18" s="34">
        <f>SUMIFS(Data!$D$6:$D$105,Data!$B$6:$B$105,$A18,Data!$C$6:$C$105,B$6)</f>
        <v>0.2</v>
      </c>
      <c r="C18" s="34">
        <f>SUMIFS(Data!$D$6:$D$105,Data!$B$6:$B$105,$A18,Data!$C$6:$C$105,C$6)</f>
        <v>0.1</v>
      </c>
      <c r="D18" s="34">
        <f>SUMIFS(Data!$D$6:$D$105,Data!$B$6:$B$105,$A18,Data!$C$6:$C$105,D$6)</f>
        <v>0.1</v>
      </c>
      <c r="E18" s="34">
        <f>SUMIFS(Data!$D$6:$D$105,Data!$B$6:$B$105,$A18,Data!$C$6:$C$105,E$6)</f>
        <v>0.05</v>
      </c>
      <c r="F18" s="34">
        <f>SUMIFS(Data!$D$6:$D$105,Data!$B$6:$B$105,$A18,Data!$C$6:$C$105,F$6)</f>
        <v>0.05</v>
      </c>
      <c r="G18" s="38">
        <f t="shared" ref="G18:G23" si="2">SUM(B18:F18)</f>
        <v>0.5</v>
      </c>
      <c r="I18" s="35">
        <f>SUMIFS(Data!$E$6:$E$105,Data!$B$6:$B$105,$A18,Data!$C$6:$C$105,"&gt;=2021")</f>
        <v>1368.4611030444821</v>
      </c>
      <c r="J18" s="36">
        <f t="shared" si="1"/>
        <v>3.6537392176337759E-4</v>
      </c>
      <c r="K18" s="34" t="s">
        <v>22</v>
      </c>
      <c r="L18" s="39">
        <f>$G18</f>
        <v>0.5</v>
      </c>
      <c r="N18" s="57"/>
    </row>
    <row r="19" spans="1:14" x14ac:dyDescent="0.3">
      <c r="A19" s="31" t="s">
        <v>11</v>
      </c>
      <c r="B19" s="34">
        <f>SUMIFS(Data!$D$6:$D$105,Data!$B$6:$B$105,$A19,Data!$C$6:$C$105,B$6)</f>
        <v>4.7E-2</v>
      </c>
      <c r="C19" s="34">
        <f>SUMIFS(Data!$D$6:$D$105,Data!$B$6:$B$105,$A19,Data!$C$6:$C$105,C$6)</f>
        <v>4.7E-2</v>
      </c>
      <c r="D19" s="34">
        <f>SUMIFS(Data!$D$6:$D$105,Data!$B$6:$B$105,$A19,Data!$C$6:$C$105,D$6)</f>
        <v>4.7E-2</v>
      </c>
      <c r="E19" s="34">
        <f>SUMIFS(Data!$D$6:$D$105,Data!$B$6:$B$105,$A19,Data!$C$6:$C$105,E$6)</f>
        <v>4.7E-2</v>
      </c>
      <c r="F19" s="34">
        <f>SUMIFS(Data!$D$6:$D$105,Data!$B$6:$B$105,$A19,Data!$C$6:$C$105,F$6)</f>
        <v>4.7E-2</v>
      </c>
      <c r="G19" s="38">
        <f t="shared" si="2"/>
        <v>0.23499999999999999</v>
      </c>
      <c r="I19" s="35">
        <f>SUMIFS(Data!$E$6:$E$105,Data!$B$6:$B$105,$A19,Data!$C$6:$C$105,"&gt;=2021")</f>
        <v>457.197</v>
      </c>
      <c r="J19" s="36">
        <f t="shared" si="1"/>
        <v>5.1400162293278385E-4</v>
      </c>
      <c r="K19" s="34" t="s">
        <v>22</v>
      </c>
      <c r="L19" s="39">
        <f>$G19</f>
        <v>0.23499999999999999</v>
      </c>
      <c r="N19" s="57"/>
    </row>
    <row r="20" spans="1:14" x14ac:dyDescent="0.3">
      <c r="A20" s="31" t="s">
        <v>13</v>
      </c>
      <c r="B20" s="34">
        <f>SUMIFS(Data!$D$6:$D$105,Data!$B$6:$B$105,$A20,Data!$C$6:$C$105,B$6)</f>
        <v>0</v>
      </c>
      <c r="C20" s="34">
        <f>SUMIFS(Data!$D$6:$D$105,Data!$B$6:$B$105,$A20,Data!$C$6:$C$105,C$6)</f>
        <v>0</v>
      </c>
      <c r="D20" s="34">
        <f>SUMIFS(Data!$D$6:$D$105,Data!$B$6:$B$105,$A20,Data!$C$6:$C$105,D$6)</f>
        <v>0</v>
      </c>
      <c r="E20" s="34">
        <f>SUMIFS(Data!$D$6:$D$105,Data!$B$6:$B$105,$A20,Data!$C$6:$C$105,E$6)</f>
        <v>0</v>
      </c>
      <c r="F20" s="34">
        <f>SUMIFS(Data!$D$6:$D$105,Data!$B$6:$B$105,$A20,Data!$C$6:$C$105,F$6)</f>
        <v>0</v>
      </c>
      <c r="G20" s="38">
        <f t="shared" si="2"/>
        <v>0</v>
      </c>
      <c r="I20" s="35">
        <f>SUMIFS(Data!$E$6:$E$105,Data!$B$6:$B$105,$A20,Data!$C$6:$C$105,"&gt;=2021")</f>
        <v>223.94399999999999</v>
      </c>
      <c r="J20" s="36">
        <f t="shared" si="1"/>
        <v>0</v>
      </c>
      <c r="K20" s="34" t="s">
        <v>22</v>
      </c>
      <c r="L20" s="39"/>
      <c r="N20" s="57"/>
    </row>
    <row r="21" spans="1:14" x14ac:dyDescent="0.3">
      <c r="A21" s="31" t="s">
        <v>14</v>
      </c>
      <c r="B21" s="34">
        <f>SUMIFS(Data!$D$6:$D$105,Data!$B$6:$B$105,$A21,Data!$C$6:$C$105,B$6)</f>
        <v>0</v>
      </c>
      <c r="C21" s="34">
        <f>SUMIFS(Data!$D$6:$D$105,Data!$B$6:$B$105,$A21,Data!$C$6:$C$105,C$6)</f>
        <v>0</v>
      </c>
      <c r="D21" s="34">
        <f>SUMIFS(Data!$D$6:$D$105,Data!$B$6:$B$105,$A21,Data!$C$6:$C$105,D$6)</f>
        <v>0</v>
      </c>
      <c r="E21" s="34">
        <f>SUMIFS(Data!$D$6:$D$105,Data!$B$6:$B$105,$A21,Data!$C$6:$C$105,E$6)</f>
        <v>0</v>
      </c>
      <c r="F21" s="34">
        <f>SUMIFS(Data!$D$6:$D$105,Data!$B$6:$B$105,$A21,Data!$C$6:$C$105,F$6)</f>
        <v>0</v>
      </c>
      <c r="G21" s="38">
        <f t="shared" si="2"/>
        <v>0</v>
      </c>
      <c r="I21" s="35">
        <f>SUMIFS(Data!$E$6:$E$105,Data!$B$6:$B$105,$A21,Data!$C$6:$C$105,"&gt;=2021")</f>
        <v>253.309</v>
      </c>
      <c r="J21" s="36">
        <f t="shared" si="1"/>
        <v>0</v>
      </c>
      <c r="K21" s="34" t="s">
        <v>22</v>
      </c>
      <c r="L21" s="39"/>
      <c r="N21" s="57"/>
    </row>
    <row r="22" spans="1:14" x14ac:dyDescent="0.3">
      <c r="A22" s="31" t="s">
        <v>15</v>
      </c>
      <c r="B22" s="34">
        <f>SUMIFS(Data!$D$6:$D$105,Data!$B$6:$B$105,$A22,Data!$C$6:$C$105,B$6)</f>
        <v>0.69921285284913104</v>
      </c>
      <c r="C22" s="34">
        <f>SUMIFS(Data!$D$6:$D$105,Data!$B$6:$B$105,$A22,Data!$C$6:$C$105,C$6)</f>
        <v>0.38455990676067903</v>
      </c>
      <c r="D22" s="34">
        <f>SUMIFS(Data!$D$6:$D$105,Data!$B$6:$B$105,$A22,Data!$C$6:$C$105,D$6)</f>
        <v>0.29340668196439801</v>
      </c>
      <c r="E22" s="34">
        <f>SUMIFS(Data!$D$6:$D$105,Data!$B$6:$B$105,$A22,Data!$C$6:$C$105,E$6)</f>
        <v>0.17272441205427999</v>
      </c>
      <c r="F22" s="34">
        <f>SUMIFS(Data!$D$6:$D$105,Data!$B$6:$B$105,$A22,Data!$C$6:$C$105,F$6)</f>
        <v>0.17030267815840999</v>
      </c>
      <c r="G22" s="38">
        <f t="shared" si="2"/>
        <v>1.7202065317868982</v>
      </c>
      <c r="I22" s="35">
        <f>SUMIFS(Data!$E$6:$E$105,Data!$B$6:$B$105,$A22,Data!$C$6:$C$105,"&gt;=2021")</f>
        <v>960.94699999999989</v>
      </c>
      <c r="J22" s="36">
        <f t="shared" si="1"/>
        <v>1.7901159291687245E-3</v>
      </c>
      <c r="K22" s="34" t="s">
        <v>22</v>
      </c>
      <c r="L22" s="39">
        <f>$G22</f>
        <v>1.7202065317868982</v>
      </c>
      <c r="N22" s="57"/>
    </row>
    <row r="23" spans="1:14" x14ac:dyDescent="0.3">
      <c r="A23" s="31" t="s">
        <v>16</v>
      </c>
      <c r="B23" s="34">
        <f>SUMIFS(Data!$D$6:$D$105,Data!$B$6:$B$105,$A23,Data!$C$6:$C$105,B$6)</f>
        <v>0</v>
      </c>
      <c r="C23" s="34">
        <f>SUMIFS(Data!$D$6:$D$105,Data!$B$6:$B$105,$A23,Data!$C$6:$C$105,C$6)</f>
        <v>0</v>
      </c>
      <c r="D23" s="34">
        <f>SUMIFS(Data!$D$6:$D$105,Data!$B$6:$B$105,$A23,Data!$C$6:$C$105,D$6)</f>
        <v>0</v>
      </c>
      <c r="E23" s="34">
        <f>SUMIFS(Data!$D$6:$D$105,Data!$B$6:$B$105,$A23,Data!$C$6:$C$105,E$6)</f>
        <v>0</v>
      </c>
      <c r="F23" s="34">
        <f>SUMIFS(Data!$D$6:$D$105,Data!$B$6:$B$105,$A23,Data!$C$6:$C$105,F$6)</f>
        <v>0</v>
      </c>
      <c r="G23" s="38">
        <f t="shared" si="2"/>
        <v>0</v>
      </c>
      <c r="I23" s="35">
        <f>SUMIFS(Data!$E$6:$E$105,Data!$B$6:$B$105,$A23,Data!$C$6:$C$105,"&gt;=2021")</f>
        <v>538.02900167239989</v>
      </c>
      <c r="J23" s="36">
        <f t="shared" si="1"/>
        <v>0</v>
      </c>
      <c r="K23" s="34" t="s">
        <v>22</v>
      </c>
      <c r="L23" s="37"/>
    </row>
    <row r="24" spans="1:14" x14ac:dyDescent="0.3">
      <c r="A24" s="53" t="s">
        <v>122</v>
      </c>
      <c r="B24" s="54">
        <f>SUM(B7:B23)</f>
        <v>2.6632128528491306</v>
      </c>
      <c r="C24" s="54">
        <f t="shared" ref="C24:G24" si="3">SUM(C7:C23)</f>
        <v>2.4905599067606787</v>
      </c>
      <c r="D24" s="54">
        <f t="shared" si="3"/>
        <v>2.6864066819643981</v>
      </c>
      <c r="E24" s="54">
        <f t="shared" si="3"/>
        <v>4.5687244120542791</v>
      </c>
      <c r="F24" s="54">
        <f t="shared" si="3"/>
        <v>7.4923026781584099</v>
      </c>
      <c r="G24" s="54">
        <f t="shared" si="3"/>
        <v>19.901206531786897</v>
      </c>
      <c r="I24" s="55">
        <f t="shared" ref="I24" si="4">SUM(I7:I23)</f>
        <v>26180.610460802778</v>
      </c>
      <c r="J24" s="36">
        <f t="shared" si="1"/>
        <v>7.6015059165952944E-4</v>
      </c>
      <c r="L24" s="56">
        <f t="shared" ref="L24" si="5">SUM(L7:L23)</f>
        <v>19.901206531786897</v>
      </c>
    </row>
  </sheetData>
  <conditionalFormatting sqref="A7:A8">
    <cfRule type="cellIs" dxfId="4" priority="6" operator="equal">
      <formula>0</formula>
    </cfRule>
  </conditionalFormatting>
  <conditionalFormatting sqref="A9:A17">
    <cfRule type="cellIs" dxfId="3" priority="5" operator="equal">
      <formula>0</formula>
    </cfRule>
  </conditionalFormatting>
  <conditionalFormatting sqref="A18:A23">
    <cfRule type="cellIs" dxfId="2"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30"/>
  <sheetViews>
    <sheetView showGridLines="0" zoomScale="80" zoomScaleNormal="80" workbookViewId="0">
      <selection activeCell="B5" sqref="B5"/>
    </sheetView>
  </sheetViews>
  <sheetFormatPr defaultColWidth="9.1796875" defaultRowHeight="13" x14ac:dyDescent="0.3"/>
  <cols>
    <col min="1" max="1" width="2.81640625" style="1" customWidth="1"/>
    <col min="2" max="2" width="14.453125" style="1" customWidth="1"/>
    <col min="3" max="3" width="18.453125" style="1" customWidth="1"/>
    <col min="4" max="4" width="15.54296875" style="1" customWidth="1"/>
    <col min="5" max="5" width="14.7265625" style="1" customWidth="1"/>
    <col min="6" max="7" width="12.81640625" style="1" customWidth="1"/>
    <col min="8" max="8" width="13.1796875" style="1" customWidth="1"/>
    <col min="9" max="9" width="11.54296875" style="1" bestFit="1" customWidth="1"/>
    <col min="10" max="10" width="11.54296875" style="1" customWidth="1"/>
    <col min="11" max="11" width="11.1796875" style="1" bestFit="1" customWidth="1"/>
    <col min="12" max="12" width="12.81640625" style="1" customWidth="1"/>
    <col min="13" max="13" width="31.453125" style="1" bestFit="1" customWidth="1"/>
    <col min="14" max="16384" width="9.1796875" style="1"/>
  </cols>
  <sheetData>
    <row r="1" spans="1:12" ht="18.5" x14ac:dyDescent="0.45">
      <c r="A1" s="59" t="s">
        <v>128</v>
      </c>
      <c r="B1" s="11"/>
      <c r="C1" s="11"/>
      <c r="D1" s="11"/>
      <c r="E1" s="11"/>
      <c r="F1" s="11"/>
      <c r="G1" s="11"/>
      <c r="H1" s="11"/>
      <c r="I1" s="11"/>
      <c r="J1" s="11"/>
      <c r="K1" s="11"/>
    </row>
    <row r="3" spans="1:12" x14ac:dyDescent="0.3">
      <c r="B3" s="12" t="s">
        <v>19</v>
      </c>
      <c r="C3" s="13" t="s">
        <v>147</v>
      </c>
      <c r="D3" s="14"/>
      <c r="E3" s="14"/>
      <c r="F3" s="14"/>
      <c r="G3" s="14"/>
      <c r="H3" s="14"/>
    </row>
    <row r="4" spans="1:12" x14ac:dyDescent="0.3">
      <c r="B4" s="12" t="s">
        <v>127</v>
      </c>
      <c r="C4" s="13" t="s">
        <v>148</v>
      </c>
      <c r="D4" s="14"/>
      <c r="E4" s="14"/>
      <c r="F4" s="14"/>
      <c r="G4" s="14"/>
      <c r="H4" s="14"/>
    </row>
    <row r="5" spans="1:12" x14ac:dyDescent="0.3">
      <c r="B5" s="12" t="s">
        <v>126</v>
      </c>
      <c r="C5" s="15" t="s">
        <v>18</v>
      </c>
      <c r="D5" s="16"/>
      <c r="E5" s="16"/>
      <c r="F5" s="16"/>
      <c r="G5" s="16"/>
      <c r="H5" s="17"/>
      <c r="I5" s="18"/>
      <c r="J5" s="18"/>
    </row>
    <row r="6" spans="1:12" x14ac:dyDescent="0.3">
      <c r="B6" s="12" t="s">
        <v>125</v>
      </c>
      <c r="C6" s="15" t="s">
        <v>143</v>
      </c>
      <c r="D6" s="16"/>
      <c r="E6" s="16"/>
      <c r="F6" s="16"/>
      <c r="G6" s="16"/>
      <c r="H6" s="19"/>
    </row>
    <row r="7" spans="1:12" x14ac:dyDescent="0.3">
      <c r="B7" s="20" t="s">
        <v>20</v>
      </c>
      <c r="C7" s="21" t="s">
        <v>21</v>
      </c>
      <c r="D7" s="14"/>
      <c r="E7" s="14"/>
      <c r="F7" s="14"/>
      <c r="G7" s="14"/>
      <c r="H7" s="14"/>
    </row>
    <row r="10" spans="1:12" ht="12.75" customHeight="1" x14ac:dyDescent="0.3">
      <c r="A10" s="7" t="s">
        <v>124</v>
      </c>
    </row>
    <row r="11" spans="1:12" ht="12.75" customHeight="1" x14ac:dyDescent="0.3">
      <c r="A11" s="18"/>
      <c r="B11" s="18"/>
      <c r="C11" s="18"/>
      <c r="D11" s="18"/>
      <c r="E11" s="18"/>
      <c r="F11" s="18"/>
      <c r="G11" s="18"/>
      <c r="H11" s="18"/>
      <c r="I11" s="22"/>
      <c r="J11" s="18"/>
    </row>
    <row r="12" spans="1:12" ht="52" x14ac:dyDescent="0.3">
      <c r="B12" s="8" t="s">
        <v>17</v>
      </c>
      <c r="C12" s="8" t="s">
        <v>129</v>
      </c>
      <c r="D12" s="8" t="s">
        <v>133</v>
      </c>
      <c r="E12" s="8" t="s">
        <v>134</v>
      </c>
      <c r="F12" s="8" t="s">
        <v>135</v>
      </c>
      <c r="G12" s="8" t="s">
        <v>145</v>
      </c>
      <c r="H12" s="9" t="s">
        <v>146</v>
      </c>
      <c r="I12" s="10" t="s">
        <v>130</v>
      </c>
      <c r="J12" s="8" t="s">
        <v>131</v>
      </c>
      <c r="K12" s="8" t="s">
        <v>132</v>
      </c>
      <c r="L12" s="8" t="s">
        <v>123</v>
      </c>
    </row>
    <row r="13" spans="1:12" x14ac:dyDescent="0.3">
      <c r="A13" s="23">
        <v>1</v>
      </c>
      <c r="B13" s="24" t="s">
        <v>0</v>
      </c>
      <c r="C13" s="25">
        <f>INDEX(Analysis!$G$7:$G$23,MATCH($B13,Analysis!$A$7:$A$23,0))</f>
        <v>0</v>
      </c>
      <c r="D13" s="25">
        <v>0</v>
      </c>
      <c r="E13" s="25">
        <v>0</v>
      </c>
      <c r="F13" s="58">
        <f>E13-D13</f>
        <v>0</v>
      </c>
      <c r="G13" s="25">
        <f>C13+F13</f>
        <v>0</v>
      </c>
      <c r="H13" s="25">
        <f>INDEX(Analysis!$L$7:$L$23,MATCH($B13,Analysis!$A$7:$A$23,0))</f>
        <v>0</v>
      </c>
      <c r="I13" s="26">
        <f>MIN(G13,H13)</f>
        <v>0</v>
      </c>
      <c r="J13" s="27">
        <v>0</v>
      </c>
      <c r="K13" s="25">
        <f>$I13*$J13</f>
        <v>0</v>
      </c>
      <c r="L13" s="25">
        <f>$I13*(1-$J13)</f>
        <v>0</v>
      </c>
    </row>
    <row r="14" spans="1:12" x14ac:dyDescent="0.3">
      <c r="A14" s="23">
        <v>2</v>
      </c>
      <c r="B14" s="24" t="s">
        <v>115</v>
      </c>
      <c r="C14" s="25">
        <f>INDEX(Analysis!$G$7:$G$23,MATCH($B14,Analysis!$A$7:$A$23,0))</f>
        <v>0</v>
      </c>
      <c r="D14" s="25">
        <v>0</v>
      </c>
      <c r="E14" s="25">
        <v>0</v>
      </c>
      <c r="F14" s="58">
        <f t="shared" ref="F14:F29" si="0">E14-D14</f>
        <v>0</v>
      </c>
      <c r="G14" s="25">
        <f t="shared" ref="G14" si="1">C14+F14</f>
        <v>0</v>
      </c>
      <c r="H14" s="25">
        <f>INDEX(Analysis!$L$7:$L$23,MATCH($B14,Analysis!$A$7:$A$23,0))</f>
        <v>0</v>
      </c>
      <c r="I14" s="26">
        <f t="shared" ref="I14" si="2">MIN(G14,H14)</f>
        <v>0</v>
      </c>
      <c r="J14" s="27">
        <v>0</v>
      </c>
      <c r="K14" s="25">
        <f t="shared" ref="K14:K29" si="3">$I14*$J14</f>
        <v>0</v>
      </c>
      <c r="L14" s="25">
        <f t="shared" ref="L14:L29" si="4">$I14*(1-$J14)</f>
        <v>0</v>
      </c>
    </row>
    <row r="15" spans="1:12" x14ac:dyDescent="0.3">
      <c r="A15" s="23">
        <v>3</v>
      </c>
      <c r="B15" s="24" t="s">
        <v>1</v>
      </c>
      <c r="C15" s="25">
        <f>INDEX(Analysis!$G$7:$G$23,MATCH($B15,Analysis!$A$7:$A$23,0))</f>
        <v>5.6999999999999995E-2</v>
      </c>
      <c r="D15" s="25">
        <v>0</v>
      </c>
      <c r="E15" s="25">
        <v>0</v>
      </c>
      <c r="F15" s="58">
        <f t="shared" si="0"/>
        <v>0</v>
      </c>
      <c r="G15" s="25">
        <f t="shared" ref="G15:G29" si="5">C15+F15</f>
        <v>5.6999999999999995E-2</v>
      </c>
      <c r="H15" s="25">
        <f>INDEX(Analysis!$L$7:$L$23,MATCH($B15,Analysis!$A$7:$A$23,0))</f>
        <v>5.6999999999999995E-2</v>
      </c>
      <c r="I15" s="26">
        <f t="shared" ref="I15:I30" si="6">MIN(G15,H15)</f>
        <v>5.6999999999999995E-2</v>
      </c>
      <c r="J15" s="27">
        <v>1</v>
      </c>
      <c r="K15" s="25">
        <f t="shared" si="3"/>
        <v>5.6999999999999995E-2</v>
      </c>
      <c r="L15" s="25">
        <f t="shared" si="4"/>
        <v>0</v>
      </c>
    </row>
    <row r="16" spans="1:12" x14ac:dyDescent="0.3">
      <c r="A16" s="23">
        <v>4</v>
      </c>
      <c r="B16" s="24" t="s">
        <v>2</v>
      </c>
      <c r="C16" s="25">
        <f>INDEX(Analysis!$G$7:$G$23,MATCH($B16,Analysis!$A$7:$A$23,0))</f>
        <v>0</v>
      </c>
      <c r="D16" s="25">
        <v>0</v>
      </c>
      <c r="E16" s="25">
        <v>0</v>
      </c>
      <c r="F16" s="58">
        <f t="shared" si="0"/>
        <v>0</v>
      </c>
      <c r="G16" s="25">
        <f t="shared" si="5"/>
        <v>0</v>
      </c>
      <c r="H16" s="25">
        <f>INDEX(Analysis!$L$7:$L$23,MATCH($B16,Analysis!$A$7:$A$23,0))</f>
        <v>0</v>
      </c>
      <c r="I16" s="26">
        <f t="shared" si="6"/>
        <v>0</v>
      </c>
      <c r="J16" s="27">
        <v>0</v>
      </c>
      <c r="K16" s="25">
        <f t="shared" si="3"/>
        <v>0</v>
      </c>
      <c r="L16" s="25">
        <f t="shared" si="4"/>
        <v>0</v>
      </c>
    </row>
    <row r="17" spans="1:12" x14ac:dyDescent="0.3">
      <c r="A17" s="23">
        <v>5</v>
      </c>
      <c r="B17" s="24" t="s">
        <v>3</v>
      </c>
      <c r="C17" s="25">
        <f>INDEX(Analysis!$G$7:$G$23,MATCH($B17,Analysis!$A$7:$A$23,0))</f>
        <v>0</v>
      </c>
      <c r="D17" s="25">
        <v>0</v>
      </c>
      <c r="E17" s="25">
        <v>0</v>
      </c>
      <c r="F17" s="58">
        <f t="shared" si="0"/>
        <v>0</v>
      </c>
      <c r="G17" s="25">
        <f t="shared" si="5"/>
        <v>0</v>
      </c>
      <c r="H17" s="25">
        <f>INDEX(Analysis!$L$7:$L$23,MATCH($B17,Analysis!$A$7:$A$23,0))</f>
        <v>0</v>
      </c>
      <c r="I17" s="26">
        <f t="shared" si="6"/>
        <v>0</v>
      </c>
      <c r="J17" s="27">
        <v>0</v>
      </c>
      <c r="K17" s="25">
        <f t="shared" si="3"/>
        <v>0</v>
      </c>
      <c r="L17" s="25">
        <f t="shared" si="4"/>
        <v>0</v>
      </c>
    </row>
    <row r="18" spans="1:12" x14ac:dyDescent="0.3">
      <c r="A18" s="23">
        <v>6</v>
      </c>
      <c r="B18" s="24" t="s">
        <v>114</v>
      </c>
      <c r="C18" s="25">
        <f>INDEX(Analysis!$G$7:$G$23,MATCH($B18,Analysis!$A$7:$A$23,0))</f>
        <v>15.173000000000002</v>
      </c>
      <c r="D18" s="25">
        <v>0</v>
      </c>
      <c r="E18" s="25">
        <v>0</v>
      </c>
      <c r="F18" s="58">
        <f t="shared" si="0"/>
        <v>0</v>
      </c>
      <c r="G18" s="25">
        <f t="shared" ref="G18" si="7">C18+F18</f>
        <v>15.173000000000002</v>
      </c>
      <c r="H18" s="25">
        <f>INDEX(Analysis!$L$7:$L$23,MATCH($B18,Analysis!$A$7:$A$23,0))</f>
        <v>15.173000000000002</v>
      </c>
      <c r="I18" s="26">
        <f t="shared" ref="I18" si="8">MIN(G18,H18)</f>
        <v>15.173000000000002</v>
      </c>
      <c r="J18" s="27">
        <v>1</v>
      </c>
      <c r="K18" s="25">
        <f t="shared" si="3"/>
        <v>15.173000000000002</v>
      </c>
      <c r="L18" s="25">
        <f t="shared" si="4"/>
        <v>0</v>
      </c>
    </row>
    <row r="19" spans="1:12" x14ac:dyDescent="0.3">
      <c r="A19" s="23">
        <v>7</v>
      </c>
      <c r="B19" s="24" t="s">
        <v>5</v>
      </c>
      <c r="C19" s="25">
        <f>INDEX(Analysis!$G$7:$G$23,MATCH($B19,Analysis!$A$7:$A$23,0))</f>
        <v>0</v>
      </c>
      <c r="D19" s="25">
        <v>0</v>
      </c>
      <c r="E19" s="25">
        <v>0</v>
      </c>
      <c r="F19" s="58">
        <f t="shared" si="0"/>
        <v>0</v>
      </c>
      <c r="G19" s="25">
        <f t="shared" si="5"/>
        <v>0</v>
      </c>
      <c r="H19" s="25">
        <f>INDEX(Analysis!$L$7:$L$23,MATCH($B19,Analysis!$A$7:$A$23,0))</f>
        <v>0</v>
      </c>
      <c r="I19" s="26">
        <f t="shared" si="6"/>
        <v>0</v>
      </c>
      <c r="J19" s="27">
        <v>0</v>
      </c>
      <c r="K19" s="25">
        <f t="shared" si="3"/>
        <v>0</v>
      </c>
      <c r="L19" s="25">
        <f t="shared" si="4"/>
        <v>0</v>
      </c>
    </row>
    <row r="20" spans="1:12" x14ac:dyDescent="0.3">
      <c r="A20" s="23">
        <v>8</v>
      </c>
      <c r="B20" s="24" t="s">
        <v>6</v>
      </c>
      <c r="C20" s="25">
        <f>INDEX(Analysis!$G$7:$G$23,MATCH($B20,Analysis!$A$7:$A$23,0))</f>
        <v>0</v>
      </c>
      <c r="D20" s="25">
        <v>0</v>
      </c>
      <c r="E20" s="25">
        <v>0</v>
      </c>
      <c r="F20" s="58">
        <f t="shared" si="0"/>
        <v>0</v>
      </c>
      <c r="G20" s="25">
        <f t="shared" si="5"/>
        <v>0</v>
      </c>
      <c r="H20" s="25">
        <f>INDEX(Analysis!$L$7:$L$23,MATCH($B20,Analysis!$A$7:$A$23,0))</f>
        <v>0</v>
      </c>
      <c r="I20" s="26">
        <f t="shared" si="6"/>
        <v>0</v>
      </c>
      <c r="J20" s="27">
        <v>0</v>
      </c>
      <c r="K20" s="25">
        <f t="shared" si="3"/>
        <v>0</v>
      </c>
      <c r="L20" s="25">
        <f t="shared" si="4"/>
        <v>0</v>
      </c>
    </row>
    <row r="21" spans="1:12" x14ac:dyDescent="0.3">
      <c r="A21" s="23">
        <v>9</v>
      </c>
      <c r="B21" s="24" t="s">
        <v>7</v>
      </c>
      <c r="C21" s="25">
        <f>INDEX(Analysis!$G$7:$G$23,MATCH($B21,Analysis!$A$7:$A$23,0))</f>
        <v>2.2159999999999997</v>
      </c>
      <c r="D21" s="25">
        <v>0</v>
      </c>
      <c r="E21" s="25">
        <v>0</v>
      </c>
      <c r="F21" s="58">
        <f t="shared" si="0"/>
        <v>0</v>
      </c>
      <c r="G21" s="25">
        <f t="shared" si="5"/>
        <v>2.2159999999999997</v>
      </c>
      <c r="H21" s="25">
        <f>INDEX(Analysis!$L$7:$L$23,MATCH($B21,Analysis!$A$7:$A$23,0))</f>
        <v>2.2159999999999997</v>
      </c>
      <c r="I21" s="26">
        <f>MIN(G21,H21)</f>
        <v>2.2159999999999997</v>
      </c>
      <c r="J21" s="27">
        <v>1</v>
      </c>
      <c r="K21" s="25">
        <f t="shared" si="3"/>
        <v>2.2159999999999997</v>
      </c>
      <c r="L21" s="25">
        <f t="shared" si="4"/>
        <v>0</v>
      </c>
    </row>
    <row r="22" spans="1:12" x14ac:dyDescent="0.3">
      <c r="A22" s="23">
        <v>10</v>
      </c>
      <c r="B22" s="24" t="s">
        <v>8</v>
      </c>
      <c r="C22" s="25">
        <f>INDEX(Analysis!$G$7:$G$23,MATCH($B22,Analysis!$A$7:$A$23,0))</f>
        <v>0</v>
      </c>
      <c r="D22" s="25">
        <v>0</v>
      </c>
      <c r="E22" s="25">
        <v>0</v>
      </c>
      <c r="F22" s="58">
        <f t="shared" si="0"/>
        <v>0</v>
      </c>
      <c r="G22" s="25">
        <f t="shared" si="5"/>
        <v>0</v>
      </c>
      <c r="H22" s="25">
        <f>INDEX(Analysis!$L$7:$L$23,MATCH($B22,Analysis!$A$7:$A$23,0))</f>
        <v>0</v>
      </c>
      <c r="I22" s="26">
        <f t="shared" si="6"/>
        <v>0</v>
      </c>
      <c r="J22" s="27">
        <v>0</v>
      </c>
      <c r="K22" s="25">
        <f t="shared" si="3"/>
        <v>0</v>
      </c>
      <c r="L22" s="25">
        <f t="shared" si="4"/>
        <v>0</v>
      </c>
    </row>
    <row r="23" spans="1:12" x14ac:dyDescent="0.3">
      <c r="A23" s="23">
        <v>11</v>
      </c>
      <c r="B23" s="24" t="s">
        <v>9</v>
      </c>
      <c r="C23" s="25">
        <f>INDEX(Analysis!$G$7:$G$23,MATCH($B23,Analysis!$A$7:$A$23,0))</f>
        <v>0</v>
      </c>
      <c r="D23" s="25">
        <v>0</v>
      </c>
      <c r="E23" s="25">
        <v>0</v>
      </c>
      <c r="F23" s="58">
        <f t="shared" si="0"/>
        <v>0</v>
      </c>
      <c r="G23" s="25">
        <f t="shared" si="5"/>
        <v>0</v>
      </c>
      <c r="H23" s="25">
        <f>INDEX(Analysis!$L$7:$L$23,MATCH($B23,Analysis!$A$7:$A$23,0))</f>
        <v>0</v>
      </c>
      <c r="I23" s="26">
        <f t="shared" si="6"/>
        <v>0</v>
      </c>
      <c r="J23" s="27">
        <v>0</v>
      </c>
      <c r="K23" s="25">
        <f t="shared" si="3"/>
        <v>0</v>
      </c>
      <c r="L23" s="25">
        <f t="shared" si="4"/>
        <v>0</v>
      </c>
    </row>
    <row r="24" spans="1:12" x14ac:dyDescent="0.3">
      <c r="A24" s="23">
        <v>12</v>
      </c>
      <c r="B24" s="24" t="s">
        <v>10</v>
      </c>
      <c r="C24" s="25">
        <f>INDEX(Analysis!$G$7:$G$23,MATCH($B24,Analysis!$A$7:$A$23,0))</f>
        <v>0.5</v>
      </c>
      <c r="D24" s="25">
        <v>0</v>
      </c>
      <c r="E24" s="25">
        <v>0</v>
      </c>
      <c r="F24" s="58">
        <f t="shared" si="0"/>
        <v>0</v>
      </c>
      <c r="G24" s="25">
        <f t="shared" si="5"/>
        <v>0.5</v>
      </c>
      <c r="H24" s="25">
        <f>INDEX(Analysis!$L$7:$L$23,MATCH($B24,Analysis!$A$7:$A$23,0))</f>
        <v>0.5</v>
      </c>
      <c r="I24" s="26">
        <f t="shared" si="6"/>
        <v>0.5</v>
      </c>
      <c r="J24" s="27">
        <v>1</v>
      </c>
      <c r="K24" s="25">
        <f t="shared" si="3"/>
        <v>0.5</v>
      </c>
      <c r="L24" s="25">
        <f t="shared" si="4"/>
        <v>0</v>
      </c>
    </row>
    <row r="25" spans="1:12" x14ac:dyDescent="0.3">
      <c r="A25" s="23">
        <v>13</v>
      </c>
      <c r="B25" s="24" t="s">
        <v>11</v>
      </c>
      <c r="C25" s="25">
        <f>INDEX(Analysis!$G$7:$G$23,MATCH($B25,Analysis!$A$7:$A$23,0))</f>
        <v>0.23499999999999999</v>
      </c>
      <c r="D25" s="25">
        <v>0</v>
      </c>
      <c r="E25" s="25">
        <v>0</v>
      </c>
      <c r="F25" s="58">
        <f t="shared" si="0"/>
        <v>0</v>
      </c>
      <c r="G25" s="25">
        <f t="shared" si="5"/>
        <v>0.23499999999999999</v>
      </c>
      <c r="H25" s="25">
        <f>INDEX(Analysis!$L$7:$L$23,MATCH($B25,Analysis!$A$7:$A$23,0))</f>
        <v>0.23499999999999999</v>
      </c>
      <c r="I25" s="26">
        <f t="shared" si="6"/>
        <v>0.23499999999999999</v>
      </c>
      <c r="J25" s="27">
        <v>1</v>
      </c>
      <c r="K25" s="25">
        <f t="shared" si="3"/>
        <v>0.23499999999999999</v>
      </c>
      <c r="L25" s="25">
        <f t="shared" si="4"/>
        <v>0</v>
      </c>
    </row>
    <row r="26" spans="1:12" x14ac:dyDescent="0.3">
      <c r="A26" s="23">
        <v>14</v>
      </c>
      <c r="B26" s="24" t="s">
        <v>13</v>
      </c>
      <c r="C26" s="25">
        <f>INDEX(Analysis!$G$7:$G$23,MATCH($B26,Analysis!$A$7:$A$23,0))</f>
        <v>0</v>
      </c>
      <c r="D26" s="25">
        <v>0</v>
      </c>
      <c r="E26" s="25">
        <v>0</v>
      </c>
      <c r="F26" s="58">
        <f t="shared" si="0"/>
        <v>0</v>
      </c>
      <c r="G26" s="25">
        <f t="shared" si="5"/>
        <v>0</v>
      </c>
      <c r="H26" s="25">
        <f>INDEX(Analysis!$L$7:$L$23,MATCH($B26,Analysis!$A$7:$A$23,0))</f>
        <v>0</v>
      </c>
      <c r="I26" s="26">
        <f t="shared" si="6"/>
        <v>0</v>
      </c>
      <c r="J26" s="27">
        <v>0</v>
      </c>
      <c r="K26" s="25">
        <f t="shared" si="3"/>
        <v>0</v>
      </c>
      <c r="L26" s="25">
        <f t="shared" si="4"/>
        <v>0</v>
      </c>
    </row>
    <row r="27" spans="1:12" x14ac:dyDescent="0.3">
      <c r="A27" s="23">
        <v>15</v>
      </c>
      <c r="B27" s="24" t="s">
        <v>14</v>
      </c>
      <c r="C27" s="25">
        <f>INDEX(Analysis!$G$7:$G$23,MATCH($B27,Analysis!$A$7:$A$23,0))</f>
        <v>0</v>
      </c>
      <c r="D27" s="25">
        <v>0</v>
      </c>
      <c r="E27" s="25">
        <v>0</v>
      </c>
      <c r="F27" s="58">
        <f t="shared" si="0"/>
        <v>0</v>
      </c>
      <c r="G27" s="25">
        <f t="shared" si="5"/>
        <v>0</v>
      </c>
      <c r="H27" s="25">
        <f>INDEX(Analysis!$L$7:$L$23,MATCH($B27,Analysis!$A$7:$A$23,0))</f>
        <v>0</v>
      </c>
      <c r="I27" s="26">
        <f t="shared" si="6"/>
        <v>0</v>
      </c>
      <c r="J27" s="27">
        <v>0</v>
      </c>
      <c r="K27" s="25">
        <f t="shared" si="3"/>
        <v>0</v>
      </c>
      <c r="L27" s="25">
        <f t="shared" si="4"/>
        <v>0</v>
      </c>
    </row>
    <row r="28" spans="1:12" x14ac:dyDescent="0.3">
      <c r="A28" s="23">
        <v>16</v>
      </c>
      <c r="B28" s="24" t="s">
        <v>15</v>
      </c>
      <c r="C28" s="25">
        <f>INDEX(Analysis!$G$7:$G$23,MATCH($B28,Analysis!$A$7:$A$23,0))</f>
        <v>1.7202065317868982</v>
      </c>
      <c r="D28" s="25">
        <v>0</v>
      </c>
      <c r="E28" s="25">
        <v>0</v>
      </c>
      <c r="F28" s="58">
        <f t="shared" si="0"/>
        <v>0</v>
      </c>
      <c r="G28" s="25">
        <f t="shared" si="5"/>
        <v>1.7202065317868982</v>
      </c>
      <c r="H28" s="25">
        <f>INDEX(Analysis!$L$7:$L$23,MATCH($B28,Analysis!$A$7:$A$23,0))</f>
        <v>1.7202065317868982</v>
      </c>
      <c r="I28" s="26">
        <f t="shared" si="6"/>
        <v>1.7202065317868982</v>
      </c>
      <c r="J28" s="27">
        <v>0.97031968532150414</v>
      </c>
      <c r="K28" s="25">
        <f t="shared" si="3"/>
        <v>1.669150260611459</v>
      </c>
      <c r="L28" s="25">
        <f t="shared" si="4"/>
        <v>5.1056271175439122E-2</v>
      </c>
    </row>
    <row r="29" spans="1:12" x14ac:dyDescent="0.3">
      <c r="A29" s="23">
        <v>17</v>
      </c>
      <c r="B29" s="24" t="s">
        <v>16</v>
      </c>
      <c r="C29" s="25">
        <f>INDEX(Analysis!$G$7:$G$23,MATCH($B29,Analysis!$A$7:$A$23,0))</f>
        <v>0</v>
      </c>
      <c r="D29" s="25">
        <v>0</v>
      </c>
      <c r="E29" s="25">
        <v>0</v>
      </c>
      <c r="F29" s="58">
        <f t="shared" si="0"/>
        <v>0</v>
      </c>
      <c r="G29" s="25">
        <f t="shared" si="5"/>
        <v>0</v>
      </c>
      <c r="H29" s="25">
        <f>INDEX(Analysis!$L$7:$L$23,MATCH($B29,Analysis!$A$7:$A$23,0))</f>
        <v>0</v>
      </c>
      <c r="I29" s="26">
        <f t="shared" si="6"/>
        <v>0</v>
      </c>
      <c r="J29" s="27">
        <v>0</v>
      </c>
      <c r="K29" s="25">
        <f t="shared" si="3"/>
        <v>0</v>
      </c>
      <c r="L29" s="25">
        <f t="shared" si="4"/>
        <v>0</v>
      </c>
    </row>
    <row r="30" spans="1:12" x14ac:dyDescent="0.3">
      <c r="B30" s="28" t="s">
        <v>122</v>
      </c>
      <c r="C30" s="29">
        <f t="shared" ref="C30:H30" si="9">SUM(C13:C29)</f>
        <v>19.901206531786897</v>
      </c>
      <c r="D30" s="29">
        <f t="shared" si="9"/>
        <v>0</v>
      </c>
      <c r="E30" s="29">
        <f t="shared" si="9"/>
        <v>0</v>
      </c>
      <c r="F30" s="29">
        <f t="shared" si="9"/>
        <v>0</v>
      </c>
      <c r="G30" s="29">
        <f t="shared" si="9"/>
        <v>19.901206531786897</v>
      </c>
      <c r="H30" s="29">
        <f t="shared" si="9"/>
        <v>19.901206531786897</v>
      </c>
      <c r="I30" s="30">
        <f t="shared" si="6"/>
        <v>19.901206531786897</v>
      </c>
      <c r="J30" s="29">
        <f>SUM(J13:J29)</f>
        <v>5.9703196853215044</v>
      </c>
      <c r="K30" s="29">
        <f>SUM(K13:K29)</f>
        <v>19.850150260611461</v>
      </c>
      <c r="L30" s="29">
        <f>SUM(L13:L29)</f>
        <v>5.1056271175439122E-2</v>
      </c>
    </row>
  </sheetData>
  <conditionalFormatting sqref="F13:F29">
    <cfRule type="cellIs" dxfId="1" priority="1" operator="lessThan">
      <formula>0</formula>
    </cfRule>
    <cfRule type="cellIs" dxfId="0" priority="2" operator="greaterThan">
      <formula>0</formula>
    </cfRule>
  </conditionalFormatting>
  <dataValidations count="1">
    <dataValidation type="list" allowBlank="1" showInputMessage="1" showErrorMessage="1" sqref="C7">
      <formula1>"Wholesale water, Wholesale wastewater"</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Cover</vt:lpstr>
      <vt:lpstr>Data</vt:lpstr>
      <vt:lpstr>Analysis</vt:lpstr>
      <vt:lpstr>Allowance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2019-01-24T11:16:26Z</dcterms:created>
  <dcterms:modified xsi:type="dcterms:W3CDTF">2019-01-25T15:25:58Z</dcterms:modified>
  <cp:category/>
  <cp:contentStatus/>
</cp:coreProperties>
</file>