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9660" windowHeight="8340" tabRatio="793"/>
  </bookViews>
  <sheets>
    <sheet name="Cover" sheetId="22" r:id="rId1"/>
    <sheet name="Data" sheetId="41" r:id="rId2"/>
    <sheet name="Analysis" sheetId="87" r:id="rId3"/>
    <sheet name="Deep dive_AFW" sheetId="79" r:id="rId4"/>
    <sheet name="Deep dive_SEW" sheetId="72" r:id="rId5"/>
    <sheet name="Deep dive_WSX" sheetId="78" r:id="rId6"/>
    <sheet name="Allowance" sheetId="8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hidden="1">{"NET",#N/A,FALSE,"401C11"}</definedName>
    <definedName name="_1_0__123Grap" hidden="1">'[3]#REF'!#REF!</definedName>
    <definedName name="_1_123Grap" hidden="1">'[4]#REF'!#REF!</definedName>
    <definedName name="_123Graph_F" hidden="1">'[5]Chelmsford '!$G$18:$G$28</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hidden="1">'[2]#REF'!#REF!</definedName>
    <definedName name="_Key2" hidden="1">#REF!</definedName>
    <definedName name="_net1" hidden="1">{"NET",#N/A,FALSE,"401C11"}</definedName>
    <definedName name="_Order1" hidden="1">255</definedName>
    <definedName name="_Order2" hidden="1">255</definedName>
    <definedName name="_Sort" hidden="1">#REF!</definedName>
    <definedName name="a" hidden="1">{"CHARGE",#N/A,FALSE,"401C11"}</definedName>
    <definedName name="aa" hidden="1">{"CHARGE",#N/A,FALSE,"401C11"}</definedName>
    <definedName name="aaa" hidden="1">{"CHARGE",#N/A,FALSE,"401C11"}</definedName>
    <definedName name="aaaa" hidden="1">{"CHARGE",#N/A,FALSE,"401C11"}</definedName>
    <definedName name="abc" hidden="1">{"NET",#N/A,FALSE,"401C11"}</definedName>
    <definedName name="adbr" hidden="1">{"CHARGE",#N/A,FALSE,"401C11"}</definedName>
    <definedName name="amp.totex">'[6]Exp''ture &amp; materiality'!$AE$182:$AE$200</definedName>
    <definedName name="amp.totex.compnames">'[6]Exp''ture &amp; materiality'!$A$182:$A$200</definedName>
    <definedName name="AVON">#REF!</definedName>
    <definedName name="b" hidden="1">{"CHARGE",#N/A,FALSE,"401C11"}</definedName>
    <definedName name="BEDS">#REF!</definedName>
    <definedName name="BERKS">#REF!</definedName>
    <definedName name="BMGHIndex" hidden="1">"O"</definedName>
    <definedName name="BUCKS">#REF!</definedName>
    <definedName name="CAMBS">#REF!</definedName>
    <definedName name="change1" hidden="1">{"CHARGE",#N/A,FALSE,"401C11"}</definedName>
    <definedName name="charge" hidden="1">{"CHARGE",#N/A,FALSE,"401C11"}</definedName>
    <definedName name="CHESHIRE">#REF!</definedName>
    <definedName name="CHK_TOL">[7]InpActive!$F$1891</definedName>
    <definedName name="CHK_TOL_TAX">[7]InpActive!$F$1893</definedName>
    <definedName name="CLEVELAND">#REF!</definedName>
    <definedName name="CLWYD">#REF!</definedName>
    <definedName name="Codes">#REF!</definedName>
    <definedName name="CORNWALL">#REF!</definedName>
    <definedName name="CUMBRIA">#REF!</definedName>
    <definedName name="da" hidden="1">#REF!</definedName>
    <definedName name="_xlnm.Database">#REF!</definedName>
    <definedName name="DERBYSHIRE">#REF!</definedName>
    <definedName name="DEVON">#REF!</definedName>
    <definedName name="dnonames">#REF!</definedName>
    <definedName name="dog" hidden="1">{"NET",#N/A,FALSE,"401C11"}</definedName>
    <definedName name="DORSET">#REF!</definedName>
    <definedName name="DURHAM">#REF!</definedName>
    <definedName name="DYFED">#REF!</definedName>
    <definedName name="E_SUSSEX">#REF!</definedName>
    <definedName name="eff_update">#REF!</definedName>
    <definedName name="el3.bp.capex">'[6]Exp''ture &amp; materiality'!$AG$66:$AG$84</definedName>
    <definedName name="el3.compnames">'[6]Exp''ture &amp; materiality'!$A$66:$A$84</definedName>
    <definedName name="ESSEX">#REF!</definedName>
    <definedName name="EV__LASTREFTIME__" hidden="1">40339.4799074074</definedName>
    <definedName name="Expired" hidden="1">FALSE</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fe">#REF!</definedName>
    <definedName name="Foutput" hidden="1">#REF!</definedName>
    <definedName name="fsdfffd" hidden="1">#REF!</definedName>
    <definedName name="fsdfsd" hidden="1">#REF!</definedName>
    <definedName name="fsfds" hidden="1">#REF!</definedName>
    <definedName name="fsfsd" hidden="1">#REF!</definedName>
    <definedName name="General">#REF!</definedName>
    <definedName name="General1">#REF!</definedName>
    <definedName name="General2">#REF!</definedName>
    <definedName name="GEOG9703">#REF!</definedName>
    <definedName name="gfff" hidden="1">{"CHARGE",#N/A,FALSE,"401C11"}</definedName>
    <definedName name="GLOS">#REF!</definedName>
    <definedName name="gross" hidden="1">{"GROSS",#N/A,FALSE,"401C11"}</definedName>
    <definedName name="gross1" hidden="1">{"GROSS",#N/A,FALSE,"401C11"}</definedName>
    <definedName name="GTR_MAN">#REF!</definedName>
    <definedName name="GWENT">#REF!</definedName>
    <definedName name="GWYNEDD">#REF!</definedName>
    <definedName name="HANTS">#REF!</definedName>
    <definedName name="hasdfjklhklj" hidden="1">{"NET",#N/A,FALSE,"401C11"}</definedName>
    <definedName name="help" hidden="1">{"CHARGE",#N/A,FALSE,"401C11"}</definedName>
    <definedName name="HEREFORD_W">#REF!</definedName>
    <definedName name="HERTS">#REF!</definedName>
    <definedName name="hghghhj" hidden="1">{"CHARGE",#N/A,FALSE,"401C11"}</definedName>
    <definedName name="HRG_Codes">#REF!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CD_Codes">#REF!</definedName>
    <definedName name="interpretation">'[8]Catch up efficiency'!$I$7:$I$13</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ELL" hidden="1">#REF!</definedName>
    <definedName name="KENT">#REF!</definedName>
    <definedName name="LANCS">#REF!</definedName>
    <definedName name="LEICS">#REF!</definedName>
    <definedName name="LINCS">#REF!</definedName>
    <definedName name="LONDON">#REF!</definedName>
    <definedName name="lst_acronyms">[9]F_Inputs_Clean!$C$7:$C$348</definedName>
    <definedName name="lst_all_companies">[9]Other_Inputs!$D$21:$U$21</definedName>
    <definedName name="lst_menus">'[9]Menu design'!$D$10:$I$10</definedName>
    <definedName name="lst_reference">[9]F_Inputs_Clean!$D$7:$D$348</definedName>
    <definedName name="lst_scenarios">[9]Scenarios!$E$3:$J$3</definedName>
    <definedName name="M_GLAM" localSheetId="4">#REF!</definedName>
    <definedName name="M_GLAM">#REF!</definedName>
    <definedName name="MERSEYSIDE">#REF!</definedName>
    <definedName name="MFF_2014_15">#REF!</definedName>
    <definedName name="N_YORKS">#REF!</definedName>
    <definedName name="New" hidden="1">#REF!</definedName>
    <definedName name="NORFOLK">#REF!</definedName>
    <definedName name="NORTHANTS">#REF!</definedName>
    <definedName name="NORTHUMBERLAND">#REF!</definedName>
    <definedName name="NOTTS">#REF!</definedName>
    <definedName name="ODS_Care_Trust_List">#REF!</definedName>
    <definedName name="ODS_List">#REF!</definedName>
    <definedName name="OISIII" hidden="1">#REF!</definedName>
    <definedName name="OPCS_Codes">#REF!</definedName>
    <definedName name="opt_actuals">'[9]Control Panel'!$H$22</definedName>
    <definedName name="opt_actuals_percentage">'[9]Control Panel'!$H$26</definedName>
    <definedName name="opt_baseline_bid_threshold">'[9]Control Panel'!$H$18</definedName>
    <definedName name="opt_baseline_cap">'[9]Control Panel'!$H$20</definedName>
    <definedName name="opt_bids">'[9]Control Panel'!$H$13</definedName>
    <definedName name="opt_bids_percentage">'[9]Control Panel'!$H$16</definedName>
    <definedName name="opt_gearing">'[9]Control Panel'!$H$44</definedName>
    <definedName name="opt_tax">'[9]Control Panel'!$H$46</definedName>
    <definedName name="opt_wacc">'[9]Control Panel'!$H$42</definedName>
    <definedName name="OXON" localSheetId="4">#REF!</definedName>
    <definedName name="OXON">#REF!</definedName>
    <definedName name="POWYS">#REF!</definedName>
    <definedName name="qfx" hidden="1">{"NET",#N/A,FALSE,"401C11"}</definedName>
    <definedName name="qwefqefa" hidden="1">#REF!</definedName>
    <definedName name="real" hidden="1">#REF!</definedName>
    <definedName name="rge" localSheetId="4">#REF!</definedName>
    <definedName name="rge">#REF!</definedName>
    <definedName name="rgwe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#REF!</definedName>
    <definedName name="rytry" hidden="1">{"NET",#N/A,FALSE,"401C11"}</definedName>
    <definedName name="S_GLAM">#REF!</definedName>
    <definedName name="S_YORKS">#REF!</definedName>
    <definedName name="SAPBEXrevision" hidden="1">1</definedName>
    <definedName name="SAPBEXsysID" hidden="1">"BWB"</definedName>
    <definedName name="SAPBEXwbID" hidden="1">"49ZLUKBQR0WG29D9LLI3IBIIT"</definedName>
    <definedName name="SHROPS">#REF!</definedName>
    <definedName name="SOMERSET">#REF!</definedName>
    <definedName name="sort" hidden="1">#REF!</definedName>
    <definedName name="STAFFS">#REF!</definedName>
    <definedName name="SUFFOLK">#REF!</definedName>
    <definedName name="SURREY">#REF!</definedName>
    <definedName name="Table3.4" hidden="1">{"CHARGE",#N/A,FALSE,"401C11"}</definedName>
    <definedName name="Test23" hidden="1">{"NET",#N/A,FALSE,"401C11"}</definedName>
    <definedName name="time">'[8]Catch up efficiency'!$C$6:$H$6</definedName>
    <definedName name="trdhtr" hidden="1">#REF!</definedName>
    <definedName name="TRK_TOL">[7]InpActive!$F$1895</definedName>
    <definedName name="TYNE_WEAR">#REF!</definedName>
    <definedName name="W_GLAM">#REF!</definedName>
    <definedName name="W_MIDS">#REF!</definedName>
    <definedName name="W_SUSSEX">#REF!</definedName>
    <definedName name="W_YORKS">#REF!</definedName>
    <definedName name="WARWICKS">#REF!</definedName>
    <definedName name="wdfw">#REF!</definedName>
    <definedName name="wedfw">#REF!</definedName>
    <definedName name="wefw">#REF!</definedName>
    <definedName name="wefwe">#REF!</definedName>
    <definedName name="wefwerf">#REF!</definedName>
    <definedName name="wert" hidden="1">{"GROSS",#N/A,FALSE,"401C11"}</definedName>
    <definedName name="WILTS">#REF!</definedName>
    <definedName name="wombat" hidden="1">#REF!</definedName>
    <definedName name="wotsthis" hidden="1">{"P&amp;L phased",#N/A,FALSE,"P and L";"Interest phased",#N/A,FALSE,"Interest";"Cshf phased",#N/A,FALSE,"Cashflow";"BSheet phased",#N/A,FALSE,"B Sheet";"Capex phased",#N/A,FALSE,"Capex"}</definedName>
    <definedName name="wrn.CHARGE." hidden="1">{"CHARGE",#N/A,FALSE,"401C11"}</definedName>
    <definedName name="wrn.GROSS." hidden="1">{"GROSS",#N/A,FALSE,"401C11"}</definedName>
    <definedName name="wrn.NET." hidden="1">{"NET",#N/A,FALSE,"401C11"}</definedName>
    <definedName name="wrn.papersdraft" hidden="1">{"bal",#N/A,FALSE,"working papers";"income",#N/A,FALSE,"working papers"}</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hidden="1">{"P&amp;L phased",#N/A,FALSE,"P and L";"Interest phased",#N/A,FALSE,"Interest";"Cshf phased",#N/A,FALSE,"Cashflow";"BSheet phased",#N/A,FALSE,"B Sheet";"Capex phased",#N/A,FALSE,"Capex"}</definedName>
    <definedName name="wrn.wpapers." hidden="1">{"bal",#N/A,FALSE,"working papers";"income",#N/A,FALSE,"working papers"}</definedName>
    <definedName name="xxx" hidden="1">{"CHARGE",#N/A,FALSE,"401C11"}</definedName>
    <definedName name="yhnry">#REF!</definedName>
    <definedName name="yyy" hidden="1">{"GROSS",#N/A,FALSE,"401C11"}</definedName>
    <definedName name="zzz" hidden="1">{"NET",#N/A,FALSE,"401C11"}</definedName>
  </definedNames>
  <calcPr calcId="152511" calcOnSave="0"/>
</workbook>
</file>

<file path=xl/calcChain.xml><?xml version="1.0" encoding="utf-8"?>
<calcChain xmlns="http://schemas.openxmlformats.org/spreadsheetml/2006/main">
  <c r="G14" i="83" l="1"/>
  <c r="G16" i="83"/>
  <c r="G17" i="83"/>
  <c r="G25" i="83"/>
  <c r="G26" i="83"/>
  <c r="G28" i="83"/>
  <c r="G29" i="83"/>
  <c r="G21" i="83" l="1"/>
  <c r="G27" i="83"/>
  <c r="G19" i="83"/>
  <c r="G23" i="83"/>
  <c r="G24" i="83"/>
  <c r="G22" i="83"/>
  <c r="G15" i="83"/>
  <c r="G20" i="83"/>
  <c r="G18" i="83"/>
  <c r="G13" i="83"/>
  <c r="D14" i="83" l="1"/>
  <c r="D15" i="83"/>
  <c r="D16" i="83"/>
  <c r="D17" i="83"/>
  <c r="D18" i="83"/>
  <c r="D19" i="83"/>
  <c r="D20" i="83"/>
  <c r="D21" i="83"/>
  <c r="D22" i="83"/>
  <c r="D23" i="83"/>
  <c r="D24" i="83"/>
  <c r="D25" i="83"/>
  <c r="D26" i="83"/>
  <c r="D27" i="83"/>
  <c r="D28" i="83"/>
  <c r="D29" i="83"/>
  <c r="D13" i="83"/>
  <c r="D9" i="87"/>
  <c r="D10" i="87"/>
  <c r="D11" i="87"/>
  <c r="D12" i="87"/>
  <c r="D13" i="87"/>
  <c r="D14" i="87"/>
  <c r="D15" i="87"/>
  <c r="D16" i="87"/>
  <c r="D17" i="87"/>
  <c r="D18" i="87"/>
  <c r="D19" i="87"/>
  <c r="D20" i="87"/>
  <c r="D21" i="87"/>
  <c r="D22" i="87"/>
  <c r="D23" i="87"/>
  <c r="D24" i="87"/>
  <c r="C9" i="87"/>
  <c r="C10" i="87"/>
  <c r="C11" i="87"/>
  <c r="C12" i="87"/>
  <c r="C13" i="87"/>
  <c r="C14" i="87"/>
  <c r="C15" i="87"/>
  <c r="C16" i="87"/>
  <c r="C17" i="87"/>
  <c r="C6" i="78" s="1"/>
  <c r="C18" i="87"/>
  <c r="C19" i="87"/>
  <c r="C6" i="79" s="1"/>
  <c r="C20" i="87"/>
  <c r="C21" i="87"/>
  <c r="C22" i="87"/>
  <c r="C23" i="87"/>
  <c r="C6" i="72" s="1"/>
  <c r="C24" i="87"/>
  <c r="C8" i="87"/>
  <c r="C25" i="87" s="1"/>
  <c r="D8" i="87" l="1"/>
  <c r="D25" i="87" s="1"/>
  <c r="I14" i="83" l="1"/>
  <c r="I15" i="83"/>
  <c r="I17" i="83"/>
  <c r="I19" i="83"/>
  <c r="I20" i="83"/>
  <c r="I21" i="83"/>
  <c r="I23" i="83"/>
  <c r="I26" i="83"/>
  <c r="I27" i="83"/>
  <c r="I29" i="83"/>
  <c r="S8" i="79" l="1"/>
  <c r="N8" i="79" l="1"/>
  <c r="M8" i="79"/>
  <c r="L8" i="79"/>
  <c r="K8" i="79"/>
  <c r="J8" i="79"/>
  <c r="O7" i="79"/>
  <c r="O6" i="79"/>
  <c r="O5" i="79"/>
  <c r="O4" i="79"/>
  <c r="O8" i="79" l="1"/>
  <c r="E30" i="83" l="1"/>
  <c r="K30" i="83" l="1"/>
  <c r="G30" i="83"/>
  <c r="F30" i="83" l="1"/>
  <c r="A81" i="41" l="1"/>
  <c r="A86" i="41" l="1"/>
  <c r="A82" i="41"/>
  <c r="A87" i="41" l="1"/>
  <c r="A83" i="41"/>
  <c r="A88" i="41" l="1"/>
  <c r="A84" i="41"/>
  <c r="A85" i="41"/>
  <c r="A90" i="41" l="1"/>
  <c r="A89" i="41"/>
  <c r="C7" i="79" l="1"/>
  <c r="I24" i="83" s="1"/>
  <c r="E17" i="87" l="1"/>
  <c r="E10" i="87"/>
  <c r="E16" i="87"/>
  <c r="E19" i="87"/>
  <c r="E23" i="87"/>
  <c r="E24" i="87"/>
  <c r="E14" i="87"/>
  <c r="E22" i="87"/>
  <c r="E12" i="87"/>
  <c r="E18" i="87"/>
  <c r="E9" i="87"/>
  <c r="E15" i="87"/>
  <c r="E21" i="87"/>
  <c r="J20" i="87"/>
  <c r="I25" i="83" s="1"/>
  <c r="E20" i="87"/>
  <c r="J13" i="87"/>
  <c r="I18" i="83" s="1"/>
  <c r="E13" i="87"/>
  <c r="J11" i="87"/>
  <c r="I16" i="83" s="1"/>
  <c r="E11" i="87"/>
  <c r="H18" i="83"/>
  <c r="H14" i="83"/>
  <c r="J14" i="83" l="1"/>
  <c r="H23" i="83"/>
  <c r="H22" i="83"/>
  <c r="H15" i="83"/>
  <c r="H24" i="83"/>
  <c r="H17" i="83"/>
  <c r="H26" i="83"/>
  <c r="E25" i="87" l="1"/>
  <c r="E8" i="87"/>
  <c r="J8" i="87"/>
  <c r="I13" i="83" s="1"/>
  <c r="L14" i="83"/>
  <c r="M14" i="83"/>
  <c r="H16" i="83"/>
  <c r="H21" i="83"/>
  <c r="H29" i="83"/>
  <c r="H20" i="83"/>
  <c r="H28" i="83"/>
  <c r="H19" i="83"/>
  <c r="J18" i="83"/>
  <c r="H27" i="83"/>
  <c r="H25" i="83"/>
  <c r="L18" i="83" l="1"/>
  <c r="M18" i="83"/>
  <c r="C7" i="78"/>
  <c r="I22" i="83" s="1"/>
  <c r="C7" i="72" l="1"/>
  <c r="I28" i="83" s="1"/>
  <c r="D30" i="83"/>
  <c r="H13" i="83"/>
  <c r="H30" i="83" s="1"/>
  <c r="I30" i="83" l="1"/>
  <c r="J15" i="83" l="1"/>
  <c r="J24" i="83"/>
  <c r="J26" i="83"/>
  <c r="J17" i="83"/>
  <c r="J23" i="83"/>
  <c r="M17" i="83" l="1"/>
  <c r="L17" i="83"/>
  <c r="M24" i="83"/>
  <c r="L24" i="83"/>
  <c r="L15" i="83"/>
  <c r="M15" i="83"/>
  <c r="L23" i="83"/>
  <c r="M23" i="83"/>
  <c r="M26" i="83"/>
  <c r="L26" i="83"/>
  <c r="J20" i="83"/>
  <c r="J29" i="83"/>
  <c r="J16" i="83"/>
  <c r="J22" i="83"/>
  <c r="J27" i="83"/>
  <c r="J25" i="83"/>
  <c r="J28" i="83"/>
  <c r="J19" i="83"/>
  <c r="J21" i="83"/>
  <c r="L19" i="83" l="1"/>
  <c r="M19" i="83"/>
  <c r="M22" i="83"/>
  <c r="L22" i="83"/>
  <c r="L25" i="83"/>
  <c r="M25" i="83"/>
  <c r="M16" i="83"/>
  <c r="L16" i="83"/>
  <c r="L29" i="83"/>
  <c r="M29" i="83"/>
  <c r="M28" i="83"/>
  <c r="L28" i="83"/>
  <c r="L27" i="83"/>
  <c r="M27" i="83"/>
  <c r="L21" i="83"/>
  <c r="M21" i="83"/>
  <c r="M20" i="83"/>
  <c r="L20" i="83"/>
  <c r="J13" i="83" l="1"/>
  <c r="J30" i="83" l="1"/>
  <c r="M13" i="83"/>
  <c r="M30" i="83" s="1"/>
  <c r="L13" i="83"/>
  <c r="L30" i="83" s="1"/>
</calcChain>
</file>

<file path=xl/sharedStrings.xml><?xml version="1.0" encoding="utf-8"?>
<sst xmlns="http://schemas.openxmlformats.org/spreadsheetml/2006/main" count="456" uniqueCount="202">
  <si>
    <t>ANH</t>
  </si>
  <si>
    <t>NES</t>
  </si>
  <si>
    <t>NWT</t>
  </si>
  <si>
    <t>SRN</t>
  </si>
  <si>
    <t>SWB</t>
  </si>
  <si>
    <t>TMS</t>
  </si>
  <si>
    <t>WSH</t>
  </si>
  <si>
    <t>WSX</t>
  </si>
  <si>
    <t>YKY</t>
  </si>
  <si>
    <t>AFW</t>
  </si>
  <si>
    <t>BRL</t>
  </si>
  <si>
    <t>PRT</t>
  </si>
  <si>
    <t>SES</t>
  </si>
  <si>
    <t>SEW</t>
  </si>
  <si>
    <t>SSC</t>
  </si>
  <si>
    <t>2020-21</t>
  </si>
  <si>
    <t>2021-22</t>
  </si>
  <si>
    <t>2022-23</t>
  </si>
  <si>
    <t>2023-24</t>
  </si>
  <si>
    <t>2024-25</t>
  </si>
  <si>
    <t>Company</t>
  </si>
  <si>
    <t>Assessor's name</t>
  </si>
  <si>
    <t>Control</t>
  </si>
  <si>
    <t>Assessment gates</t>
  </si>
  <si>
    <t>References</t>
  </si>
  <si>
    <t>Need for investment</t>
  </si>
  <si>
    <t>N/A</t>
  </si>
  <si>
    <t>[Insert reference to evidence]</t>
  </si>
  <si>
    <t>Need for adjustment</t>
  </si>
  <si>
    <t>Management control</t>
  </si>
  <si>
    <t>Best option for customers</t>
  </si>
  <si>
    <t>Robustness and efficiency of costs</t>
  </si>
  <si>
    <t>Customer protection</t>
  </si>
  <si>
    <t>Affordability</t>
  </si>
  <si>
    <t>Board assurance</t>
  </si>
  <si>
    <t>WS2008CAW</t>
  </si>
  <si>
    <t>Wholesale water</t>
  </si>
  <si>
    <t>Pass</t>
  </si>
  <si>
    <t>Ofwat view of allowance for AMP7 (£m)</t>
  </si>
  <si>
    <t>Shallow dive</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</si>
  <si>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</si>
  <si>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</si>
  <si>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</si>
  <si>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</si>
  <si>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</si>
  <si>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</si>
  <si>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</si>
  <si>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</si>
  <si>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</si>
  <si>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</si>
  <si>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</si>
  <si>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</si>
  <si>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</si>
  <si>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</si>
  <si>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</si>
  <si>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</si>
  <si>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</si>
  <si>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</si>
  <si>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</si>
  <si>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</si>
  <si>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</si>
  <si>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</si>
  <si>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</si>
  <si>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</si>
  <si>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</si>
  <si>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</si>
  <si>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</si>
  <si>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</si>
  <si>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</si>
  <si>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</si>
  <si>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</si>
  <si>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</si>
  <si>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</si>
  <si>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</si>
  <si>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</si>
  <si>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</si>
  <si>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</si>
  <si>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</si>
  <si>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</si>
  <si>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</si>
  <si>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</si>
  <si>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</si>
  <si>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</si>
  <si>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</si>
  <si>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</si>
  <si>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AFW21</t>
  </si>
  <si>
    <t>AFW22</t>
  </si>
  <si>
    <t>AFW23</t>
  </si>
  <si>
    <t>AFW24</t>
  </si>
  <si>
    <t>AFW25</t>
  </si>
  <si>
    <t>BRL21</t>
  </si>
  <si>
    <t>BRL22</t>
  </si>
  <si>
    <t>BRL23</t>
  </si>
  <si>
    <t>BRL24</t>
  </si>
  <si>
    <t>BRL25</t>
  </si>
  <si>
    <t>PRT21</t>
  </si>
  <si>
    <t>PRT22</t>
  </si>
  <si>
    <t>PRT23</t>
  </si>
  <si>
    <t>PRT24</t>
  </si>
  <si>
    <t>PRT25</t>
  </si>
  <si>
    <t>SES21</t>
  </si>
  <si>
    <t>SES22</t>
  </si>
  <si>
    <t>SES23</t>
  </si>
  <si>
    <t>SES24</t>
  </si>
  <si>
    <t>SES25</t>
  </si>
  <si>
    <t>SEW21</t>
  </si>
  <si>
    <t>SEW22</t>
  </si>
  <si>
    <t>SEW23</t>
  </si>
  <si>
    <t>SEW24</t>
  </si>
  <si>
    <t>SEW25</t>
  </si>
  <si>
    <t>SSC21</t>
  </si>
  <si>
    <t>SSC22</t>
  </si>
  <si>
    <t>SSC23</t>
  </si>
  <si>
    <t>SSC24</t>
  </si>
  <si>
    <t>SSC25</t>
  </si>
  <si>
    <t>SVE</t>
  </si>
  <si>
    <t>HDD</t>
  </si>
  <si>
    <t>Partial pass</t>
  </si>
  <si>
    <t>Capex carried through deep dive AMP7  (£m)</t>
  </si>
  <si>
    <t>realW3026TECAW</t>
  </si>
  <si>
    <t>realWS2008CAW</t>
  </si>
  <si>
    <t>£m, Enhancement capex water - WINEP / NEP ~ Investigations</t>
  </si>
  <si>
    <t>Cover sheet</t>
  </si>
  <si>
    <t>Data</t>
  </si>
  <si>
    <t>Assessment approach</t>
  </si>
  <si>
    <t>Materiality</t>
  </si>
  <si>
    <t xml:space="preserve">Allowed costs </t>
  </si>
  <si>
    <t>Peer review (initials, date)</t>
  </si>
  <si>
    <t>BoN code</t>
  </si>
  <si>
    <t>Enhancement line</t>
  </si>
  <si>
    <t>Cost allowance for AMP7 (£m)</t>
  </si>
  <si>
    <t>Capex allowed - network plus</t>
  </si>
  <si>
    <t>Total</t>
  </si>
  <si>
    <t>Capex in business plan - wholesale water</t>
  </si>
  <si>
    <t>Capex allowed - wholesale water</t>
  </si>
  <si>
    <t>Proportion of water resources</t>
  </si>
  <si>
    <t>Capex allowed - water resources</t>
  </si>
  <si>
    <t>Capex reallocated out to other lines</t>
  </si>
  <si>
    <t>Capex reallocated in to this line</t>
  </si>
  <si>
    <t>Net Capex reallocated in</t>
  </si>
  <si>
    <t>Water Resources</t>
  </si>
  <si>
    <t>RWD</t>
  </si>
  <si>
    <t>WT</t>
  </si>
  <si>
    <t>TWD</t>
  </si>
  <si>
    <t>05.01 - Protecting and enhancing the environment; p135, Section 5. Improving river flows through sustainable abstraction</t>
  </si>
  <si>
    <t>Generally outside management control, but evidenced WINEP2 example where retained abstraction licence (not used) was revoked to avoid cost of investigation.</t>
  </si>
  <si>
    <t xml:space="preserve">
03.01A - Performance commitment overview, p232</t>
  </si>
  <si>
    <t>03.01 - Performance commitment overview
03.01A - Performance commitment overview, p232</t>
  </si>
  <si>
    <t>Deep dive</t>
  </si>
  <si>
    <t>Appendix 10 Environmental Resilience FINAL CONFIDENTIAL 180831</t>
  </si>
  <si>
    <t xml:space="preserve">05.01 - Protecting and enhancing the environment; p135, Section 5. Improving river flows through sustainable abstraction.
</t>
  </si>
  <si>
    <t>We identified no additional evidence other than the related Water Industry National Environmental Programme PC</t>
  </si>
  <si>
    <t>Appendix 2 Performance commitments and outcome delivery incentives FINAL 180901</t>
  </si>
  <si>
    <t>Catchment management investigations</t>
  </si>
  <si>
    <t>WINEP supply investigations and options appraisals</t>
  </si>
  <si>
    <t>AFW Appendix 6 - Wholesale technical support document</t>
  </si>
  <si>
    <t xml:space="preserve">Company totex efficiency challenge applied only  </t>
  </si>
  <si>
    <t>20% challenge applied due to lack of detail of solution costing and procurement/delivery opportunities for customers, and the company toex efficency challenge applied.</t>
  </si>
  <si>
    <t>AFW PR19 Data Table Commentaries
AFW Appendix 6 - Wholesale technical support document
AFW Business Plan 2020 to 2025</t>
  </si>
  <si>
    <t>AFW Appendix 6 - Wholesale technical support document
AFW Appendix 10 - Ensuring Affordability and Financeability</t>
  </si>
  <si>
    <t>AFW Business Plan 2020 to 2025</t>
  </si>
  <si>
    <t>We have identified related PC's: Environmental innovation - delivery of community projects; River restoration; Abstraction reduction; and Number of sources operating under the Abstraction Incentive mechanism (AIM), that appear to be appropriate and rely on investigations being undertaken in most circumstances to deliver these targets.</t>
  </si>
  <si>
    <t>AFW Appendix 3 - Listening to Customers and Stakeholders
AFW Executive Summary</t>
  </si>
  <si>
    <t>apparent double counting of £0.54m in both tables</t>
  </si>
  <si>
    <t xml:space="preserve">Appendix 6: Wholesale Techincal Support Document, </t>
  </si>
  <si>
    <t>Year</t>
  </si>
  <si>
    <t>Code</t>
  </si>
  <si>
    <t>£m 2017-18 prices</t>
  </si>
  <si>
    <t>WINEP / NEP Investigations - capex</t>
  </si>
  <si>
    <t>Wholesale water totex</t>
  </si>
  <si>
    <t>Materiality of AMP7 investigations costs</t>
  </si>
  <si>
    <t>Investigations costs total</t>
  </si>
  <si>
    <t>Summary</t>
  </si>
  <si>
    <t>Deep dive sheet - Affinity Water</t>
  </si>
  <si>
    <t>Deep dive sheet - South East Water</t>
  </si>
  <si>
    <t>Deep dive sheet - Wessex Water</t>
  </si>
  <si>
    <t>Analysis</t>
  </si>
  <si>
    <t>Shallow dive allowance for AMP7 (£m)</t>
  </si>
  <si>
    <t>Analysis and shallow dive allowance</t>
  </si>
  <si>
    <t>% for inclusion</t>
  </si>
  <si>
    <t>£m for inclusion</t>
  </si>
  <si>
    <t>WINEP Investigations</t>
  </si>
  <si>
    <t>Company efficiency challenge (%)</t>
  </si>
  <si>
    <t>Modelled Allowance</t>
  </si>
  <si>
    <t>Capex after reallocations</t>
  </si>
  <si>
    <t>PM</t>
  </si>
  <si>
    <t>AF 23/01/19</t>
  </si>
  <si>
    <t>19: WINEP/NEP ~ Investigations (WS2 line 19) Appendix 6: Wholesale Technical Support Document, p321</t>
  </si>
  <si>
    <t>Enhancement non-infrastructure (WS1 line 15), Appendix 6: Wholesale Technical Support Document, p314</t>
  </si>
  <si>
    <t>£0.538m of apparent double counting removed, then 20% challenge applied due to lack of detail of solution costing and procurement/delivery opportunities for customers, and the company totex efficiency challenge also applied.</t>
  </si>
  <si>
    <t>References are provided that the Company works in partnership local water companies, regulators and other stakeholders, to produce aligned plans and targeted schemes across common river catchments and groundwater units, p46/57.  A useful regulatory drivers summary table is provided, p58
We have identified the inclusion of the environmental uncertainty mechanism and the unit cost adjustments to expenditure for WINEP3 amber that may not be required, p44.</t>
  </si>
  <si>
    <t>Environmental benefits do not appear to be a strong emerging driver for customers, p37. This is backed up on Table 12, where a potential PC for Number of water bodies improved or protected by catchment management, was not taken forward as not prioritised by customers and withdrawn, p43.
We note that the investigations underpin one of the four high-level outcomes, 'making sure you have enough water, while leaving more water in the environment', p1</t>
  </si>
  <si>
    <t>Investigations are a precursor to delivering improvements for performance commitment E10: Length of river with improved water quality through WINEP delivery. This is noted as a mandatory measure stipulated by Ofwat, with underperformance incentive mechanism only based on unit cost. However all investigation schemes appear GREEN and none AMBER, so should be delivered, therefore the PC provides no real protection to customers, but is a necessary gateway to deliver future improvements.</t>
  </si>
  <si>
    <t>05.01 - Protecting and enhancing the environment; p135, Section 5. Improving river flows through sustainable abstraction
05.01.E - APEM - Investigations - cost assurance
08.02.B - Further commentary on efficient costs
08.11 - Assessing the costs of our enhancement programme</t>
  </si>
  <si>
    <t>This expenditure is understood to be the aggregation of all WINEP investigations across various enhancement lines (catchment and WINEP investigations, such as ecological, INNS, DWPA and sustainable abstractions) as agreed with the EA and identified in WINEP3.
Catchment investigation schemes are noted on p104.
Reference is made to 25 new investigations, with respect to groundwater abstraction impacts on chalk river habitats, identified by the EA p39. Chemical and pesticide investigations are also noted. 
The methodology used is clearly noted, p36 to 43 and investigation schemes identified for the areas of Abstraction; Sustainability reductions; Catchment management; and Water Quality.
Environmental investigations are noted as £6.33m in the main business plan document, p66, 83, 88, the difference between this and the WS2 L19 value of £6.868m is £0.538m, which we assume is the addition of catchment management investigations, however this appears in WS1, Line 15 (capex) also, therefore to avoid double counting we remove these costs.</t>
  </si>
  <si>
    <t>AFW states that is adopts a unit cost model for PR19 which it developed with consultants Mott MacDonald. It is based on historical staff hours and quotes from the current period. However, it is unclear if the use of actual outurn costs is incorporated to validate quote costs.  This has been subject to an internal audit check, but no apparent independent third party assurance. No example workings are provided, p45.
Business case and option selection references that the company 'will seek to develop this further in AMP7', which raises a concern as to the completeness and robustness of the process, p46.
In section 4.11 Supporting documentation, p70, extensive reference to Unit costs PR19 for specific schemes are referenced, though appear not available for review.</t>
  </si>
  <si>
    <t>This expenditure is understood to be the aggregation of all WINEP investigations across various enhancement lines (ecological, INNS, DWPA and sustainable abstractions) as agreed with the EA and identified in WINEP3. The bespoke operating circumstances were noted: area of serious water stress; high reliance on groundwater (from chalk and greensand aquifiers); significant percentage of the company's supply area (44%) has some type of landscape designation. 
The company provides comprehensive evidence in Annex A.7 Summary table of our 2015 to 2020 Restoring Sustaniable Abstraction Programme of the Investigations, Appraisal and Option Delivery that are being undertaken within the existing AMP6 period.
PEST and SWOT analysis have been completed that provide external and internal assessment of strategic issues that have been mapped to SEW environmental resilience outcomes.
Throughout the plan details are provided that identify the location, scheme, stage and deadline, p43. This provides insightful detail.</t>
  </si>
  <si>
    <t>The company describes a revealed step change in customers' and stakeholders' expectations of the environmental role water companies should play. p18
Testimonials are included from stakeholders (Natural England and Ecologists) regarding the involvement and working relationship with the company.
Willingness to pay evidence is presented through consultants work, Accent, that evidences customer support for further wildlife protection and biodiversity enhancement, p42. 
Evidence is provided that previous investigations can be used to inform future costs and how these are used to inform strategy and decision making, p62 and p77.</t>
  </si>
  <si>
    <t>We identify that costs are calculated using existing comparative programme delivery costs, and where not available these have been derived from an external party. The 2020-25 programme is much larger than the 2015-2020 programme, and whilst South East Water applies an additional efficiency challenge of c.6% (£71.34m to £66.98m) across the holistic environmental resilience programme section 5.1.7, p130, it is not apparent what the investigations element is and how the efficiency has been derived.  We expect greater opportunity to procure and delivery cost efficient investigations due to the volume, scope and certainty of work over the period.</t>
  </si>
  <si>
    <t>The information is well laid out and closely follows the Ofwat assessment gates structure.
p135 AMP7 totex value is noted as £5.3m. p165 Table 6-2 Improving natural capital PR19 data tables is £1.5m for WS2 Line 19 WINEP Investigations and aggregates to the sum requested.
There is clear explanation of the process and engagement with EA. WSX to investigate 15 abstractions through 5 investigations with following drivers and clearly noted in Table 5-1, which are associated with implications of abstraction and Common Standards Monitoring Standards;
- WFD_ND_WRFLOW
- WFD_NDINV_WRFlow
- WFD_INV_WRFlow
- SSSI_INV
- HD_INV
Clear and helpful explanation of the generic 5 investigation areas is included. All schemes GREEN.</t>
  </si>
  <si>
    <t>Wessex Water includes the 5 investigation areas here which are referenced above under Need for Investment.
75% of customers rated improving river quality a high priority</t>
  </si>
  <si>
    <t>WSX states that all preceding  water resource investigations were completed and it has used this information to estimate its costs for 2020-25. Routine environmental monitoring is undertaken in-house with specialist services competitively tendered.
APEM consultants have been engaged to provide independent assessment of: likely tasks and resources; if allowances for investigations are realistic; and identify potential alternative approaches. They are working across the industry and give confidence to the process.
WSX states that £30m of flow capacity and monitoring costs have been avoided through prioritising investigations and adopting sound scienifitic approaches before major investment is scheduled.  It is welcomed but is not evidenced in detail.
However, whilst the process and assurance is well evidenced there is no apparent detail of any specific Investigations (scope, options and cost data) provided for scrutiny.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</si>
</sst>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00"/>
    <numFmt numFmtId="166" formatCode="#,##0_);\(#,##0\);&quot;-  &quot;;&quot; &quot;@&quot; &quot;"/>
    <numFmt numFmtId="167" formatCode="0.0%"/>
    <numFmt numFmtId="168" formatCode="_-* #,##0.000_-;\-* #,##0.000_-;_-* &quot;-&quot;??_-;_-@_-"/>
    <numFmt numFmtId="169" formatCode="_-* #,##0.000_-;\-* #,##0.000_-;_-* &quot;-&quot;???_-;_-@_-"/>
    <numFmt numFmtId="170" formatCode="_(* #,##0_);_(* \(#,##0\);_(* &quot;-&quot;??_);_(@_)"/>
    <numFmt numFmtId="171" formatCode="_(* #,##0.0_);_(* \(#,##0.0\);_(* &quot;-&quot;??_);_(@_)"/>
  </numFmts>
  <fonts count="2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i/>
      <sz val="11"/>
      <color rgb="FF7F7F7F"/>
      <name val="Arial"/>
      <family val="2"/>
    </font>
    <font>
      <b/>
      <sz val="10"/>
      <color theme="1"/>
      <name val="Calibri"/>
      <family val="2"/>
      <scheme val="minor"/>
    </font>
    <font>
      <sz val="11"/>
      <color rgb="FF000000"/>
      <name val="Calibri"/>
      <family val="2"/>
      <scheme val="minor"/>
    </font>
    <font>
      <i/>
      <sz val="10"/>
      <color rgb="FF7F7F7F"/>
      <name val="Calibri"/>
      <family val="2"/>
      <scheme val="minor"/>
    </font>
    <font>
      <b/>
      <sz val="10"/>
      <name val="Calibri"/>
      <family val="2"/>
      <scheme val="minor"/>
    </font>
    <font>
      <sz val="14"/>
      <color theme="3"/>
      <name val="Calibri"/>
      <family val="2"/>
      <scheme val="minor"/>
    </font>
    <font>
      <sz val="10"/>
      <color theme="3"/>
      <name val="Calibri"/>
      <family val="2"/>
      <scheme val="minor"/>
    </font>
    <font>
      <sz val="10"/>
      <name val="Calibri"/>
      <family val="2"/>
      <scheme val="minor"/>
    </font>
    <font>
      <b/>
      <i/>
      <sz val="10"/>
      <color theme="1"/>
      <name val="Calibri"/>
      <family val="2"/>
      <scheme val="minor"/>
    </font>
    <font>
      <sz val="12"/>
      <color theme="3"/>
      <name val="Calibri"/>
      <family val="2"/>
      <scheme val="minor"/>
    </font>
    <font>
      <sz val="9"/>
      <name val="Calibri"/>
      <family val="2"/>
      <scheme val="minor"/>
    </font>
  </fonts>
  <fills count="8">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s>
  <cellStyleXfs count="22">
    <xf numFmtId="0" fontId="0" fillId="0" borderId="0"/>
    <xf numFmtId="0" fontId="9" fillId="0" borderId="0"/>
    <xf numFmtId="0" fontId="8" fillId="0" borderId="0"/>
    <xf numFmtId="0" fontId="10" fillId="0" borderId="0"/>
    <xf numFmtId="0" fontId="11" fillId="0" borderId="0"/>
    <xf numFmtId="0" fontId="7" fillId="0" borderId="0"/>
    <xf numFmtId="164" fontId="11" fillId="0" borderId="0" applyFont="0" applyFill="0" applyBorder="0" applyAlignment="0" applyProtection="0"/>
    <xf numFmtId="9" fontId="11" fillId="0" borderId="0" applyFont="0" applyFill="0" applyBorder="0" applyAlignment="0" applyProtection="0"/>
    <xf numFmtId="0" fontId="6" fillId="0" borderId="0"/>
    <xf numFmtId="166" fontId="5" fillId="0" borderId="0" applyFont="0" applyFill="0" applyBorder="0" applyProtection="0">
      <alignment vertical="top"/>
    </xf>
    <xf numFmtId="0" fontId="11" fillId="0" borderId="0"/>
    <xf numFmtId="164" fontId="11" fillId="0" borderId="0" applyFont="0" applyFill="0" applyBorder="0" applyAlignment="0" applyProtection="0"/>
    <xf numFmtId="0" fontId="4" fillId="0" borderId="0"/>
    <xf numFmtId="0" fontId="3" fillId="0" borderId="0"/>
    <xf numFmtId="0" fontId="3" fillId="0" borderId="0"/>
    <xf numFmtId="164" fontId="11" fillId="0" borderId="0" applyFont="0" applyFill="0" applyBorder="0" applyAlignment="0" applyProtection="0"/>
    <xf numFmtId="0" fontId="11" fillId="0" borderId="0"/>
    <xf numFmtId="0" fontId="2" fillId="0" borderId="0"/>
    <xf numFmtId="0" fontId="14" fillId="0" borderId="0" applyNumberForma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12" fillId="3" borderId="0" xfId="10" applyFont="1" applyFill="1" applyAlignment="1">
      <alignment vertical="center"/>
    </xf>
    <xf numFmtId="0" fontId="13" fillId="0" borderId="0" xfId="0" applyFont="1"/>
    <xf numFmtId="0" fontId="13" fillId="0" borderId="1" xfId="0" applyFont="1" applyBorder="1" applyAlignment="1">
      <alignment vertical="center"/>
    </xf>
    <xf numFmtId="0" fontId="13" fillId="0" borderId="0" xfId="0" applyFont="1" applyAlignment="1">
      <alignment wrapText="1"/>
    </xf>
    <xf numFmtId="0" fontId="15" fillId="0" borderId="0" xfId="0" applyFont="1"/>
    <xf numFmtId="0" fontId="15" fillId="2" borderId="1" xfId="0" applyFont="1" applyFill="1" applyBorder="1" applyAlignment="1">
      <alignment horizontal="left" wrapText="1"/>
    </xf>
    <xf numFmtId="0" fontId="15" fillId="2" borderId="1" xfId="0" quotePrefix="1" applyFont="1" applyFill="1" applyBorder="1" applyAlignment="1">
      <alignment horizontal="left" wrapText="1"/>
    </xf>
    <xf numFmtId="0" fontId="15" fillId="7" borderId="1" xfId="0" applyFont="1" applyFill="1" applyBorder="1" applyAlignment="1">
      <alignment horizontal="left" wrapText="1"/>
    </xf>
    <xf numFmtId="0" fontId="16" fillId="0" borderId="1" xfId="0" applyFont="1" applyBorder="1" applyAlignment="1">
      <alignment wrapText="1"/>
    </xf>
    <xf numFmtId="0" fontId="16" fillId="0" borderId="1" xfId="0" applyFont="1" applyBorder="1" applyAlignment="1">
      <alignment vertical="top" wrapText="1"/>
    </xf>
    <xf numFmtId="0" fontId="15" fillId="3" borderId="0" xfId="0" applyFont="1" applyFill="1"/>
    <xf numFmtId="0" fontId="13" fillId="5" borderId="1" xfId="0" applyFont="1" applyFill="1" applyBorder="1" applyAlignment="1">
      <alignment horizontal="left"/>
    </xf>
    <xf numFmtId="0" fontId="13" fillId="0" borderId="1" xfId="0" applyFont="1" applyBorder="1" applyAlignment="1"/>
    <xf numFmtId="0" fontId="13" fillId="0" borderId="0" xfId="0" applyFont="1" applyBorder="1" applyAlignment="1"/>
    <xf numFmtId="14" fontId="13" fillId="0" borderId="1" xfId="0" applyNumberFormat="1" applyFont="1" applyBorder="1"/>
    <xf numFmtId="0" fontId="13" fillId="0" borderId="0" xfId="0" applyFont="1" applyBorder="1"/>
    <xf numFmtId="0" fontId="13" fillId="0" borderId="0" xfId="0" applyFont="1" applyBorder="1" applyAlignment="1" applyProtection="1">
      <alignment horizontal="left"/>
      <protection locked="0"/>
    </xf>
    <xf numFmtId="0" fontId="17" fillId="0" borderId="0" xfId="18" applyFont="1"/>
    <xf numFmtId="14" fontId="13" fillId="0" borderId="0" xfId="0" applyNumberFormat="1" applyFont="1" applyBorder="1" applyAlignment="1" applyProtection="1">
      <alignment horizontal="left"/>
      <protection locked="0"/>
    </xf>
    <xf numFmtId="0" fontId="13" fillId="0" borderId="5" xfId="0" applyFont="1" applyBorder="1" applyAlignment="1">
      <alignment vertical="top"/>
    </xf>
    <xf numFmtId="0" fontId="13" fillId="0" borderId="5" xfId="0" applyFont="1" applyBorder="1" applyAlignment="1"/>
    <xf numFmtId="0" fontId="13" fillId="0" borderId="0" xfId="0" applyFont="1" applyFill="1"/>
    <xf numFmtId="0" fontId="13" fillId="0" borderId="1" xfId="19" applyFont="1" applyBorder="1" applyAlignment="1">
      <alignment horizontal="center"/>
    </xf>
    <xf numFmtId="0" fontId="13" fillId="0" borderId="1" xfId="19" applyFont="1" applyBorder="1"/>
    <xf numFmtId="168" fontId="13" fillId="0" borderId="1" xfId="6" applyNumberFormat="1" applyFont="1" applyBorder="1"/>
    <xf numFmtId="168" fontId="13" fillId="7" borderId="1" xfId="6" applyNumberFormat="1" applyFont="1" applyFill="1" applyBorder="1"/>
    <xf numFmtId="9" fontId="13" fillId="0" borderId="1" xfId="7" applyFont="1" applyBorder="1"/>
    <xf numFmtId="165" fontId="13" fillId="0" borderId="1" xfId="0" applyNumberFormat="1" applyFont="1" applyBorder="1"/>
    <xf numFmtId="0" fontId="15" fillId="0" borderId="1" xfId="19" applyFont="1" applyBorder="1"/>
    <xf numFmtId="168" fontId="18" fillId="0" borderId="1" xfId="6" applyNumberFormat="1" applyFont="1" applyBorder="1"/>
    <xf numFmtId="168" fontId="15" fillId="7" borderId="1" xfId="6" applyNumberFormat="1" applyFont="1" applyFill="1" applyBorder="1"/>
    <xf numFmtId="169" fontId="13" fillId="0" borderId="0" xfId="0" applyNumberFormat="1" applyFont="1"/>
    <xf numFmtId="0" fontId="13"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3" fillId="0" borderId="0" xfId="0" applyFont="1" applyAlignment="1">
      <alignment vertical="top" wrapText="1"/>
    </xf>
    <xf numFmtId="2" fontId="13" fillId="0" borderId="1" xfId="0" applyNumberFormat="1" applyFont="1" applyFill="1" applyBorder="1" applyAlignment="1">
      <alignment vertical="center"/>
    </xf>
    <xf numFmtId="2" fontId="13" fillId="0" borderId="1" xfId="0" applyNumberFormat="1" applyFont="1" applyBorder="1" applyAlignment="1">
      <alignment vertical="center"/>
    </xf>
    <xf numFmtId="2" fontId="13" fillId="0" borderId="1" xfId="16" applyNumberFormat="1" applyFont="1" applyFill="1" applyBorder="1" applyAlignment="1">
      <alignment vertical="center"/>
    </xf>
    <xf numFmtId="0" fontId="13" fillId="0" borderId="1" xfId="0" applyFont="1" applyFill="1" applyBorder="1" applyAlignment="1">
      <alignment vertical="center"/>
    </xf>
    <xf numFmtId="4" fontId="13" fillId="0" borderId="0" xfId="0" applyNumberFormat="1" applyFont="1"/>
    <xf numFmtId="0" fontId="13" fillId="4" borderId="1" xfId="0" applyFont="1" applyFill="1" applyBorder="1" applyAlignment="1">
      <alignment vertical="top" wrapText="1"/>
    </xf>
    <xf numFmtId="0" fontId="13" fillId="0" borderId="1" xfId="0" applyFont="1" applyBorder="1"/>
    <xf numFmtId="0" fontId="15" fillId="0" borderId="1" xfId="0" applyFont="1" applyBorder="1"/>
    <xf numFmtId="171" fontId="13" fillId="0" borderId="1" xfId="6" applyNumberFormat="1" applyFont="1" applyBorder="1"/>
    <xf numFmtId="170" fontId="13" fillId="0" borderId="1" xfId="6" applyNumberFormat="1" applyFont="1" applyBorder="1"/>
    <xf numFmtId="10" fontId="13" fillId="0" borderId="1" xfId="7" applyNumberFormat="1" applyFont="1" applyBorder="1"/>
    <xf numFmtId="171" fontId="15" fillId="0" borderId="1" xfId="6" applyNumberFormat="1" applyFont="1" applyBorder="1"/>
    <xf numFmtId="10" fontId="15" fillId="0" borderId="1" xfId="7" applyNumberFormat="1" applyFont="1" applyBorder="1"/>
    <xf numFmtId="0" fontId="15" fillId="0" borderId="1" xfId="0" applyFont="1" applyBorder="1" applyAlignment="1">
      <alignment wrapText="1"/>
    </xf>
    <xf numFmtId="167" fontId="13" fillId="0" borderId="1" xfId="7" applyNumberFormat="1" applyFont="1" applyBorder="1" applyAlignment="1">
      <alignment vertical="top"/>
    </xf>
    <xf numFmtId="0" fontId="0" fillId="0" borderId="0" xfId="0" applyFont="1"/>
    <xf numFmtId="0" fontId="13" fillId="0" borderId="1" xfId="0" applyFont="1" applyBorder="1" applyAlignment="1">
      <alignment vertical="top" wrapText="1"/>
    </xf>
    <xf numFmtId="0" fontId="15" fillId="0" borderId="1" xfId="0" applyFont="1" applyBorder="1" applyAlignment="1">
      <alignment vertical="top" wrapText="1"/>
    </xf>
    <xf numFmtId="164" fontId="13" fillId="0" borderId="1" xfId="6" applyFont="1" applyBorder="1" applyAlignment="1">
      <alignment vertical="top"/>
    </xf>
    <xf numFmtId="0" fontId="18" fillId="0" borderId="0" xfId="0" applyFont="1"/>
    <xf numFmtId="0" fontId="21" fillId="0" borderId="0" xfId="1" applyFont="1"/>
    <xf numFmtId="0" fontId="21" fillId="0" borderId="0" xfId="0" applyFont="1"/>
    <xf numFmtId="0" fontId="12" fillId="0" borderId="0" xfId="10" applyFont="1" applyAlignment="1">
      <alignment vertical="center"/>
    </xf>
    <xf numFmtId="0" fontId="13" fillId="0" borderId="1" xfId="0" applyFont="1" applyBorder="1" applyAlignment="1">
      <alignment vertical="top"/>
    </xf>
    <xf numFmtId="0" fontId="13" fillId="0" borderId="1" xfId="0" applyFont="1" applyBorder="1" applyAlignment="1">
      <alignment horizontal="left" wrapText="1"/>
    </xf>
    <xf numFmtId="0" fontId="13" fillId="0" borderId="0" xfId="0" applyFont="1" applyAlignment="1">
      <alignment horizontal="left" wrapText="1"/>
    </xf>
    <xf numFmtId="0" fontId="13" fillId="0" borderId="3" xfId="0" applyFont="1" applyBorder="1" applyAlignment="1">
      <alignment horizontal="left" wrapText="1"/>
    </xf>
    <xf numFmtId="0" fontId="13" fillId="0" borderId="1" xfId="0" applyFont="1" applyBorder="1" applyAlignment="1">
      <alignment horizontal="right"/>
    </xf>
    <xf numFmtId="9" fontId="13" fillId="0" borderId="1" xfId="0" applyNumberFormat="1" applyFont="1" applyBorder="1" applyAlignment="1">
      <alignment horizontal="center"/>
    </xf>
    <xf numFmtId="0" fontId="13" fillId="6" borderId="0" xfId="0" applyFont="1" applyFill="1"/>
    <xf numFmtId="0" fontId="22" fillId="0" borderId="0" xfId="0" applyFont="1" applyAlignment="1">
      <alignment horizontal="left" indent="1"/>
    </xf>
    <xf numFmtId="0" fontId="13" fillId="0" borderId="0" xfId="0" applyFont="1" applyAlignment="1">
      <alignment horizontal="right"/>
    </xf>
    <xf numFmtId="0" fontId="13" fillId="5" borderId="1" xfId="0" applyFont="1" applyFill="1" applyBorder="1" applyAlignment="1">
      <alignment vertical="top" wrapText="1"/>
    </xf>
    <xf numFmtId="0" fontId="13" fillId="0" borderId="0" xfId="0" applyFont="1" applyBorder="1" applyAlignment="1">
      <alignment vertical="top"/>
    </xf>
    <xf numFmtId="0" fontId="15" fillId="3" borderId="0" xfId="10" applyFont="1" applyFill="1" applyAlignment="1">
      <alignment vertical="center"/>
    </xf>
    <xf numFmtId="0" fontId="15" fillId="0" borderId="0" xfId="10" applyFont="1" applyAlignment="1">
      <alignment vertical="center"/>
    </xf>
    <xf numFmtId="0" fontId="23" fillId="0" borderId="0" xfId="0" applyFont="1" applyAlignment="1">
      <alignment vertical="center"/>
    </xf>
    <xf numFmtId="0" fontId="0" fillId="0" borderId="1" xfId="19" applyFont="1" applyBorder="1"/>
    <xf numFmtId="0" fontId="0" fillId="0" borderId="0" xfId="0" applyFont="1" applyBorder="1" applyAlignment="1">
      <alignment vertical="top"/>
    </xf>
    <xf numFmtId="0" fontId="0" fillId="0" borderId="1" xfId="0" applyFont="1" applyFill="1" applyBorder="1" applyAlignment="1">
      <alignment vertical="center"/>
    </xf>
    <xf numFmtId="0" fontId="12" fillId="3" borderId="2" xfId="10" applyFont="1" applyFill="1" applyBorder="1"/>
    <xf numFmtId="0" fontId="24" fillId="3" borderId="4" xfId="1" applyFont="1" applyFill="1" applyBorder="1"/>
    <xf numFmtId="0" fontId="0" fillId="0" borderId="0" xfId="0" applyFont="1" applyAlignment="1">
      <alignment horizontal="center" vertical="center"/>
    </xf>
    <xf numFmtId="168" fontId="13" fillId="0" borderId="1" xfId="11" applyNumberFormat="1" applyFont="1" applyBorder="1"/>
    <xf numFmtId="168" fontId="13" fillId="0" borderId="1" xfId="11" applyNumberFormat="1" applyFont="1" applyFill="1" applyBorder="1"/>
    <xf numFmtId="0" fontId="12" fillId="3" borderId="0" xfId="0" applyFont="1" applyFill="1"/>
    <xf numFmtId="0" fontId="21" fillId="0" borderId="1" xfId="0" applyFont="1" applyBorder="1" applyAlignment="1">
      <alignment horizontal="center"/>
    </xf>
    <xf numFmtId="0" fontId="13" fillId="0" borderId="1" xfId="0" applyFont="1" applyBorder="1" applyAlignment="1">
      <alignment horizontal="center" wrapText="1"/>
    </xf>
  </cellXfs>
  <cellStyles count="22">
    <cellStyle name="Comma" xfId="6" builtinId="3"/>
    <cellStyle name="Comma 2" xfId="11"/>
    <cellStyle name="Comma 3" xfId="15"/>
    <cellStyle name="Comma 4 2" xfId="20"/>
    <cellStyle name="Explanatory Text" xfId="18" builtinId="53"/>
    <cellStyle name="Normal" xfId="0" builtinId="0"/>
    <cellStyle name="Normal 2" xfId="4"/>
    <cellStyle name="Normal 2 2" xfId="1"/>
    <cellStyle name="Normal 2 2 2" xfId="10"/>
    <cellStyle name="Normal 2 6" xfId="16"/>
    <cellStyle name="Normal 20" xfId="9"/>
    <cellStyle name="Normal 3" xfId="2"/>
    <cellStyle name="Normal 3 2" xfId="13"/>
    <cellStyle name="Normal 4" xfId="5"/>
    <cellStyle name="Normal 4 2" xfId="14"/>
    <cellStyle name="Normal 5" xfId="8"/>
    <cellStyle name="Normal 5 2" xfId="12"/>
    <cellStyle name="Normal 5 2 2" xfId="19"/>
    <cellStyle name="Normal 6" xfId="17"/>
    <cellStyle name="Normal 9" xfId="3"/>
    <cellStyle name="Percent" xfId="7" builtinId="5"/>
    <cellStyle name="Percent 2" xfId="2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E23114"/>
      <color rgb="FFD2ECB6"/>
      <color rgb="FFFFD9D9"/>
      <color rgb="FFFFF1C5"/>
      <color rgb="FFFFABAB"/>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6350</xdr:colOff>
      <xdr:row>15</xdr:row>
      <xdr:rowOff>38100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01600" y="469900"/>
          <a:ext cx="9067800" cy="2844800"/>
        </a:xfrm>
        <a:prstGeom prst="rect">
          <a:avLst/>
        </a:prstGeom>
        <a:solidFill>
          <a:schemeClr val="bg2">
            <a:lumMod val="7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Water WINEP/NEP</a:t>
          </a:r>
          <a:r>
            <a:rPr lang="en-GB" sz="1100" b="1" i="0" u="sng" baseline="0">
              <a:solidFill>
                <a:schemeClr val="dk1"/>
              </a:solidFill>
              <a:effectLst/>
              <a:latin typeface="+mn-lt"/>
              <a:ea typeface="+mn-ea"/>
              <a:cs typeface="+mn-cs"/>
            </a:rPr>
            <a:t> </a:t>
          </a:r>
          <a:r>
            <a:rPr lang="en-GB" sz="1100" b="1" i="0" u="sng">
              <a:solidFill>
                <a:schemeClr val="dk1"/>
              </a:solidFill>
              <a:effectLst/>
              <a:latin typeface="+mn-lt"/>
              <a:ea typeface="+mn-ea"/>
              <a:cs typeface="+mn-cs"/>
            </a:rPr>
            <a:t>Investigations enhancement feeder model</a:t>
          </a:r>
          <a:endParaRPr lang="en-GB" sz="1100" b="1" i="0" u="sng" baseline="0">
            <a:solidFill>
              <a:schemeClr val="dk1"/>
            </a:solidFill>
            <a:effectLst/>
            <a:latin typeface="+mn-lt"/>
            <a:ea typeface="+mn-ea"/>
            <a:cs typeface="+mn-cs"/>
          </a:endParaRPr>
        </a:p>
        <a:p>
          <a:endParaRPr lang="en-GB" sz="1100">
            <a:effectLst/>
          </a:endParaRPr>
        </a:p>
        <a:p>
          <a:r>
            <a:rPr lang="en-GB" sz="1100" b="1" baseline="0">
              <a:solidFill>
                <a:schemeClr val="dk1"/>
              </a:solidFill>
              <a:effectLst/>
              <a:latin typeface="+mn-lt"/>
              <a:ea typeface="+mn-ea"/>
              <a:cs typeface="+mn-cs"/>
            </a:rPr>
            <a:t>Objective</a:t>
          </a:r>
          <a:endParaRPr lang="en-GB" sz="1100">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assess enhancement capex expenditure submitted by companies in their PR19 business plan submissions for environmental investigations and options appraisals,  Table WS2  line</a:t>
          </a:r>
          <a:r>
            <a:rPr lang="en-GB" sz="1100" baseline="0">
              <a:solidFill>
                <a:schemeClr val="dk1"/>
              </a:solidFill>
              <a:effectLst/>
              <a:latin typeface="+mn-lt"/>
              <a:ea typeface="+mn-ea"/>
              <a:cs typeface="+mn-cs"/>
            </a:rPr>
            <a:t> 19 WINEP/NEP ~ Investigations.</a:t>
          </a:r>
          <a:endParaRPr lang="en-GB" sz="110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Approach</a:t>
          </a:r>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Shallow or Deep dive assessments are carried out as no suitable cost driver could be identified for econometric modelling.  We consider impacts of misallocation, double counting and regulatory support. For Shallow dive assessments we do not apply an additional bespoke company totex efficiency challenge.  For companies whose PR19 costs are material as a proportion of botex, we carry out a deep dive using information that has been identified within the companies' submission and apply an additional challenge based on the Deep dive assessment and the bespoke company totex efficiency challenge</a:t>
          </a:r>
          <a:r>
            <a:rPr lang="en-GB" sz="1100" b="0" i="0">
              <a:solidFill>
                <a:schemeClr val="dk1"/>
              </a:solidFill>
              <a:effectLst/>
              <a:latin typeface="+mn-lt"/>
              <a:ea typeface="+mn-ea"/>
              <a:cs typeface="+mn-cs"/>
            </a:rPr>
            <a:t>. We also reconcile information that has been identified within the companies’ submissions with the list of schemes in the EAs’ WINEP3, March 2018.</a:t>
          </a:r>
          <a:endParaRPr lang="en-GB">
            <a:effectLst/>
          </a:endParaRPr>
        </a:p>
        <a:p>
          <a:endParaRPr lang="en-GB"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379809</xdr:colOff>
      <xdr:row>6</xdr:row>
      <xdr:rowOff>8334</xdr:rowOff>
    </xdr:from>
    <xdr:ext cx="4506041" cy="1986826"/>
    <xdr:sp macro="" textlink="">
      <xdr:nvSpPr>
        <xdr:cNvPr id="3" name="TextBox 2">
          <a:extLst>
            <a:ext uri="{FF2B5EF4-FFF2-40B4-BE49-F238E27FC236}">
              <a16:creationId xmlns:a16="http://schemas.microsoft.com/office/drawing/2014/main" xmlns="" id="{00000000-0008-0000-0400-000005000000}"/>
            </a:ext>
          </a:extLst>
        </xdr:cNvPr>
        <xdr:cNvSpPr txBox="1"/>
      </xdr:nvSpPr>
      <xdr:spPr>
        <a:xfrm>
          <a:off x="7986202" y="1096905"/>
          <a:ext cx="4506041" cy="198682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Summary: </a:t>
          </a:r>
        </a:p>
        <a:p>
          <a:r>
            <a:rPr lang="en-GB" sz="1100" b="0"/>
            <a:t>-</a:t>
          </a:r>
          <a:r>
            <a:rPr lang="en-GB" sz="1100" b="0" baseline="0"/>
            <a:t> </a:t>
          </a:r>
          <a:r>
            <a:rPr lang="en-GB" sz="1100" b="0" baseline="0">
              <a:solidFill>
                <a:sysClr val="windowText" lastClr="000000"/>
              </a:solidFill>
            </a:rPr>
            <a:t>Total Line spend £48.59m</a:t>
          </a:r>
        </a:p>
        <a:p>
          <a:r>
            <a:rPr lang="en-GB" sz="1100" b="0" baseline="0">
              <a:solidFill>
                <a:sysClr val="windowText" lastClr="000000"/>
              </a:solidFill>
            </a:rPr>
            <a:t>- 3 companies =&gt;0.5% materiality (AFW, SEW, WSX)</a:t>
          </a:r>
        </a:p>
        <a:p>
          <a:r>
            <a:rPr lang="en-GB" sz="1100" b="0" baseline="0">
              <a:solidFill>
                <a:sysClr val="windowText" lastClr="000000"/>
              </a:solidFill>
            </a:rPr>
            <a:t>- 10 companies with no expenditiure </a:t>
          </a:r>
        </a:p>
        <a:p>
          <a:endParaRPr lang="en-GB" sz="1100" b="0" baseline="0"/>
        </a:p>
        <a:p>
          <a:r>
            <a:rPr lang="en-GB" sz="1100" b="0" baseline="0">
              <a:solidFill>
                <a:schemeClr val="dk1"/>
              </a:solidFill>
              <a:effectLst/>
              <a:latin typeface="+mn-lt"/>
              <a:ea typeface="+mn-ea"/>
              <a:cs typeface="+mn-cs"/>
            </a:rPr>
            <a:t>- No Unit Cost driver identified,.</a:t>
          </a:r>
        </a:p>
        <a:p>
          <a:endParaRPr lang="en-GB">
            <a:effectLst/>
          </a:endParaRPr>
        </a:p>
        <a:p>
          <a:r>
            <a:rPr lang="en-GB" sz="1100" b="1" i="0" u="none" strike="noStrike">
              <a:solidFill>
                <a:schemeClr val="dk1"/>
              </a:solidFill>
              <a:effectLst/>
              <a:latin typeface="+mn-lt"/>
              <a:ea typeface="+mn-ea"/>
              <a:cs typeface="+mn-cs"/>
            </a:rPr>
            <a:t>Line Definition:</a:t>
          </a:r>
          <a:r>
            <a:rPr lang="en-GB" sz="1100" b="1"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19 / 58</a:t>
          </a:r>
          <a:r>
            <a:rPr lang="en-GB"/>
            <a:t> </a:t>
          </a:r>
          <a:r>
            <a:rPr lang="en-GB" sz="1100" b="0" i="0" u="none" strike="noStrike">
              <a:solidFill>
                <a:schemeClr val="dk1"/>
              </a:solidFill>
              <a:effectLst/>
              <a:latin typeface="+mn-lt"/>
              <a:ea typeface="+mn-ea"/>
              <a:cs typeface="+mn-cs"/>
            </a:rPr>
            <a:t>Capital / operating expenditure on environmental investigations and options appraisals listed in the NEP (or WINEP) for AMP5, AMP6 or AMP7 except where line definitions require costs to be reported elsewhere in this table eg line 2. </a:t>
          </a:r>
          <a:r>
            <a:rPr lang="en-GB"/>
            <a:t> </a:t>
          </a:r>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1768078</xdr:colOff>
      <xdr:row>39</xdr:row>
      <xdr:rowOff>184545</xdr:rowOff>
    </xdr:from>
    <xdr:ext cx="2976563" cy="482203"/>
    <xdr:sp macro="" textlink="">
      <xdr:nvSpPr>
        <xdr:cNvPr id="2" name="TextBox 1">
          <a:extLst>
            <a:ext uri="{FF2B5EF4-FFF2-40B4-BE49-F238E27FC236}">
              <a16:creationId xmlns="" xmlns:a16="http://schemas.microsoft.com/office/drawing/2014/main" id="{00000000-0008-0000-0400-000003000000}"/>
            </a:ext>
          </a:extLst>
        </xdr:cNvPr>
        <xdr:cNvSpPr txBox="1"/>
      </xdr:nvSpPr>
      <xdr:spPr>
        <a:xfrm>
          <a:off x="1910953" y="99762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24049</xdr:colOff>
      <xdr:row>19</xdr:row>
      <xdr:rowOff>34767</xdr:rowOff>
    </xdr:from>
    <xdr:ext cx="8742285" cy="1297919"/>
    <xdr:sp macro="" textlink="">
      <xdr:nvSpPr>
        <xdr:cNvPr id="3" name="TextBox 2">
          <a:extLst>
            <a:ext uri="{FF2B5EF4-FFF2-40B4-BE49-F238E27FC236}">
              <a16:creationId xmlns="" xmlns:a16="http://schemas.microsoft.com/office/drawing/2014/main" id="{00000000-0008-0000-0400-000005000000}"/>
            </a:ext>
          </a:extLst>
        </xdr:cNvPr>
        <xdr:cNvSpPr txBox="1"/>
      </xdr:nvSpPr>
      <xdr:spPr>
        <a:xfrm>
          <a:off x="178830" y="14125815"/>
          <a:ext cx="8742285" cy="129791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analysis / arguments</a:t>
          </a:r>
        </a:p>
        <a:p>
          <a:endParaRPr lang="en-GB" sz="1100"/>
        </a:p>
        <a:p>
          <a:endParaRPr lang="en-GB" sz="1100"/>
        </a:p>
        <a:p>
          <a:r>
            <a:rPr lang="en-GB" sz="1100"/>
            <a:t>Related PC's 16. River restoration, 17. Abstraction reduction, 18 Number of sources</a:t>
          </a:r>
          <a:r>
            <a:rPr lang="en-GB" sz="1100" baseline="0"/>
            <a:t> operating under AIM. (all with in period and Revenue ODI, all with no collar/cap and no dead band)</a:t>
          </a:r>
        </a:p>
        <a:p>
          <a:endParaRPr lang="en-GB" sz="1100" baseline="0"/>
        </a:p>
        <a:p>
          <a:r>
            <a:rPr lang="en-GB" sz="1100" baseline="0"/>
            <a:t>There is no associated commentary with Line 19 in WS2</a:t>
          </a:r>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1768078</xdr:colOff>
      <xdr:row>39</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14128" y="104778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24049</xdr:colOff>
      <xdr:row>19</xdr:row>
      <xdr:rowOff>34767</xdr:rowOff>
    </xdr:from>
    <xdr:ext cx="8743608" cy="1470146"/>
    <xdr:sp macro="" textlink="">
      <xdr:nvSpPr>
        <xdr:cNvPr id="4" name="TextBox 3">
          <a:extLst>
            <a:ext uri="{FF2B5EF4-FFF2-40B4-BE49-F238E27FC236}">
              <a16:creationId xmlns="" xmlns:a16="http://schemas.microsoft.com/office/drawing/2014/main" id="{00000000-0008-0000-0400-000005000000}"/>
            </a:ext>
          </a:extLst>
        </xdr:cNvPr>
        <xdr:cNvSpPr txBox="1"/>
      </xdr:nvSpPr>
      <xdr:spPr>
        <a:xfrm>
          <a:off x="187335" y="9131142"/>
          <a:ext cx="8743608" cy="147014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analysis </a:t>
          </a: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Information located in Appendix 22 table commentaries FINAL 180902, comments that it is allocated in accordance with RAG4.06 and project driver under EA EA WINEP. No signposting evident.</a:t>
          </a:r>
          <a:endParaRPr lang="en-GB">
            <a:effectLst/>
          </a:endParaRPr>
        </a:p>
        <a:p>
          <a:endParaRPr lang="en-GB" sz="1100"/>
        </a:p>
        <a:p>
          <a:r>
            <a:rPr lang="en-GB" sz="1100"/>
            <a:t>WINEP RSA (Restoring Sustainable</a:t>
          </a:r>
          <a:r>
            <a:rPr lang="en-GB" sz="1100" baseline="0"/>
            <a:t> Abstraction)</a:t>
          </a:r>
          <a:r>
            <a:rPr lang="en-GB" sz="1100"/>
            <a:t> programme is</a:t>
          </a:r>
          <a:r>
            <a:rPr lang="en-GB" sz="1100" baseline="0"/>
            <a:t> £10,030,613 Section 5.1.5 Ensuring our abstractions are sustainable (RSA) Table 34 p127</a:t>
          </a:r>
        </a:p>
        <a:p>
          <a:endParaRPr lang="en-GB" sz="1100" baseline="0"/>
        </a:p>
        <a:p>
          <a:r>
            <a:rPr lang="en-GB" sz="1100"/>
            <a:t>Useful demonstration of the links to AIM (Abstraction</a:t>
          </a:r>
          <a:r>
            <a:rPr lang="en-GB" sz="1100" baseline="0"/>
            <a:t> Incentive Mechanism to reduce envinnomental impact at sensitive sites during defined periods of low surface flows. p110</a:t>
          </a:r>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47862</xdr:colOff>
      <xdr:row>18</xdr:row>
      <xdr:rowOff>10955</xdr:rowOff>
    </xdr:from>
    <xdr:ext cx="8742285" cy="1986826"/>
    <xdr:sp macro="" textlink="">
      <xdr:nvSpPr>
        <xdr:cNvPr id="3" name="TextBox 2">
          <a:extLst>
            <a:ext uri="{FF2B5EF4-FFF2-40B4-BE49-F238E27FC236}">
              <a16:creationId xmlns="" xmlns:a16="http://schemas.microsoft.com/office/drawing/2014/main" id="{00000000-0008-0000-0400-000005000000}"/>
            </a:ext>
          </a:extLst>
        </xdr:cNvPr>
        <xdr:cNvSpPr txBox="1"/>
      </xdr:nvSpPr>
      <xdr:spPr>
        <a:xfrm>
          <a:off x="200262" y="11612405"/>
          <a:ext cx="8742285" cy="198682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analysis </a:t>
          </a:r>
          <a:endParaRPr lang="en-GB" sz="1100"/>
        </a:p>
        <a:p>
          <a:endParaRPr lang="en-GB" sz="1100"/>
        </a:p>
        <a:p>
          <a:r>
            <a:rPr lang="en-GB" sz="1100"/>
            <a:t>WINEP 19 Inv</a:t>
          </a:r>
          <a:r>
            <a:rPr lang="en-GB" sz="1100" baseline="0"/>
            <a:t> (water) only returns 1 scheme Nr 7WW300196; Dorchester STW - SSSI Seasonal P performance investigation; SSSI_INV Phosphorus; Green 31/03/2022; Investigation to assess technical viability and the benefit from adjusting STW performance so that P levels are lower in the growing season and higher in the winter. Desk study element to include whether it is more cost effective to offset the P discharged during the winter months by working with farmers. THIS IS NOT IN LINE WITH WSX SCHEMES, Table 5-1</a:t>
          </a:r>
        </a:p>
        <a:p>
          <a:endParaRPr lang="en-GB" sz="1100" baseline="0"/>
        </a:p>
        <a:p>
          <a:r>
            <a:rPr lang="en-GB" sz="1100" baseline="0"/>
            <a:t>No information located in WSX - Water WS1-WS18 data table commentaries, but is in 05.01 - Protecting and enhancing the environment</a:t>
          </a:r>
        </a:p>
        <a:p>
          <a:endParaRPr lang="en-GB" sz="1100" baseline="0"/>
        </a:p>
        <a:p>
          <a:r>
            <a:rPr lang="en-GB" sz="1100" baseline="0"/>
            <a:t>05.01.F - Alternative approaches to delivery of WINEP, appears to be wholly focused on WWW (generally Phosphorous) and does not appear to provide information on WW investigation elements.</a:t>
          </a:r>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aura.gatzschulz\Documents\Copy%20of%20FM_E_WWW_conservation%20drive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hona.labor\AppData\Local\Microsoft\Windows\INetCache\IE\QJKFE5G1\PR19-14h-for-publication.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FWSHARE/Cost%20assessment/Retail/Modelling%20-%20phase%204/Cost%20allowances/xls/FM_R2_v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OFWSHARE/PR14/Cost%20assessment/Menus/Analysis/Menu%20assessment/PR14%20menu%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pproach chart"/>
      <sheetName val="QA_Checklist"/>
      <sheetName val="Changes log"/>
      <sheetName val="Variables selection"/>
      <sheetName val="BoN codes"/>
      <sheetName val="Data"/>
      <sheetName val="Assessor's analysis&gt;&gt;"/>
      <sheetName val="Gates &amp; Shallow dive"/>
      <sheetName val="Deep dive_SRN"/>
      <sheetName val="Deep dive_TMS"/>
      <sheetName val="Deep dive_WSX"/>
      <sheetName val="Test...."/>
      <sheetName val="Feeder models&gt;&gt;"/>
      <sheetName val="Summary"/>
      <sheetName val="Allowance"/>
      <sheetName val="Allowed capex 5YRS"/>
      <sheetName val="Profilling"/>
      <sheetName val="Trends&gt;&gt;&gt;"/>
      <sheetName val="Exp'ture &amp; materiality"/>
      <sheetName val="Drivers"/>
      <sheetName val="Unit costs&gt;&gt;"/>
      <sheetName val="Avg unit costs"/>
      <sheetName val="Simple regr'on unit costs"/>
      <sheetName val="Econometrics&gt;&gt;"/>
      <sheetName val="Correlations &amp; basic stats"/>
      <sheetName val="Ec'metric analysis"/>
      <sheetName val="Selected mode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6">
          <cell r="A66" t="str">
            <v>ANH</v>
          </cell>
          <cell r="AG66">
            <v>0</v>
          </cell>
        </row>
        <row r="67">
          <cell r="A67" t="str">
            <v>NES</v>
          </cell>
          <cell r="AG67">
            <v>0</v>
          </cell>
        </row>
        <row r="68">
          <cell r="A68" t="str">
            <v>NWT</v>
          </cell>
          <cell r="AG68">
            <v>0.7618580323894687</v>
          </cell>
        </row>
        <row r="69">
          <cell r="A69" t="str">
            <v>SRN</v>
          </cell>
          <cell r="AG69">
            <v>18.954000000000001</v>
          </cell>
        </row>
        <row r="70">
          <cell r="A70" t="str">
            <v>SVT</v>
          </cell>
          <cell r="AG70">
            <v>0</v>
          </cell>
        </row>
        <row r="71">
          <cell r="A71" t="str">
            <v>SWB</v>
          </cell>
          <cell r="AG71">
            <v>4.2300000000000004</v>
          </cell>
        </row>
        <row r="72">
          <cell r="A72" t="str">
            <v>TMS</v>
          </cell>
          <cell r="AG72">
            <v>4.9437447595999986</v>
          </cell>
        </row>
        <row r="73">
          <cell r="A73" t="str">
            <v>WSH</v>
          </cell>
          <cell r="AG73">
            <v>1.593</v>
          </cell>
        </row>
        <row r="74">
          <cell r="A74" t="str">
            <v>WSX</v>
          </cell>
          <cell r="AG74">
            <v>14.072221384615391</v>
          </cell>
        </row>
        <row r="75">
          <cell r="A75" t="str">
            <v>YKY</v>
          </cell>
          <cell r="AG75">
            <v>0</v>
          </cell>
        </row>
        <row r="76">
          <cell r="A76" t="str">
            <v>AFW</v>
          </cell>
          <cell r="AG76">
            <v>0</v>
          </cell>
        </row>
        <row r="77">
          <cell r="A77" t="str">
            <v>BRL</v>
          </cell>
          <cell r="AG77">
            <v>0</v>
          </cell>
        </row>
        <row r="78">
          <cell r="A78" t="str">
            <v>DVW</v>
          </cell>
          <cell r="AG78">
            <v>0</v>
          </cell>
        </row>
        <row r="79">
          <cell r="A79" t="str">
            <v>PRT</v>
          </cell>
          <cell r="AG79">
            <v>0</v>
          </cell>
        </row>
        <row r="80">
          <cell r="A80" t="str">
            <v>SES</v>
          </cell>
          <cell r="AG80">
            <v>0</v>
          </cell>
        </row>
        <row r="81">
          <cell r="A81" t="str">
            <v>SEW</v>
          </cell>
          <cell r="AG81">
            <v>0</v>
          </cell>
        </row>
        <row r="82">
          <cell r="A82" t="str">
            <v>SSC</v>
          </cell>
          <cell r="AG82">
            <v>0</v>
          </cell>
        </row>
        <row r="83">
          <cell r="A83" t="str">
            <v>SVE</v>
          </cell>
          <cell r="AG83">
            <v>0</v>
          </cell>
        </row>
        <row r="84">
          <cell r="A84" t="str">
            <v>HDD</v>
          </cell>
          <cell r="AG84">
            <v>0</v>
          </cell>
        </row>
        <row r="182">
          <cell r="A182" t="str">
            <v>ANH</v>
          </cell>
          <cell r="AE182">
            <v>3328.7444331702227</v>
          </cell>
        </row>
        <row r="183">
          <cell r="A183" t="str">
            <v>NES</v>
          </cell>
          <cell r="AE183">
            <v>1243.377</v>
          </cell>
        </row>
        <row r="184">
          <cell r="A184" t="str">
            <v>NWT</v>
          </cell>
          <cell r="AE184">
            <v>3013.0588535929037</v>
          </cell>
        </row>
        <row r="185">
          <cell r="A185" t="str">
            <v>SRN</v>
          </cell>
          <cell r="AE185">
            <v>2609.462</v>
          </cell>
        </row>
        <row r="186">
          <cell r="A186" t="str">
            <v>SVT</v>
          </cell>
          <cell r="AE186">
            <v>0</v>
          </cell>
        </row>
        <row r="187">
          <cell r="A187" t="str">
            <v>SWB</v>
          </cell>
          <cell r="AE187">
            <v>951.08800000000008</v>
          </cell>
        </row>
        <row r="188">
          <cell r="A188" t="str">
            <v>TMS</v>
          </cell>
          <cell r="AE188">
            <v>4997.1676900586726</v>
          </cell>
        </row>
        <row r="189">
          <cell r="A189" t="str">
            <v>WSH</v>
          </cell>
          <cell r="AE189">
            <v>1529.0949999999998</v>
          </cell>
        </row>
        <row r="190">
          <cell r="A190" t="str">
            <v>WSX</v>
          </cell>
          <cell r="AE190">
            <v>1573.2079316710249</v>
          </cell>
        </row>
        <row r="191">
          <cell r="A191" t="str">
            <v>YKY</v>
          </cell>
          <cell r="AE191">
            <v>2894.0260000000003</v>
          </cell>
        </row>
        <row r="192">
          <cell r="A192" t="str">
            <v>AFW</v>
          </cell>
          <cell r="AE192">
            <v>0</v>
          </cell>
        </row>
        <row r="193">
          <cell r="A193" t="str">
            <v>BRL</v>
          </cell>
          <cell r="AE193">
            <v>0</v>
          </cell>
        </row>
        <row r="194">
          <cell r="A194" t="str">
            <v>DVW</v>
          </cell>
          <cell r="AE194">
            <v>0</v>
          </cell>
        </row>
        <row r="195">
          <cell r="A195" t="str">
            <v>PRT</v>
          </cell>
          <cell r="AE195">
            <v>0</v>
          </cell>
        </row>
        <row r="196">
          <cell r="A196" t="str">
            <v>SES</v>
          </cell>
          <cell r="AE196">
            <v>0</v>
          </cell>
        </row>
        <row r="197">
          <cell r="A197" t="str">
            <v>SEW</v>
          </cell>
          <cell r="AE197">
            <v>0</v>
          </cell>
        </row>
        <row r="198">
          <cell r="A198" t="str">
            <v>SSC</v>
          </cell>
          <cell r="AE198">
            <v>0</v>
          </cell>
        </row>
        <row r="199">
          <cell r="A199" t="str">
            <v>SVE</v>
          </cell>
          <cell r="AE199">
            <v>2952.671035202944</v>
          </cell>
        </row>
        <row r="200">
          <cell r="A200" t="str">
            <v>HDD</v>
          </cell>
          <cell r="AE200">
            <v>24.896364460930961</v>
          </cell>
        </row>
      </sheetData>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refreshError="1"/>
      <sheetData sheetId="2" refreshError="1"/>
      <sheetData sheetId="3">
        <row r="1">
          <cell r="A1" t="str">
            <v>User guide</v>
          </cell>
        </row>
      </sheetData>
      <sheetData sheetId="4">
        <row r="1">
          <cell r="A1" t="str">
            <v>Rulebook Contents</v>
          </cell>
        </row>
      </sheetData>
      <sheetData sheetId="5">
        <row r="1">
          <cell r="A1" t="str">
            <v>Rulebook</v>
          </cell>
        </row>
      </sheetData>
      <sheetData sheetId="6" refreshError="1"/>
      <sheetData sheetId="7">
        <row r="177">
          <cell r="H177" t="str">
            <v>Water resources RCV ~ 1 April 2020 + Water resources IFRS16 RCV adjustment</v>
          </cell>
        </row>
      </sheetData>
      <sheetData sheetId="8" refreshError="1"/>
      <sheetData sheetId="9" refreshError="1"/>
      <sheetData sheetId="10">
        <row r="1891">
          <cell r="F1891">
            <v>9.9999999999999995E-7</v>
          </cell>
        </row>
        <row r="1893">
          <cell r="F1893">
            <v>1E-4</v>
          </cell>
        </row>
        <row r="1895">
          <cell r="F1895">
            <v>9.9999999999999995E-7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ow r="12">
          <cell r="E12" t="str">
            <v>Operating income - Wholesale - nominal</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06">
          <cell r="E406" t="str">
            <v>Water resources grants and contributions - real</v>
          </cell>
        </row>
      </sheetData>
      <sheetData sheetId="31" refreshError="1"/>
      <sheetData sheetId="32">
        <row r="28">
          <cell r="E28" t="str">
            <v>Bulk supplies ~ wastewater network plus</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07">
          <cell r="F107">
            <v>0</v>
          </cell>
        </row>
      </sheetData>
      <sheetData sheetId="52" refreshError="1"/>
      <sheetData sheetId="53" refreshError="1"/>
      <sheetData sheetId="54">
        <row r="178">
          <cell r="E178" t="str">
            <v>Operating expenditure - Wholesale - nominal</v>
          </cell>
        </row>
      </sheetData>
      <sheetData sheetId="55">
        <row r="1383">
          <cell r="E1383" t="str">
            <v>Earnings after tax (EAT) - Retail - nominal</v>
          </cell>
        </row>
      </sheetData>
      <sheetData sheetId="56" refreshError="1"/>
      <sheetData sheetId="57" refreshError="1"/>
      <sheetData sheetId="58" refreshError="1"/>
      <sheetData sheetId="59" refreshError="1"/>
      <sheetData sheetId="60">
        <row r="10">
          <cell r="F10">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sheetData sheetId="4"/>
      <sheetData sheetId="5"/>
      <sheetData sheetId="6"/>
      <sheetData sheetId="7"/>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16"/>
  <sheetViews>
    <sheetView showGridLines="0" tabSelected="1" zoomScale="80" zoomScaleNormal="80" workbookViewId="0"/>
  </sheetViews>
  <sheetFormatPr defaultColWidth="8.73046875" defaultRowHeight="14.25" x14ac:dyDescent="0.45"/>
  <cols>
    <col min="1" max="1" width="1.265625" style="52" customWidth="1"/>
    <col min="2" max="2" width="11.265625" style="52" customWidth="1"/>
    <col min="3" max="3" width="100.265625" style="52" customWidth="1"/>
    <col min="4" max="4" width="18" style="79" customWidth="1"/>
    <col min="5" max="16384" width="8.73046875" style="52"/>
  </cols>
  <sheetData>
    <row r="1" spans="2:4" ht="20.25" customHeight="1" x14ac:dyDescent="0.55000000000000004">
      <c r="B1" s="77" t="s">
        <v>122</v>
      </c>
      <c r="C1" s="78"/>
      <c r="D1" s="78"/>
    </row>
    <row r="2" spans="2:4" ht="17.25" customHeight="1" x14ac:dyDescent="0.45"/>
    <row r="3" spans="2:4" ht="17.25" customHeight="1" x14ac:dyDescent="0.45"/>
    <row r="4" spans="2:4" ht="17.25" customHeight="1" x14ac:dyDescent="0.45"/>
    <row r="5" spans="2:4" ht="17.25" customHeight="1" x14ac:dyDescent="0.45"/>
    <row r="6" spans="2:4" ht="17.25" customHeight="1" x14ac:dyDescent="0.45"/>
    <row r="7" spans="2:4" ht="17.25" customHeight="1" x14ac:dyDescent="0.45"/>
    <row r="8" spans="2:4" ht="17.25" customHeight="1" x14ac:dyDescent="0.45"/>
    <row r="9" spans="2:4" ht="17.25" customHeight="1" x14ac:dyDescent="0.45"/>
    <row r="10" spans="2:4" ht="17.25" customHeight="1" x14ac:dyDescent="0.45"/>
    <row r="11" spans="2:4" ht="17.25" customHeight="1" x14ac:dyDescent="0.45"/>
    <row r="12" spans="2:4" ht="17.25" customHeight="1" x14ac:dyDescent="0.45"/>
    <row r="13" spans="2:4" ht="17.25" customHeight="1" x14ac:dyDescent="0.45"/>
    <row r="14" spans="2:4" ht="17.25" customHeight="1" x14ac:dyDescent="0.45"/>
    <row r="15" spans="2:4" ht="17.25" customHeight="1" x14ac:dyDescent="0.45"/>
    <row r="16" spans="2:4" ht="17.25" customHeight="1" x14ac:dyDescent="0.4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99"/>
  <sheetViews>
    <sheetView showGridLines="0" zoomScale="80" zoomScaleNormal="80" workbookViewId="0">
      <pane xSplit="3" ySplit="5" topLeftCell="D6" activePane="bottomRight" state="frozen"/>
      <selection activeCell="C18" sqref="C18"/>
      <selection pane="topRight" activeCell="C18" sqref="C18"/>
      <selection pane="bottomLeft" activeCell="C18" sqref="C18"/>
      <selection pane="bottomRight"/>
    </sheetView>
  </sheetViews>
  <sheetFormatPr defaultColWidth="8.73046875" defaultRowHeight="13.15" x14ac:dyDescent="0.4"/>
  <cols>
    <col min="1" max="1" width="10.73046875" style="33" customWidth="1"/>
    <col min="2" max="2" width="11.265625" style="33" customWidth="1"/>
    <col min="3" max="3" width="10.265625" style="33" customWidth="1"/>
    <col min="4" max="5" width="13.73046875" style="2" customWidth="1"/>
    <col min="6" max="16384" width="8.73046875" style="2"/>
  </cols>
  <sheetData>
    <row r="1" spans="1:5" ht="18" x14ac:dyDescent="0.4">
      <c r="A1" s="34" t="s">
        <v>123</v>
      </c>
    </row>
    <row r="2" spans="1:5" x14ac:dyDescent="0.4">
      <c r="A2" s="35" t="s">
        <v>167</v>
      </c>
    </row>
    <row r="4" spans="1:5" s="36" customFormat="1" ht="26.25" x14ac:dyDescent="0.4">
      <c r="A4" s="2"/>
      <c r="B4" s="2"/>
      <c r="C4" s="2"/>
      <c r="D4" s="42" t="s">
        <v>120</v>
      </c>
      <c r="E4" s="42" t="s">
        <v>119</v>
      </c>
    </row>
    <row r="5" spans="1:5" ht="39.4" x14ac:dyDescent="0.4">
      <c r="A5" s="42" t="s">
        <v>166</v>
      </c>
      <c r="B5" s="42" t="s">
        <v>20</v>
      </c>
      <c r="C5" s="42" t="s">
        <v>165</v>
      </c>
      <c r="D5" s="42" t="s">
        <v>168</v>
      </c>
      <c r="E5" s="42" t="s">
        <v>169</v>
      </c>
    </row>
    <row r="6" spans="1:5" x14ac:dyDescent="0.4">
      <c r="A6" s="39" t="s">
        <v>40</v>
      </c>
      <c r="B6" s="40" t="s">
        <v>0</v>
      </c>
      <c r="C6" s="40" t="s">
        <v>15</v>
      </c>
      <c r="D6" s="37">
        <v>0.54520596091652995</v>
      </c>
      <c r="E6" s="38">
        <v>498.47770338281299</v>
      </c>
    </row>
    <row r="7" spans="1:5" x14ac:dyDescent="0.4">
      <c r="A7" s="39" t="s">
        <v>41</v>
      </c>
      <c r="B7" s="40" t="s">
        <v>0</v>
      </c>
      <c r="C7" s="40" t="s">
        <v>16</v>
      </c>
      <c r="D7" s="37">
        <v>0.44152362855790001</v>
      </c>
      <c r="E7" s="38">
        <v>579.18202511472305</v>
      </c>
    </row>
    <row r="8" spans="1:5" x14ac:dyDescent="0.4">
      <c r="A8" s="39" t="s">
        <v>42</v>
      </c>
      <c r="B8" s="40" t="s">
        <v>0</v>
      </c>
      <c r="C8" s="40" t="s">
        <v>17</v>
      </c>
      <c r="D8" s="37">
        <v>0</v>
      </c>
      <c r="E8" s="38">
        <v>637.09420862741194</v>
      </c>
    </row>
    <row r="9" spans="1:5" x14ac:dyDescent="0.4">
      <c r="A9" s="39" t="s">
        <v>43</v>
      </c>
      <c r="B9" s="40" t="s">
        <v>0</v>
      </c>
      <c r="C9" s="40" t="s">
        <v>18</v>
      </c>
      <c r="D9" s="37">
        <v>0</v>
      </c>
      <c r="E9" s="38">
        <v>622.90395098778004</v>
      </c>
    </row>
    <row r="10" spans="1:5" x14ac:dyDescent="0.4">
      <c r="A10" s="39" t="s">
        <v>44</v>
      </c>
      <c r="B10" s="40" t="s">
        <v>0</v>
      </c>
      <c r="C10" s="40" t="s">
        <v>19</v>
      </c>
      <c r="D10" s="37">
        <v>0</v>
      </c>
      <c r="E10" s="38">
        <v>476.34762997356398</v>
      </c>
    </row>
    <row r="11" spans="1:5" x14ac:dyDescent="0.4">
      <c r="A11" s="39" t="s">
        <v>45</v>
      </c>
      <c r="B11" s="40" t="s">
        <v>1</v>
      </c>
      <c r="C11" s="40" t="s">
        <v>15</v>
      </c>
      <c r="D11" s="37">
        <v>0</v>
      </c>
      <c r="E11" s="38">
        <v>349.52199999999999</v>
      </c>
    </row>
    <row r="12" spans="1:5" x14ac:dyDescent="0.4">
      <c r="A12" s="39" t="s">
        <v>46</v>
      </c>
      <c r="B12" s="40" t="s">
        <v>1</v>
      </c>
      <c r="C12" s="40" t="s">
        <v>16</v>
      </c>
      <c r="D12" s="37">
        <v>0</v>
      </c>
      <c r="E12" s="38">
        <v>369.464</v>
      </c>
    </row>
    <row r="13" spans="1:5" x14ac:dyDescent="0.4">
      <c r="A13" s="39" t="s">
        <v>47</v>
      </c>
      <c r="B13" s="40" t="s">
        <v>1</v>
      </c>
      <c r="C13" s="40" t="s">
        <v>17</v>
      </c>
      <c r="D13" s="37">
        <v>0</v>
      </c>
      <c r="E13" s="38">
        <v>361.08300000000003</v>
      </c>
    </row>
    <row r="14" spans="1:5" x14ac:dyDescent="0.4">
      <c r="A14" s="39" t="s">
        <v>48</v>
      </c>
      <c r="B14" s="40" t="s">
        <v>1</v>
      </c>
      <c r="C14" s="40" t="s">
        <v>18</v>
      </c>
      <c r="D14" s="37">
        <v>0</v>
      </c>
      <c r="E14" s="38">
        <v>337.65199999999999</v>
      </c>
    </row>
    <row r="15" spans="1:5" ht="13.9" customHeight="1" x14ac:dyDescent="0.4">
      <c r="A15" s="39" t="s">
        <v>49</v>
      </c>
      <c r="B15" s="40" t="s">
        <v>1</v>
      </c>
      <c r="C15" s="76" t="s">
        <v>19</v>
      </c>
      <c r="D15" s="37">
        <v>0</v>
      </c>
      <c r="E15" s="38">
        <v>312.16300000000001</v>
      </c>
    </row>
    <row r="16" spans="1:5" x14ac:dyDescent="0.4">
      <c r="A16" s="39" t="s">
        <v>50</v>
      </c>
      <c r="B16" s="40" t="s">
        <v>2</v>
      </c>
      <c r="C16" s="40" t="s">
        <v>15</v>
      </c>
      <c r="D16" s="37">
        <v>0.35678958785249498</v>
      </c>
      <c r="E16" s="38">
        <v>546.91416406629901</v>
      </c>
    </row>
    <row r="17" spans="1:5" x14ac:dyDescent="0.4">
      <c r="A17" s="39" t="s">
        <v>51</v>
      </c>
      <c r="B17" s="40" t="s">
        <v>2</v>
      </c>
      <c r="C17" s="40" t="s">
        <v>16</v>
      </c>
      <c r="D17" s="37">
        <v>0.35678958785249498</v>
      </c>
      <c r="E17" s="38">
        <v>511.02602983742503</v>
      </c>
    </row>
    <row r="18" spans="1:5" x14ac:dyDescent="0.4">
      <c r="A18" s="39" t="s">
        <v>52</v>
      </c>
      <c r="B18" s="40" t="s">
        <v>2</v>
      </c>
      <c r="C18" s="40" t="s">
        <v>17</v>
      </c>
      <c r="D18" s="37">
        <v>0</v>
      </c>
      <c r="E18" s="38">
        <v>491.88321983896702</v>
      </c>
    </row>
    <row r="19" spans="1:5" x14ac:dyDescent="0.4">
      <c r="A19" s="39" t="s">
        <v>53</v>
      </c>
      <c r="B19" s="40" t="s">
        <v>2</v>
      </c>
      <c r="C19" s="40" t="s">
        <v>18</v>
      </c>
      <c r="D19" s="37">
        <v>0</v>
      </c>
      <c r="E19" s="38">
        <v>466.261810421863</v>
      </c>
    </row>
    <row r="20" spans="1:5" x14ac:dyDescent="0.4">
      <c r="A20" s="39" t="s">
        <v>54</v>
      </c>
      <c r="B20" s="40" t="s">
        <v>2</v>
      </c>
      <c r="C20" s="40" t="s">
        <v>19</v>
      </c>
      <c r="D20" s="37">
        <v>0</v>
      </c>
      <c r="E20" s="38">
        <v>461.41828629616703</v>
      </c>
    </row>
    <row r="21" spans="1:5" x14ac:dyDescent="0.4">
      <c r="A21" s="39" t="s">
        <v>55</v>
      </c>
      <c r="B21" s="40" t="s">
        <v>3</v>
      </c>
      <c r="C21" s="40" t="s">
        <v>15</v>
      </c>
      <c r="D21" s="37">
        <v>0</v>
      </c>
      <c r="E21" s="38">
        <v>250.37200000000001</v>
      </c>
    </row>
    <row r="22" spans="1:5" x14ac:dyDescent="0.4">
      <c r="A22" s="39" t="s">
        <v>56</v>
      </c>
      <c r="B22" s="40" t="s">
        <v>3</v>
      </c>
      <c r="C22" s="40" t="s">
        <v>16</v>
      </c>
      <c r="D22" s="37">
        <v>0</v>
      </c>
      <c r="E22" s="38">
        <v>250.60900000000001</v>
      </c>
    </row>
    <row r="23" spans="1:5" x14ac:dyDescent="0.4">
      <c r="A23" s="39" t="s">
        <v>57</v>
      </c>
      <c r="B23" s="40" t="s">
        <v>3</v>
      </c>
      <c r="C23" s="40" t="s">
        <v>17</v>
      </c>
      <c r="D23" s="37">
        <v>0</v>
      </c>
      <c r="E23" s="38">
        <v>233.85300000000001</v>
      </c>
    </row>
    <row r="24" spans="1:5" x14ac:dyDescent="0.4">
      <c r="A24" s="39" t="s">
        <v>58</v>
      </c>
      <c r="B24" s="40" t="s">
        <v>3</v>
      </c>
      <c r="C24" s="40" t="s">
        <v>18</v>
      </c>
      <c r="D24" s="37">
        <v>0</v>
      </c>
      <c r="E24" s="38">
        <v>230.23699999999999</v>
      </c>
    </row>
    <row r="25" spans="1:5" x14ac:dyDescent="0.4">
      <c r="A25" s="39" t="s">
        <v>59</v>
      </c>
      <c r="B25" s="40" t="s">
        <v>3</v>
      </c>
      <c r="C25" s="40" t="s">
        <v>19</v>
      </c>
      <c r="D25" s="37">
        <v>0</v>
      </c>
      <c r="E25" s="38">
        <v>261.53300000000002</v>
      </c>
    </row>
    <row r="26" spans="1:5" x14ac:dyDescent="0.4">
      <c r="A26" s="39" t="s">
        <v>60</v>
      </c>
      <c r="B26" s="40" t="s">
        <v>4</v>
      </c>
      <c r="C26" s="40" t="s">
        <v>15</v>
      </c>
      <c r="D26" s="37">
        <v>0</v>
      </c>
      <c r="E26" s="38">
        <v>164.92599999999999</v>
      </c>
    </row>
    <row r="27" spans="1:5" x14ac:dyDescent="0.4">
      <c r="A27" s="39" t="s">
        <v>61</v>
      </c>
      <c r="B27" s="40" t="s">
        <v>4</v>
      </c>
      <c r="C27" s="40" t="s">
        <v>16</v>
      </c>
      <c r="D27" s="37">
        <v>0</v>
      </c>
      <c r="E27" s="38">
        <v>179.66900000000001</v>
      </c>
    </row>
    <row r="28" spans="1:5" x14ac:dyDescent="0.4">
      <c r="A28" s="39" t="s">
        <v>62</v>
      </c>
      <c r="B28" s="40" t="s">
        <v>4</v>
      </c>
      <c r="C28" s="40" t="s">
        <v>17</v>
      </c>
      <c r="D28" s="37">
        <v>0</v>
      </c>
      <c r="E28" s="38">
        <v>192.19399999999999</v>
      </c>
    </row>
    <row r="29" spans="1:5" x14ac:dyDescent="0.4">
      <c r="A29" s="39" t="s">
        <v>63</v>
      </c>
      <c r="B29" s="40" t="s">
        <v>4</v>
      </c>
      <c r="C29" s="40" t="s">
        <v>18</v>
      </c>
      <c r="D29" s="37">
        <v>0</v>
      </c>
      <c r="E29" s="38">
        <v>181.702</v>
      </c>
    </row>
    <row r="30" spans="1:5" x14ac:dyDescent="0.4">
      <c r="A30" s="39" t="s">
        <v>64</v>
      </c>
      <c r="B30" s="40" t="s">
        <v>4</v>
      </c>
      <c r="C30" s="40" t="s">
        <v>19</v>
      </c>
      <c r="D30" s="37">
        <v>0</v>
      </c>
      <c r="E30" s="38">
        <v>175.761</v>
      </c>
    </row>
    <row r="31" spans="1:5" x14ac:dyDescent="0.4">
      <c r="A31" s="39" t="s">
        <v>65</v>
      </c>
      <c r="B31" s="40" t="s">
        <v>5</v>
      </c>
      <c r="C31" s="40" t="s">
        <v>15</v>
      </c>
      <c r="D31" s="37">
        <v>0</v>
      </c>
      <c r="E31" s="38">
        <v>1070.0059304862</v>
      </c>
    </row>
    <row r="32" spans="1:5" x14ac:dyDescent="0.4">
      <c r="A32" s="39" t="s">
        <v>66</v>
      </c>
      <c r="B32" s="40" t="s">
        <v>5</v>
      </c>
      <c r="C32" s="40" t="s">
        <v>16</v>
      </c>
      <c r="D32" s="37">
        <v>0</v>
      </c>
      <c r="E32" s="38">
        <v>1195.82265311585</v>
      </c>
    </row>
    <row r="33" spans="1:5" x14ac:dyDescent="0.4">
      <c r="A33" s="39" t="s">
        <v>67</v>
      </c>
      <c r="B33" s="40" t="s">
        <v>5</v>
      </c>
      <c r="C33" s="40" t="s">
        <v>17</v>
      </c>
      <c r="D33" s="37">
        <v>0</v>
      </c>
      <c r="E33" s="38">
        <v>1164.87342744906</v>
      </c>
    </row>
    <row r="34" spans="1:5" x14ac:dyDescent="0.4">
      <c r="A34" s="39" t="s">
        <v>68</v>
      </c>
      <c r="B34" s="40" t="s">
        <v>5</v>
      </c>
      <c r="C34" s="40" t="s">
        <v>18</v>
      </c>
      <c r="D34" s="37">
        <v>0</v>
      </c>
      <c r="E34" s="38">
        <v>1136.5628313935199</v>
      </c>
    </row>
    <row r="35" spans="1:5" x14ac:dyDescent="0.4">
      <c r="A35" s="39" t="s">
        <v>69</v>
      </c>
      <c r="B35" s="40" t="s">
        <v>5</v>
      </c>
      <c r="C35" s="40" t="s">
        <v>19</v>
      </c>
      <c r="D35" s="37">
        <v>0</v>
      </c>
      <c r="E35" s="38">
        <v>1090.9390820118099</v>
      </c>
    </row>
    <row r="36" spans="1:5" x14ac:dyDescent="0.4">
      <c r="A36" s="39" t="s">
        <v>70</v>
      </c>
      <c r="B36" s="40" t="s">
        <v>6</v>
      </c>
      <c r="C36" s="40" t="s">
        <v>15</v>
      </c>
      <c r="D36" s="37">
        <v>0</v>
      </c>
      <c r="E36" s="38">
        <v>329.959</v>
      </c>
    </row>
    <row r="37" spans="1:5" x14ac:dyDescent="0.4">
      <c r="A37" s="39" t="s">
        <v>71</v>
      </c>
      <c r="B37" s="40" t="s">
        <v>6</v>
      </c>
      <c r="C37" s="40" t="s">
        <v>16</v>
      </c>
      <c r="D37" s="37">
        <v>0</v>
      </c>
      <c r="E37" s="38">
        <v>343.76</v>
      </c>
    </row>
    <row r="38" spans="1:5" x14ac:dyDescent="0.4">
      <c r="A38" s="39" t="s">
        <v>72</v>
      </c>
      <c r="B38" s="40" t="s">
        <v>6</v>
      </c>
      <c r="C38" s="40" t="s">
        <v>17</v>
      </c>
      <c r="D38" s="37">
        <v>0</v>
      </c>
      <c r="E38" s="38">
        <v>335.88499999999999</v>
      </c>
    </row>
    <row r="39" spans="1:5" x14ac:dyDescent="0.4">
      <c r="A39" s="39" t="s">
        <v>73</v>
      </c>
      <c r="B39" s="40" t="s">
        <v>6</v>
      </c>
      <c r="C39" s="40" t="s">
        <v>18</v>
      </c>
      <c r="D39" s="37">
        <v>0</v>
      </c>
      <c r="E39" s="38">
        <v>322.13900000000001</v>
      </c>
    </row>
    <row r="40" spans="1:5" x14ac:dyDescent="0.4">
      <c r="A40" s="39" t="s">
        <v>74</v>
      </c>
      <c r="B40" s="40" t="s">
        <v>6</v>
      </c>
      <c r="C40" s="40" t="s">
        <v>19</v>
      </c>
      <c r="D40" s="37">
        <v>0</v>
      </c>
      <c r="E40" s="38">
        <v>314.649</v>
      </c>
    </row>
    <row r="41" spans="1:5" x14ac:dyDescent="0.4">
      <c r="A41" s="39" t="s">
        <v>75</v>
      </c>
      <c r="B41" s="40" t="s">
        <v>7</v>
      </c>
      <c r="C41" s="40" t="s">
        <v>15</v>
      </c>
      <c r="D41" s="37">
        <v>4.1622540576923104</v>
      </c>
      <c r="E41" s="38">
        <v>136.11830693204701</v>
      </c>
    </row>
    <row r="42" spans="1:5" x14ac:dyDescent="0.4">
      <c r="A42" s="39" t="s">
        <v>76</v>
      </c>
      <c r="B42" s="40" t="s">
        <v>7</v>
      </c>
      <c r="C42" s="40" t="s">
        <v>16</v>
      </c>
      <c r="D42" s="37">
        <v>1.58140505769231</v>
      </c>
      <c r="E42" s="38">
        <v>127.600640139625</v>
      </c>
    </row>
    <row r="43" spans="1:5" x14ac:dyDescent="0.4">
      <c r="A43" s="39" t="s">
        <v>77</v>
      </c>
      <c r="B43" s="40" t="s">
        <v>7</v>
      </c>
      <c r="C43" s="40" t="s">
        <v>17</v>
      </c>
      <c r="D43" s="37">
        <v>0.76221259615384596</v>
      </c>
      <c r="E43" s="38">
        <v>146.37373859446299</v>
      </c>
    </row>
    <row r="44" spans="1:5" x14ac:dyDescent="0.4">
      <c r="A44" s="39" t="s">
        <v>78</v>
      </c>
      <c r="B44" s="40" t="s">
        <v>7</v>
      </c>
      <c r="C44" s="40" t="s">
        <v>18</v>
      </c>
      <c r="D44" s="37">
        <v>0.20707857692307699</v>
      </c>
      <c r="E44" s="38">
        <v>127.48123932778</v>
      </c>
    </row>
    <row r="45" spans="1:5" x14ac:dyDescent="0.4">
      <c r="A45" s="39" t="s">
        <v>79</v>
      </c>
      <c r="B45" s="40" t="s">
        <v>7</v>
      </c>
      <c r="C45" s="40" t="s">
        <v>19</v>
      </c>
      <c r="D45" s="37">
        <v>0.13568746153846201</v>
      </c>
      <c r="E45" s="38">
        <v>122.774642789297</v>
      </c>
    </row>
    <row r="46" spans="1:5" x14ac:dyDescent="0.4">
      <c r="A46" s="39" t="s">
        <v>80</v>
      </c>
      <c r="B46" s="40" t="s">
        <v>8</v>
      </c>
      <c r="C46" s="40" t="s">
        <v>15</v>
      </c>
      <c r="D46" s="37">
        <v>0</v>
      </c>
      <c r="E46" s="38">
        <v>414.65499999999997</v>
      </c>
    </row>
    <row r="47" spans="1:5" x14ac:dyDescent="0.4">
      <c r="A47" s="39" t="s">
        <v>81</v>
      </c>
      <c r="B47" s="40" t="s">
        <v>8</v>
      </c>
      <c r="C47" s="40" t="s">
        <v>16</v>
      </c>
      <c r="D47" s="37">
        <v>0</v>
      </c>
      <c r="E47" s="38">
        <v>412.077</v>
      </c>
    </row>
    <row r="48" spans="1:5" x14ac:dyDescent="0.4">
      <c r="A48" s="39" t="s">
        <v>82</v>
      </c>
      <c r="B48" s="40" t="s">
        <v>8</v>
      </c>
      <c r="C48" s="40" t="s">
        <v>17</v>
      </c>
      <c r="D48" s="37">
        <v>0</v>
      </c>
      <c r="E48" s="38">
        <v>420.154</v>
      </c>
    </row>
    <row r="49" spans="1:5" x14ac:dyDescent="0.4">
      <c r="A49" s="39" t="s">
        <v>83</v>
      </c>
      <c r="B49" s="40" t="s">
        <v>8</v>
      </c>
      <c r="C49" s="40" t="s">
        <v>18</v>
      </c>
      <c r="D49" s="37">
        <v>0</v>
      </c>
      <c r="E49" s="38">
        <v>402.70400000000001</v>
      </c>
    </row>
    <row r="50" spans="1:5" x14ac:dyDescent="0.4">
      <c r="A50" s="39" t="s">
        <v>84</v>
      </c>
      <c r="B50" s="40" t="s">
        <v>8</v>
      </c>
      <c r="C50" s="40" t="s">
        <v>19</v>
      </c>
      <c r="D50" s="37">
        <v>0</v>
      </c>
      <c r="E50" s="38">
        <v>374.83300000000003</v>
      </c>
    </row>
    <row r="51" spans="1:5" x14ac:dyDescent="0.4">
      <c r="A51" s="39" t="s">
        <v>85</v>
      </c>
      <c r="B51" s="40" t="s">
        <v>9</v>
      </c>
      <c r="C51" s="40" t="s">
        <v>15</v>
      </c>
      <c r="D51" s="37">
        <v>1.1100000000000001</v>
      </c>
      <c r="E51" s="38">
        <v>294.21575712666902</v>
      </c>
    </row>
    <row r="52" spans="1:5" x14ac:dyDescent="0.4">
      <c r="A52" s="39" t="s">
        <v>86</v>
      </c>
      <c r="B52" s="40" t="s">
        <v>9</v>
      </c>
      <c r="C52" s="40" t="s">
        <v>16</v>
      </c>
      <c r="D52" s="37">
        <v>1.476607</v>
      </c>
      <c r="E52" s="38">
        <v>293.25057516172097</v>
      </c>
    </row>
    <row r="53" spans="1:5" x14ac:dyDescent="0.4">
      <c r="A53" s="39" t="s">
        <v>87</v>
      </c>
      <c r="B53" s="40" t="s">
        <v>9</v>
      </c>
      <c r="C53" s="40" t="s">
        <v>17</v>
      </c>
      <c r="D53" s="37">
        <v>1.6732590000000001</v>
      </c>
      <c r="E53" s="38">
        <v>281.71299825291601</v>
      </c>
    </row>
    <row r="54" spans="1:5" x14ac:dyDescent="0.4">
      <c r="A54" s="39" t="s">
        <v>88</v>
      </c>
      <c r="B54" s="40" t="s">
        <v>9</v>
      </c>
      <c r="C54" s="40" t="s">
        <v>18</v>
      </c>
      <c r="D54" s="37">
        <v>1.623259</v>
      </c>
      <c r="E54" s="38">
        <v>263.00993647553798</v>
      </c>
    </row>
    <row r="55" spans="1:5" x14ac:dyDescent="0.4">
      <c r="A55" s="39" t="s">
        <v>89</v>
      </c>
      <c r="B55" s="40" t="s">
        <v>9</v>
      </c>
      <c r="C55" s="40" t="s">
        <v>19</v>
      </c>
      <c r="D55" s="37">
        <v>0.98495500000000002</v>
      </c>
      <c r="E55" s="38">
        <v>236.27183602763799</v>
      </c>
    </row>
    <row r="56" spans="1:5" x14ac:dyDescent="0.4">
      <c r="A56" s="39" t="s">
        <v>90</v>
      </c>
      <c r="B56" s="40" t="s">
        <v>10</v>
      </c>
      <c r="C56" s="40" t="s">
        <v>15</v>
      </c>
      <c r="D56" s="37">
        <v>1.9E-2</v>
      </c>
      <c r="E56" s="38">
        <v>90.980999999999995</v>
      </c>
    </row>
    <row r="57" spans="1:5" x14ac:dyDescent="0.4">
      <c r="A57" s="39" t="s">
        <v>91</v>
      </c>
      <c r="B57" s="40" t="s">
        <v>10</v>
      </c>
      <c r="C57" s="40" t="s">
        <v>16</v>
      </c>
      <c r="D57" s="37">
        <v>1.9E-2</v>
      </c>
      <c r="E57" s="38">
        <v>90.581999999999994</v>
      </c>
    </row>
    <row r="58" spans="1:5" x14ac:dyDescent="0.4">
      <c r="A58" s="39" t="s">
        <v>92</v>
      </c>
      <c r="B58" s="40" t="s">
        <v>10</v>
      </c>
      <c r="C58" s="40" t="s">
        <v>17</v>
      </c>
      <c r="D58" s="37">
        <v>1.9E-2</v>
      </c>
      <c r="E58" s="38">
        <v>91.372</v>
      </c>
    </row>
    <row r="59" spans="1:5" x14ac:dyDescent="0.4">
      <c r="A59" s="39" t="s">
        <v>93</v>
      </c>
      <c r="B59" s="40" t="s">
        <v>10</v>
      </c>
      <c r="C59" s="40" t="s">
        <v>18</v>
      </c>
      <c r="D59" s="37">
        <v>1.9E-2</v>
      </c>
      <c r="E59" s="38">
        <v>91.606999999999999</v>
      </c>
    </row>
    <row r="60" spans="1:5" x14ac:dyDescent="0.4">
      <c r="A60" s="39" t="s">
        <v>94</v>
      </c>
      <c r="B60" s="40" t="s">
        <v>10</v>
      </c>
      <c r="C60" s="40" t="s">
        <v>19</v>
      </c>
      <c r="D60" s="37">
        <v>1.9E-2</v>
      </c>
      <c r="E60" s="38">
        <v>92.655000000000001</v>
      </c>
    </row>
    <row r="61" spans="1:5" x14ac:dyDescent="0.4">
      <c r="A61" s="39" t="s">
        <v>95</v>
      </c>
      <c r="B61" s="40" t="s">
        <v>11</v>
      </c>
      <c r="C61" s="40" t="s">
        <v>15</v>
      </c>
      <c r="D61" s="37">
        <v>0</v>
      </c>
      <c r="E61" s="38">
        <v>40.406999999999996</v>
      </c>
    </row>
    <row r="62" spans="1:5" x14ac:dyDescent="0.4">
      <c r="A62" s="39" t="s">
        <v>96</v>
      </c>
      <c r="B62" s="40" t="s">
        <v>11</v>
      </c>
      <c r="C62" s="40" t="s">
        <v>16</v>
      </c>
      <c r="D62" s="37">
        <v>0</v>
      </c>
      <c r="E62" s="38">
        <v>38.174999999999997</v>
      </c>
    </row>
    <row r="63" spans="1:5" x14ac:dyDescent="0.4">
      <c r="A63" s="39" t="s">
        <v>97</v>
      </c>
      <c r="B63" s="40" t="s">
        <v>11</v>
      </c>
      <c r="C63" s="40" t="s">
        <v>17</v>
      </c>
      <c r="D63" s="37">
        <v>0</v>
      </c>
      <c r="E63" s="38">
        <v>38.857999999999997</v>
      </c>
    </row>
    <row r="64" spans="1:5" x14ac:dyDescent="0.4">
      <c r="A64" s="39" t="s">
        <v>98</v>
      </c>
      <c r="B64" s="40" t="s">
        <v>11</v>
      </c>
      <c r="C64" s="40" t="s">
        <v>18</v>
      </c>
      <c r="D64" s="37">
        <v>0</v>
      </c>
      <c r="E64" s="38">
        <v>51.771999999999998</v>
      </c>
    </row>
    <row r="65" spans="1:5" x14ac:dyDescent="0.4">
      <c r="A65" s="39" t="s">
        <v>99</v>
      </c>
      <c r="B65" s="40" t="s">
        <v>11</v>
      </c>
      <c r="C65" s="40" t="s">
        <v>19</v>
      </c>
      <c r="D65" s="37">
        <v>0</v>
      </c>
      <c r="E65" s="38">
        <v>54.731999999999999</v>
      </c>
    </row>
    <row r="66" spans="1:5" x14ac:dyDescent="0.4">
      <c r="A66" s="39" t="s">
        <v>100</v>
      </c>
      <c r="B66" s="40" t="s">
        <v>12</v>
      </c>
      <c r="C66" s="40" t="s">
        <v>15</v>
      </c>
      <c r="D66" s="37">
        <v>0</v>
      </c>
      <c r="E66" s="38">
        <v>52.654000000000003</v>
      </c>
    </row>
    <row r="67" spans="1:5" x14ac:dyDescent="0.4">
      <c r="A67" s="39" t="s">
        <v>101</v>
      </c>
      <c r="B67" s="40" t="s">
        <v>12</v>
      </c>
      <c r="C67" s="40" t="s">
        <v>16</v>
      </c>
      <c r="D67" s="37">
        <v>0</v>
      </c>
      <c r="E67" s="38">
        <v>57.351999999999997</v>
      </c>
    </row>
    <row r="68" spans="1:5" x14ac:dyDescent="0.4">
      <c r="A68" s="39" t="s">
        <v>102</v>
      </c>
      <c r="B68" s="40" t="s">
        <v>12</v>
      </c>
      <c r="C68" s="40" t="s">
        <v>17</v>
      </c>
      <c r="D68" s="37">
        <v>0</v>
      </c>
      <c r="E68" s="38">
        <v>51.917999999999999</v>
      </c>
    </row>
    <row r="69" spans="1:5" x14ac:dyDescent="0.4">
      <c r="A69" s="39" t="s">
        <v>103</v>
      </c>
      <c r="B69" s="40" t="s">
        <v>12</v>
      </c>
      <c r="C69" s="40" t="s">
        <v>18</v>
      </c>
      <c r="D69" s="37">
        <v>0</v>
      </c>
      <c r="E69" s="38">
        <v>46.165999999999997</v>
      </c>
    </row>
    <row r="70" spans="1:5" x14ac:dyDescent="0.4">
      <c r="A70" s="39" t="s">
        <v>104</v>
      </c>
      <c r="B70" s="40" t="s">
        <v>12</v>
      </c>
      <c r="C70" s="40" t="s">
        <v>19</v>
      </c>
      <c r="D70" s="37">
        <v>0</v>
      </c>
      <c r="E70" s="38">
        <v>45.219000000000001</v>
      </c>
    </row>
    <row r="71" spans="1:5" x14ac:dyDescent="0.4">
      <c r="A71" s="39" t="s">
        <v>105</v>
      </c>
      <c r="B71" s="40" t="s">
        <v>13</v>
      </c>
      <c r="C71" s="40" t="s">
        <v>15</v>
      </c>
      <c r="D71" s="37">
        <v>6.2690372224207103</v>
      </c>
      <c r="E71" s="38">
        <v>172.16200000000001</v>
      </c>
    </row>
    <row r="72" spans="1:5" x14ac:dyDescent="0.4">
      <c r="A72" s="39" t="s">
        <v>106</v>
      </c>
      <c r="B72" s="40" t="s">
        <v>13</v>
      </c>
      <c r="C72" s="40" t="s">
        <v>16</v>
      </c>
      <c r="D72" s="37">
        <v>4.2285857895151304</v>
      </c>
      <c r="E72" s="38">
        <v>199.673</v>
      </c>
    </row>
    <row r="73" spans="1:5" x14ac:dyDescent="0.4">
      <c r="A73" s="39" t="s">
        <v>107</v>
      </c>
      <c r="B73" s="40" t="s">
        <v>13</v>
      </c>
      <c r="C73" s="40" t="s">
        <v>17</v>
      </c>
      <c r="D73" s="37">
        <v>3.78305955327551</v>
      </c>
      <c r="E73" s="38">
        <v>208.291</v>
      </c>
    </row>
    <row r="74" spans="1:5" x14ac:dyDescent="0.4">
      <c r="A74" s="39" t="s">
        <v>108</v>
      </c>
      <c r="B74" s="40" t="s">
        <v>13</v>
      </c>
      <c r="C74" s="40" t="s">
        <v>18</v>
      </c>
      <c r="D74" s="37">
        <v>2.9720673643578301</v>
      </c>
      <c r="E74" s="38">
        <v>186.22200000000001</v>
      </c>
    </row>
    <row r="75" spans="1:5" x14ac:dyDescent="0.4">
      <c r="A75" s="39" t="s">
        <v>109</v>
      </c>
      <c r="B75" s="40" t="s">
        <v>13</v>
      </c>
      <c r="C75" s="40" t="s">
        <v>19</v>
      </c>
      <c r="D75" s="37">
        <v>2.9753686358631901</v>
      </c>
      <c r="E75" s="38">
        <v>194.59899999999999</v>
      </c>
    </row>
    <row r="76" spans="1:5" x14ac:dyDescent="0.4">
      <c r="A76" s="39" t="s">
        <v>110</v>
      </c>
      <c r="B76" s="40" t="s">
        <v>14</v>
      </c>
      <c r="C76" s="40" t="s">
        <v>15</v>
      </c>
      <c r="D76" s="37">
        <v>0</v>
      </c>
      <c r="E76" s="38">
        <v>112.527432753265</v>
      </c>
    </row>
    <row r="77" spans="1:5" x14ac:dyDescent="0.4">
      <c r="A77" s="39" t="s">
        <v>111</v>
      </c>
      <c r="B77" s="40" t="s">
        <v>14</v>
      </c>
      <c r="C77" s="40" t="s">
        <v>16</v>
      </c>
      <c r="D77" s="37">
        <v>0</v>
      </c>
      <c r="E77" s="38">
        <v>116.29561663750501</v>
      </c>
    </row>
    <row r="78" spans="1:5" x14ac:dyDescent="0.4">
      <c r="A78" s="39" t="s">
        <v>112</v>
      </c>
      <c r="B78" s="40" t="s">
        <v>14</v>
      </c>
      <c r="C78" s="40" t="s">
        <v>17</v>
      </c>
      <c r="D78" s="37">
        <v>0</v>
      </c>
      <c r="E78" s="38">
        <v>117.955781425252</v>
      </c>
    </row>
    <row r="79" spans="1:5" x14ac:dyDescent="0.4">
      <c r="A79" s="39" t="s">
        <v>113</v>
      </c>
      <c r="B79" s="40" t="s">
        <v>14</v>
      </c>
      <c r="C79" s="40" t="s">
        <v>18</v>
      </c>
      <c r="D79" s="37">
        <v>0</v>
      </c>
      <c r="E79" s="38">
        <v>94.121966414052807</v>
      </c>
    </row>
    <row r="80" spans="1:5" x14ac:dyDescent="0.4">
      <c r="A80" s="39" t="s">
        <v>114</v>
      </c>
      <c r="B80" s="40" t="s">
        <v>14</v>
      </c>
      <c r="C80" s="40" t="s">
        <v>19</v>
      </c>
      <c r="D80" s="37">
        <v>0</v>
      </c>
      <c r="E80" s="38">
        <v>97.128204442325099</v>
      </c>
    </row>
    <row r="81" spans="1:7" x14ac:dyDescent="0.4">
      <c r="A81" s="39" t="str">
        <f t="shared" ref="A81" si="0">B81&amp;RIGHT(C81,2)</f>
        <v>SVE21</v>
      </c>
      <c r="B81" s="3" t="s">
        <v>115</v>
      </c>
      <c r="C81" s="40" t="s">
        <v>15</v>
      </c>
      <c r="D81" s="37">
        <v>2.57</v>
      </c>
      <c r="E81" s="38">
        <v>575.06571742576398</v>
      </c>
    </row>
    <row r="82" spans="1:7" x14ac:dyDescent="0.4">
      <c r="A82" s="39" t="str">
        <f>B82&amp;RIGHT(C82,2)</f>
        <v>SVE22</v>
      </c>
      <c r="B82" s="3" t="s">
        <v>115</v>
      </c>
      <c r="C82" s="40" t="s">
        <v>16</v>
      </c>
      <c r="D82" s="37">
        <v>2.57</v>
      </c>
      <c r="E82" s="38">
        <v>631.12859132579104</v>
      </c>
    </row>
    <row r="83" spans="1:7" x14ac:dyDescent="0.4">
      <c r="A83" s="39" t="str">
        <f>B83&amp;RIGHT(C83,2)</f>
        <v>SVE23</v>
      </c>
      <c r="B83" s="3" t="s">
        <v>115</v>
      </c>
      <c r="C83" s="40" t="s">
        <v>17</v>
      </c>
      <c r="D83" s="37">
        <v>2.57</v>
      </c>
      <c r="E83" s="38">
        <v>643.43469392974998</v>
      </c>
    </row>
    <row r="84" spans="1:7" x14ac:dyDescent="0.4">
      <c r="A84" s="39" t="str">
        <f>B84&amp;RIGHT(C84,2)</f>
        <v>SVE24</v>
      </c>
      <c r="B84" s="3" t="s">
        <v>115</v>
      </c>
      <c r="C84" s="40" t="s">
        <v>18</v>
      </c>
      <c r="D84" s="37">
        <v>2.57</v>
      </c>
      <c r="E84" s="38">
        <v>635.41164547131598</v>
      </c>
    </row>
    <row r="85" spans="1:7" x14ac:dyDescent="0.4">
      <c r="A85" s="39" t="str">
        <f>B85&amp;RIGHT(C85,2)</f>
        <v>SVE25</v>
      </c>
      <c r="B85" s="3" t="s">
        <v>115</v>
      </c>
      <c r="C85" s="40" t="s">
        <v>19</v>
      </c>
      <c r="D85" s="37">
        <v>2.57</v>
      </c>
      <c r="E85" s="38">
        <v>630.76354224170598</v>
      </c>
    </row>
    <row r="86" spans="1:7" x14ac:dyDescent="0.4">
      <c r="A86" s="39" t="str">
        <f t="shared" ref="A86" si="1">B86&amp;RIGHT(C86,2)</f>
        <v>HDD21</v>
      </c>
      <c r="B86" s="3" t="s">
        <v>116</v>
      </c>
      <c r="C86" s="40" t="s">
        <v>15</v>
      </c>
      <c r="D86" s="37">
        <v>0</v>
      </c>
      <c r="E86" s="38">
        <v>26.872050951823599</v>
      </c>
    </row>
    <row r="87" spans="1:7" x14ac:dyDescent="0.4">
      <c r="A87" s="39" t="str">
        <f>B87&amp;RIGHT(C87,2)</f>
        <v>HDD22</v>
      </c>
      <c r="B87" s="3" t="s">
        <v>116</v>
      </c>
      <c r="C87" s="40" t="s">
        <v>16</v>
      </c>
      <c r="D87" s="37">
        <v>0</v>
      </c>
      <c r="E87" s="38">
        <v>26.692718899269298</v>
      </c>
    </row>
    <row r="88" spans="1:7" x14ac:dyDescent="0.4">
      <c r="A88" s="39" t="str">
        <f>B88&amp;RIGHT(C88,2)</f>
        <v>HDD23</v>
      </c>
      <c r="B88" s="3" t="s">
        <v>116</v>
      </c>
      <c r="C88" s="40" t="s">
        <v>17</v>
      </c>
      <c r="D88" s="37">
        <v>0</v>
      </c>
      <c r="E88" s="38">
        <v>26.203587153191499</v>
      </c>
    </row>
    <row r="89" spans="1:7" x14ac:dyDescent="0.4">
      <c r="A89" s="39" t="str">
        <f>B89&amp;RIGHT(C89,2)</f>
        <v>HDD24</v>
      </c>
      <c r="B89" s="3" t="s">
        <v>116</v>
      </c>
      <c r="C89" s="40" t="s">
        <v>18</v>
      </c>
      <c r="D89" s="37">
        <v>0</v>
      </c>
      <c r="E89" s="38">
        <v>25.616950688549899</v>
      </c>
    </row>
    <row r="90" spans="1:7" x14ac:dyDescent="0.4">
      <c r="A90" s="39" t="str">
        <f>B90&amp;RIGHT(C90,2)</f>
        <v>HDD25</v>
      </c>
      <c r="B90" s="3" t="s">
        <v>116</v>
      </c>
      <c r="C90" s="40" t="s">
        <v>19</v>
      </c>
      <c r="D90" s="37">
        <v>0</v>
      </c>
      <c r="E90" s="38">
        <v>25.9173372120738</v>
      </c>
    </row>
    <row r="91" spans="1:7" x14ac:dyDescent="0.4">
      <c r="A91" s="2"/>
      <c r="B91" s="2"/>
      <c r="C91" s="2"/>
    </row>
    <row r="92" spans="1:7" s="41" customFormat="1" x14ac:dyDescent="0.4">
      <c r="A92" s="2"/>
      <c r="B92" s="2"/>
      <c r="C92" s="2"/>
      <c r="D92" s="2"/>
      <c r="E92" s="2"/>
      <c r="F92" s="2"/>
      <c r="G92" s="2"/>
    </row>
    <row r="93" spans="1:7" x14ac:dyDescent="0.4">
      <c r="A93" s="2"/>
      <c r="B93" s="2"/>
      <c r="C93" s="2"/>
    </row>
    <row r="94" spans="1:7" x14ac:dyDescent="0.4">
      <c r="A94" s="2"/>
      <c r="B94" s="2"/>
      <c r="C94" s="2"/>
    </row>
    <row r="95" spans="1:7" x14ac:dyDescent="0.4">
      <c r="A95" s="2"/>
      <c r="B95" s="2"/>
      <c r="C95" s="2"/>
    </row>
    <row r="96" spans="1:7" x14ac:dyDescent="0.4">
      <c r="A96" s="2"/>
      <c r="B96" s="2"/>
      <c r="C96" s="2"/>
    </row>
    <row r="97" spans="1:3" x14ac:dyDescent="0.4">
      <c r="A97" s="2"/>
      <c r="B97" s="2"/>
      <c r="C97" s="2"/>
    </row>
    <row r="98" spans="1:3" x14ac:dyDescent="0.4">
      <c r="A98" s="2"/>
      <c r="B98" s="2"/>
      <c r="C98" s="2"/>
    </row>
    <row r="99" spans="1:3" x14ac:dyDescent="0.4">
      <c r="A99" s="2"/>
      <c r="B99" s="2"/>
      <c r="C99"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3"/>
  <sheetViews>
    <sheetView showGridLines="0" zoomScale="80" zoomScaleNormal="80" workbookViewId="0"/>
  </sheetViews>
  <sheetFormatPr defaultColWidth="9" defaultRowHeight="13.15" x14ac:dyDescent="0.4"/>
  <cols>
    <col min="1" max="1" width="2.73046875" style="2" customWidth="1"/>
    <col min="2" max="2" width="9" style="2"/>
    <col min="3" max="3" width="15" style="2" bestFit="1" customWidth="1"/>
    <col min="4" max="4" width="12.73046875" style="2" customWidth="1"/>
    <col min="5" max="6" width="11.265625" style="2" customWidth="1"/>
    <col min="7" max="7" width="5.73046875" style="2" customWidth="1"/>
    <col min="8" max="8" width="12.73046875" style="2" customWidth="1"/>
    <col min="9" max="9" width="5.73046875" style="2" customWidth="1"/>
    <col min="10" max="10" width="12.265625" style="2" customWidth="1"/>
    <col min="11" max="16384" width="9" style="2"/>
  </cols>
  <sheetData>
    <row r="1" spans="1:10" ht="18" x14ac:dyDescent="0.4">
      <c r="A1" s="34" t="s">
        <v>176</v>
      </c>
    </row>
    <row r="2" spans="1:10" ht="15.75" x14ac:dyDescent="0.4">
      <c r="A2" s="73" t="s">
        <v>178</v>
      </c>
    </row>
    <row r="5" spans="1:10" x14ac:dyDescent="0.4">
      <c r="B5" s="5" t="s">
        <v>170</v>
      </c>
    </row>
    <row r="7" spans="1:10" ht="39.4" x14ac:dyDescent="0.4">
      <c r="C7" s="50" t="s">
        <v>171</v>
      </c>
      <c r="D7" s="50" t="s">
        <v>169</v>
      </c>
      <c r="E7" s="50" t="s">
        <v>125</v>
      </c>
      <c r="F7" s="50" t="s">
        <v>124</v>
      </c>
      <c r="H7" s="54" t="s">
        <v>182</v>
      </c>
      <c r="J7" s="54" t="s">
        <v>177</v>
      </c>
    </row>
    <row r="8" spans="1:10" x14ac:dyDescent="0.4">
      <c r="B8" s="24" t="s">
        <v>0</v>
      </c>
      <c r="C8" s="45">
        <f>SUMIF(Data!$B$6:$B$90,$B8,Data!$D$6:$D$90)</f>
        <v>0.9867295894744299</v>
      </c>
      <c r="D8" s="46">
        <f>SUMIF(Data!$B$6:$B$90,Analysis!$B8,Data!$E$6:$E$90)</f>
        <v>2814.0055180862919</v>
      </c>
      <c r="E8" s="47">
        <f>C8/D8</f>
        <v>3.506494863398387E-4</v>
      </c>
      <c r="F8" s="43" t="s">
        <v>39</v>
      </c>
      <c r="H8" s="51"/>
      <c r="J8" s="55">
        <f>C8*(1-H8)</f>
        <v>0.9867295894744299</v>
      </c>
    </row>
    <row r="9" spans="1:10" x14ac:dyDescent="0.4">
      <c r="B9" s="24" t="s">
        <v>116</v>
      </c>
      <c r="C9" s="45">
        <f>SUMIF(Data!$B$6:$B$90,$B9,Data!$D$6:$D$90)</f>
        <v>0</v>
      </c>
      <c r="D9" s="46">
        <f>SUMIF(Data!$B$6:$B$90,Analysis!$B9,Data!$E$6:$E$90)</f>
        <v>131.30264490490808</v>
      </c>
      <c r="E9" s="47">
        <f t="shared" ref="E9:E10" si="0">C9/D9</f>
        <v>0</v>
      </c>
      <c r="F9" s="43"/>
      <c r="H9" s="51"/>
      <c r="J9" s="55">
        <v>0</v>
      </c>
    </row>
    <row r="10" spans="1:10" x14ac:dyDescent="0.4">
      <c r="B10" s="24" t="s">
        <v>1</v>
      </c>
      <c r="C10" s="45">
        <f>SUMIF(Data!$B$6:$B$90,$B10,Data!$D$6:$D$90)</f>
        <v>0</v>
      </c>
      <c r="D10" s="46">
        <f>SUMIF(Data!$B$6:$B$90,Analysis!$B10,Data!$E$6:$E$90)</f>
        <v>1729.884</v>
      </c>
      <c r="E10" s="47">
        <f t="shared" si="0"/>
        <v>0</v>
      </c>
      <c r="F10" s="43"/>
      <c r="H10" s="51"/>
      <c r="J10" s="55">
        <v>0</v>
      </c>
    </row>
    <row r="11" spans="1:10" x14ac:dyDescent="0.4">
      <c r="B11" s="24" t="s">
        <v>2</v>
      </c>
      <c r="C11" s="45">
        <f>SUMIF(Data!$B$6:$B$90,$B11,Data!$D$6:$D$90)</f>
        <v>0.71357917570498997</v>
      </c>
      <c r="D11" s="46">
        <f>SUMIF(Data!$B$6:$B$90,Analysis!$B11,Data!$E$6:$E$90)</f>
        <v>2477.5035104607214</v>
      </c>
      <c r="E11" s="47">
        <f t="shared" ref="E11:E25" si="1">C11/D11</f>
        <v>2.8802347713819846E-4</v>
      </c>
      <c r="F11" s="43" t="s">
        <v>39</v>
      </c>
      <c r="H11" s="51"/>
      <c r="J11" s="55">
        <f>C11*(1-H11)</f>
        <v>0.71357917570498997</v>
      </c>
    </row>
    <row r="12" spans="1:10" x14ac:dyDescent="0.4">
      <c r="B12" s="24" t="s">
        <v>3</v>
      </c>
      <c r="C12" s="45">
        <f>SUMIF(Data!$B$6:$B$90,$B12,Data!$D$6:$D$90)</f>
        <v>0</v>
      </c>
      <c r="D12" s="46">
        <f>SUMIF(Data!$B$6:$B$90,Analysis!$B12,Data!$E$6:$E$90)</f>
        <v>1226.604</v>
      </c>
      <c r="E12" s="47">
        <f t="shared" si="1"/>
        <v>0</v>
      </c>
      <c r="F12" s="43"/>
      <c r="H12" s="51"/>
      <c r="J12" s="55">
        <v>0</v>
      </c>
    </row>
    <row r="13" spans="1:10" x14ac:dyDescent="0.4">
      <c r="B13" s="24" t="s">
        <v>115</v>
      </c>
      <c r="C13" s="45">
        <f>SUMIF(Data!$B$6:$B$90,$B13,Data!$D$6:$D$90)</f>
        <v>12.85</v>
      </c>
      <c r="D13" s="46">
        <f>SUMIF(Data!$B$6:$B$90,Analysis!$B13,Data!$E$6:$E$90)</f>
        <v>3115.8041903943272</v>
      </c>
      <c r="E13" s="47">
        <f t="shared" si="1"/>
        <v>4.1241359260043037E-3</v>
      </c>
      <c r="F13" s="43" t="s">
        <v>39</v>
      </c>
      <c r="H13" s="51"/>
      <c r="J13" s="55">
        <f>C13*(1-H13)</f>
        <v>12.85</v>
      </c>
    </row>
    <row r="14" spans="1:10" x14ac:dyDescent="0.4">
      <c r="B14" s="24" t="s">
        <v>4</v>
      </c>
      <c r="C14" s="45">
        <f>SUMIF(Data!$B$6:$B$90,$B14,Data!$D$6:$D$90)</f>
        <v>0</v>
      </c>
      <c r="D14" s="46">
        <f>SUMIF(Data!$B$6:$B$90,Analysis!$B14,Data!$E$6:$E$90)</f>
        <v>894.25199999999995</v>
      </c>
      <c r="E14" s="47">
        <f t="shared" si="1"/>
        <v>0</v>
      </c>
      <c r="F14" s="43"/>
      <c r="H14" s="51"/>
      <c r="J14" s="55">
        <v>0</v>
      </c>
    </row>
    <row r="15" spans="1:10" x14ac:dyDescent="0.4">
      <c r="B15" s="24" t="s">
        <v>5</v>
      </c>
      <c r="C15" s="45">
        <f>SUMIF(Data!$B$6:$B$90,$B15,Data!$D$6:$D$90)</f>
        <v>0</v>
      </c>
      <c r="D15" s="46">
        <f>SUMIF(Data!$B$6:$B$90,Analysis!$B15,Data!$E$6:$E$90)</f>
        <v>5658.2039244564403</v>
      </c>
      <c r="E15" s="47">
        <f t="shared" si="1"/>
        <v>0</v>
      </c>
      <c r="F15" s="43"/>
      <c r="H15" s="51"/>
      <c r="J15" s="55">
        <v>0</v>
      </c>
    </row>
    <row r="16" spans="1:10" x14ac:dyDescent="0.4">
      <c r="B16" s="24" t="s">
        <v>6</v>
      </c>
      <c r="C16" s="45">
        <f>SUMIF(Data!$B$6:$B$90,$B16,Data!$D$6:$D$90)</f>
        <v>0</v>
      </c>
      <c r="D16" s="46">
        <f>SUMIF(Data!$B$6:$B$90,Analysis!$B16,Data!$E$6:$E$90)</f>
        <v>1646.3919999999998</v>
      </c>
      <c r="E16" s="47">
        <f t="shared" si="1"/>
        <v>0</v>
      </c>
      <c r="F16" s="43"/>
      <c r="H16" s="51"/>
      <c r="J16" s="55">
        <v>0</v>
      </c>
    </row>
    <row r="17" spans="2:10" x14ac:dyDescent="0.4">
      <c r="B17" s="24" t="s">
        <v>7</v>
      </c>
      <c r="C17" s="45">
        <f>SUMIF(Data!$B$6:$B$90,$B17,Data!$D$6:$D$90)</f>
        <v>6.8486377500000053</v>
      </c>
      <c r="D17" s="46">
        <f>SUMIF(Data!$B$6:$B$90,Analysis!$B17,Data!$E$6:$E$90)</f>
        <v>660.34856778321205</v>
      </c>
      <c r="E17" s="47">
        <f t="shared" si="1"/>
        <v>1.0371246466076029E-2</v>
      </c>
      <c r="F17" s="43" t="s">
        <v>148</v>
      </c>
      <c r="H17" s="51">
        <v>0</v>
      </c>
      <c r="J17" s="55"/>
    </row>
    <row r="18" spans="2:10" x14ac:dyDescent="0.4">
      <c r="B18" s="24" t="s">
        <v>8</v>
      </c>
      <c r="C18" s="45">
        <f>SUMIF(Data!$B$6:$B$90,$B18,Data!$D$6:$D$90)</f>
        <v>0</v>
      </c>
      <c r="D18" s="46">
        <f>SUMIF(Data!$B$6:$B$90,Analysis!$B18,Data!$E$6:$E$90)</f>
        <v>2024.423</v>
      </c>
      <c r="E18" s="47">
        <f t="shared" si="1"/>
        <v>0</v>
      </c>
      <c r="F18" s="43"/>
      <c r="H18" s="51"/>
      <c r="J18" s="55">
        <v>0</v>
      </c>
    </row>
    <row r="19" spans="2:10" x14ac:dyDescent="0.4">
      <c r="B19" s="24" t="s">
        <v>9</v>
      </c>
      <c r="C19" s="45">
        <f>SUMIF(Data!$B$6:$B$90,$B19,Data!$D$6:$D$90)</f>
        <v>6.86808</v>
      </c>
      <c r="D19" s="46">
        <f>SUMIF(Data!$B$6:$B$90,Analysis!$B19,Data!$E$6:$E$90)</f>
        <v>1368.4611030444821</v>
      </c>
      <c r="E19" s="47">
        <f t="shared" si="1"/>
        <v>5.0188346491692364E-3</v>
      </c>
      <c r="F19" s="43" t="s">
        <v>148</v>
      </c>
      <c r="H19" s="51">
        <v>6.0705358641883776E-2</v>
      </c>
      <c r="J19" s="55"/>
    </row>
    <row r="20" spans="2:10" x14ac:dyDescent="0.4">
      <c r="B20" s="24" t="s">
        <v>10</v>
      </c>
      <c r="C20" s="45">
        <f>SUMIF(Data!$B$6:$B$90,$B20,Data!$D$6:$D$90)</f>
        <v>9.5000000000000001E-2</v>
      </c>
      <c r="D20" s="46">
        <f>SUMIF(Data!$B$6:$B$90,Analysis!$B20,Data!$E$6:$E$90)</f>
        <v>457.197</v>
      </c>
      <c r="E20" s="47">
        <f t="shared" si="1"/>
        <v>2.077878901217637E-4</v>
      </c>
      <c r="F20" s="43" t="s">
        <v>39</v>
      </c>
      <c r="H20" s="51"/>
      <c r="J20" s="55">
        <f>C20*(1-H20)</f>
        <v>9.5000000000000001E-2</v>
      </c>
    </row>
    <row r="21" spans="2:10" x14ac:dyDescent="0.4">
      <c r="B21" s="24" t="s">
        <v>11</v>
      </c>
      <c r="C21" s="45">
        <f>SUMIF(Data!$B$6:$B$90,$B21,Data!$D$6:$D$90)</f>
        <v>0</v>
      </c>
      <c r="D21" s="46">
        <f>SUMIF(Data!$B$6:$B$90,Analysis!$B21,Data!$E$6:$E$90)</f>
        <v>223.94399999999999</v>
      </c>
      <c r="E21" s="47">
        <f t="shared" si="1"/>
        <v>0</v>
      </c>
      <c r="F21" s="43"/>
      <c r="H21" s="51"/>
      <c r="J21" s="55">
        <v>0</v>
      </c>
    </row>
    <row r="22" spans="2:10" x14ac:dyDescent="0.4">
      <c r="B22" s="24" t="s">
        <v>12</v>
      </c>
      <c r="C22" s="45">
        <f>SUMIF(Data!$B$6:$B$90,$B22,Data!$D$6:$D$90)</f>
        <v>0</v>
      </c>
      <c r="D22" s="46">
        <f>SUMIF(Data!$B$6:$B$90,Analysis!$B22,Data!$E$6:$E$90)</f>
        <v>253.309</v>
      </c>
      <c r="E22" s="47">
        <f t="shared" si="1"/>
        <v>0</v>
      </c>
      <c r="F22" s="43"/>
      <c r="H22" s="51"/>
      <c r="J22" s="55">
        <v>0</v>
      </c>
    </row>
    <row r="23" spans="2:10" x14ac:dyDescent="0.4">
      <c r="B23" s="24" t="s">
        <v>13</v>
      </c>
      <c r="C23" s="45">
        <f>SUMIF(Data!$B$6:$B$90,$B23,Data!$D$6:$D$90)</f>
        <v>20.228118565432371</v>
      </c>
      <c r="D23" s="46">
        <f>SUMIF(Data!$B$6:$B$90,Analysis!$B23,Data!$E$6:$E$90)</f>
        <v>960.94699999999989</v>
      </c>
      <c r="E23" s="47">
        <f t="shared" si="1"/>
        <v>2.1050191701969385E-2</v>
      </c>
      <c r="F23" s="43" t="s">
        <v>148</v>
      </c>
      <c r="H23" s="51">
        <v>8.5623557290976458E-3</v>
      </c>
      <c r="J23" s="55"/>
    </row>
    <row r="24" spans="2:10" x14ac:dyDescent="0.4">
      <c r="B24" s="24" t="s">
        <v>14</v>
      </c>
      <c r="C24" s="45">
        <f>SUMIF(Data!$B$6:$B$90,$B24,Data!$D$6:$D$90)</f>
        <v>0</v>
      </c>
      <c r="D24" s="46">
        <f>SUMIF(Data!$B$6:$B$90,Analysis!$B24,Data!$E$6:$E$90)</f>
        <v>538.02900167239989</v>
      </c>
      <c r="E24" s="47">
        <f t="shared" si="1"/>
        <v>0</v>
      </c>
      <c r="F24" s="43"/>
      <c r="H24" s="51"/>
      <c r="J24" s="55">
        <v>0</v>
      </c>
    </row>
    <row r="25" spans="2:10" x14ac:dyDescent="0.4">
      <c r="B25" s="44" t="s">
        <v>132</v>
      </c>
      <c r="C25" s="48">
        <f>SUM(C8:C24)</f>
        <v>48.590145080611791</v>
      </c>
      <c r="D25" s="48">
        <f>SUM(D8:D24)</f>
        <v>26180.610460802778</v>
      </c>
      <c r="E25" s="49">
        <f t="shared" si="1"/>
        <v>1.8559592089481731E-3</v>
      </c>
    </row>
    <row r="33" spans="9:9" x14ac:dyDescent="0.4">
      <c r="I33" s="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sheetPr>
  <dimension ref="B1:X44"/>
  <sheetViews>
    <sheetView showGridLines="0" zoomScale="80" zoomScaleNormal="80" workbookViewId="0"/>
  </sheetViews>
  <sheetFormatPr defaultColWidth="8.73046875" defaultRowHeight="13.15" x14ac:dyDescent="0.4"/>
  <cols>
    <col min="1" max="1" width="2.265625" style="2" customWidth="1"/>
    <col min="2" max="2" width="37.73046875" style="2" customWidth="1"/>
    <col min="3" max="3" width="16.73046875" style="2" customWidth="1"/>
    <col min="4" max="4" width="83.265625" style="2" customWidth="1"/>
    <col min="5" max="5" width="5.73046875" style="2" customWidth="1"/>
    <col min="6" max="6" width="26.73046875" style="2" customWidth="1"/>
    <col min="7" max="8" width="8.73046875" style="2" customWidth="1"/>
    <col min="9" max="9" width="21.265625" style="2" customWidth="1"/>
    <col min="10" max="14" width="8.73046875" style="2" customWidth="1"/>
    <col min="15" max="16" width="8.73046875" style="2"/>
    <col min="17" max="17" width="39.265625" style="2" bestFit="1" customWidth="1"/>
    <col min="18" max="18" width="11.73046875" style="2" bestFit="1" customWidth="1"/>
    <col min="19" max="20" width="8.73046875" style="2"/>
    <col min="21" max="21" width="39.265625" style="2" customWidth="1"/>
    <col min="22" max="22" width="11.73046875" style="2" bestFit="1" customWidth="1"/>
    <col min="23" max="23" width="8.73046875" style="2" customWidth="1"/>
    <col min="24" max="24" width="39" style="2" bestFit="1" customWidth="1"/>
    <col min="25" max="16384" width="8.73046875" style="2"/>
  </cols>
  <sheetData>
    <row r="1" spans="2:24" s="58" customFormat="1" ht="18" x14ac:dyDescent="0.4">
      <c r="B1" s="1" t="s">
        <v>173</v>
      </c>
      <c r="C1" s="1"/>
      <c r="D1" s="1"/>
      <c r="E1" s="1"/>
      <c r="F1" s="1"/>
      <c r="G1" s="2"/>
      <c r="H1" s="56"/>
      <c r="I1" s="57"/>
      <c r="S1" s="58" t="s">
        <v>164</v>
      </c>
    </row>
    <row r="2" spans="2:24" s="58" customFormat="1" ht="18" x14ac:dyDescent="0.4">
      <c r="B2" s="5"/>
      <c r="C2" s="59"/>
      <c r="D2" s="59"/>
      <c r="E2" s="2"/>
      <c r="F2" s="2"/>
      <c r="G2" s="2"/>
      <c r="H2" s="56"/>
      <c r="I2" s="57"/>
    </row>
    <row r="3" spans="2:24" s="58" customFormat="1" ht="18" x14ac:dyDescent="0.4">
      <c r="B3" s="5" t="s">
        <v>172</v>
      </c>
      <c r="C3" s="59"/>
      <c r="D3" s="59"/>
      <c r="E3" s="2"/>
      <c r="F3" s="2"/>
      <c r="G3" s="2"/>
      <c r="H3" s="56"/>
      <c r="I3" s="57"/>
      <c r="J3" s="83" t="s">
        <v>181</v>
      </c>
      <c r="K3" s="83"/>
      <c r="L3" s="83"/>
      <c r="M3" s="83"/>
      <c r="N3" s="83"/>
    </row>
    <row r="4" spans="2:24" ht="13.15" customHeight="1" x14ac:dyDescent="0.4">
      <c r="B4" s="60" t="s">
        <v>20</v>
      </c>
      <c r="C4" s="61" t="s">
        <v>9</v>
      </c>
      <c r="D4" s="62"/>
      <c r="I4" s="43" t="s">
        <v>140</v>
      </c>
      <c r="J4" s="43">
        <v>1.1100000000000001</v>
      </c>
      <c r="K4" s="43">
        <v>1.4770000000000001</v>
      </c>
      <c r="L4" s="43">
        <v>1.673</v>
      </c>
      <c r="M4" s="43">
        <v>1.623</v>
      </c>
      <c r="N4" s="43">
        <v>0.98499999999999999</v>
      </c>
      <c r="O4" s="2">
        <f>SUM(J4:N4)</f>
        <v>6.8680000000000003</v>
      </c>
      <c r="Q4" s="84" t="s">
        <v>187</v>
      </c>
      <c r="R4" s="84" t="s">
        <v>179</v>
      </c>
      <c r="S4" s="84" t="s">
        <v>180</v>
      </c>
      <c r="U4" s="84" t="s">
        <v>188</v>
      </c>
      <c r="V4" s="84" t="s">
        <v>179</v>
      </c>
      <c r="W4" s="84" t="s">
        <v>180</v>
      </c>
    </row>
    <row r="5" spans="2:24" ht="31.35" customHeight="1" x14ac:dyDescent="0.4">
      <c r="B5" s="60" t="s">
        <v>22</v>
      </c>
      <c r="C5" s="63" t="s">
        <v>36</v>
      </c>
      <c r="D5" s="62"/>
      <c r="I5" s="43" t="s">
        <v>141</v>
      </c>
      <c r="J5" s="43">
        <v>0</v>
      </c>
      <c r="K5" s="43">
        <v>0</v>
      </c>
      <c r="L5" s="43">
        <v>0</v>
      </c>
      <c r="M5" s="43">
        <v>0</v>
      </c>
      <c r="N5" s="43">
        <v>0</v>
      </c>
      <c r="O5" s="2">
        <f t="shared" ref="O5:O7" si="0">SUM(J5:N5)</f>
        <v>0</v>
      </c>
      <c r="Q5" s="84"/>
      <c r="R5" s="84"/>
      <c r="S5" s="84"/>
      <c r="U5" s="84"/>
      <c r="V5" s="84"/>
      <c r="W5" s="84"/>
    </row>
    <row r="6" spans="2:24" ht="13.15" customHeight="1" x14ac:dyDescent="0.4">
      <c r="B6" s="60" t="s">
        <v>118</v>
      </c>
      <c r="C6" s="28">
        <f>Analysis!C19</f>
        <v>6.86808</v>
      </c>
      <c r="I6" s="43" t="s">
        <v>142</v>
      </c>
      <c r="J6" s="43">
        <v>0</v>
      </c>
      <c r="K6" s="43">
        <v>0</v>
      </c>
      <c r="L6" s="43">
        <v>0</v>
      </c>
      <c r="M6" s="43">
        <v>0</v>
      </c>
      <c r="N6" s="43">
        <v>0</v>
      </c>
      <c r="O6" s="2">
        <f t="shared" si="0"/>
        <v>0</v>
      </c>
      <c r="Q6" s="64" t="s">
        <v>153</v>
      </c>
      <c r="R6" s="65">
        <v>1</v>
      </c>
      <c r="S6" s="43">
        <v>0.54</v>
      </c>
      <c r="U6" s="64" t="s">
        <v>153</v>
      </c>
      <c r="V6" s="65">
        <v>1</v>
      </c>
      <c r="W6" s="43">
        <v>0.54</v>
      </c>
      <c r="X6" s="66" t="s">
        <v>163</v>
      </c>
    </row>
    <row r="7" spans="2:24" ht="38.85" customHeight="1" x14ac:dyDescent="0.4">
      <c r="B7" s="43" t="s">
        <v>38</v>
      </c>
      <c r="C7" s="28">
        <f>(C6-0.538)*0.8*(1-Analysis!H19)</f>
        <v>4.7566481786945474</v>
      </c>
      <c r="D7" s="4" t="s">
        <v>189</v>
      </c>
      <c r="I7" s="43" t="s">
        <v>143</v>
      </c>
      <c r="J7" s="43">
        <v>0</v>
      </c>
      <c r="K7" s="43">
        <v>0</v>
      </c>
      <c r="L7" s="43">
        <v>0</v>
      </c>
      <c r="M7" s="43">
        <v>0</v>
      </c>
      <c r="N7" s="43">
        <v>0</v>
      </c>
      <c r="O7" s="2">
        <f t="shared" si="0"/>
        <v>0</v>
      </c>
      <c r="Q7" s="64" t="s">
        <v>154</v>
      </c>
      <c r="R7" s="65">
        <v>1</v>
      </c>
      <c r="S7" s="43">
        <v>6.33</v>
      </c>
    </row>
    <row r="8" spans="2:24" x14ac:dyDescent="0.4">
      <c r="B8" s="5"/>
      <c r="J8" s="2">
        <f>SUM(J4:J7)</f>
        <v>1.1100000000000001</v>
      </c>
      <c r="K8" s="2">
        <f t="shared" ref="K8:N8" si="1">SUM(K4:K7)</f>
        <v>1.4770000000000001</v>
      </c>
      <c r="L8" s="2">
        <f t="shared" si="1"/>
        <v>1.673</v>
      </c>
      <c r="M8" s="2">
        <f t="shared" si="1"/>
        <v>1.623</v>
      </c>
      <c r="N8" s="2">
        <f t="shared" si="1"/>
        <v>0.98499999999999999</v>
      </c>
      <c r="O8" s="2">
        <f>SUM(O4:O7)</f>
        <v>6.8680000000000003</v>
      </c>
      <c r="S8" s="2">
        <f>SUM(S6:S7)</f>
        <v>6.87</v>
      </c>
    </row>
    <row r="9" spans="2:24" x14ac:dyDescent="0.4">
      <c r="B9" s="67" t="s">
        <v>23</v>
      </c>
      <c r="F9" s="5" t="s">
        <v>24</v>
      </c>
    </row>
    <row r="10" spans="2:24" ht="243" customHeight="1" x14ac:dyDescent="0.4">
      <c r="B10" s="60" t="s">
        <v>25</v>
      </c>
      <c r="C10" s="60" t="s">
        <v>117</v>
      </c>
      <c r="D10" s="53" t="s">
        <v>194</v>
      </c>
      <c r="F10" s="53" t="s">
        <v>158</v>
      </c>
      <c r="N10" s="68"/>
    </row>
    <row r="11" spans="2:24" x14ac:dyDescent="0.4">
      <c r="B11" s="60" t="s">
        <v>28</v>
      </c>
      <c r="C11" s="60" t="s">
        <v>26</v>
      </c>
      <c r="D11" s="53"/>
      <c r="F11" s="53"/>
      <c r="N11" s="68"/>
      <c r="O11" s="16"/>
    </row>
    <row r="12" spans="2:24" ht="91.9" x14ac:dyDescent="0.4">
      <c r="B12" s="60" t="s">
        <v>29</v>
      </c>
      <c r="C12" s="60" t="s">
        <v>26</v>
      </c>
      <c r="D12" s="53" t="s">
        <v>190</v>
      </c>
      <c r="F12" s="53" t="s">
        <v>159</v>
      </c>
    </row>
    <row r="13" spans="2:24" ht="112.5" customHeight="1" x14ac:dyDescent="0.4">
      <c r="B13" s="60" t="s">
        <v>30</v>
      </c>
      <c r="C13" s="60" t="s">
        <v>37</v>
      </c>
      <c r="D13" s="53" t="s">
        <v>191</v>
      </c>
      <c r="F13" s="53" t="s">
        <v>162</v>
      </c>
    </row>
    <row r="14" spans="2:24" ht="154.5" customHeight="1" x14ac:dyDescent="0.4">
      <c r="B14" s="60" t="s">
        <v>31</v>
      </c>
      <c r="C14" s="60" t="s">
        <v>117</v>
      </c>
      <c r="D14" s="53" t="s">
        <v>195</v>
      </c>
      <c r="F14" s="53" t="s">
        <v>155</v>
      </c>
    </row>
    <row r="15" spans="2:24" ht="73.5" customHeight="1" x14ac:dyDescent="0.4">
      <c r="B15" s="60" t="s">
        <v>32</v>
      </c>
      <c r="C15" s="60" t="s">
        <v>37</v>
      </c>
      <c r="D15" s="69" t="s">
        <v>161</v>
      </c>
      <c r="F15" s="53" t="s">
        <v>160</v>
      </c>
    </row>
    <row r="16" spans="2:24" x14ac:dyDescent="0.4">
      <c r="B16" s="60" t="s">
        <v>33</v>
      </c>
      <c r="C16" s="60" t="s">
        <v>26</v>
      </c>
      <c r="D16" s="69"/>
      <c r="F16" s="53"/>
    </row>
    <row r="17" spans="2:6" x14ac:dyDescent="0.4">
      <c r="B17" s="60" t="s">
        <v>34</v>
      </c>
      <c r="C17" s="60" t="s">
        <v>26</v>
      </c>
      <c r="D17" s="69"/>
      <c r="F17" s="53"/>
    </row>
    <row r="18" spans="2:6" x14ac:dyDescent="0.4">
      <c r="B18" s="70"/>
      <c r="C18" s="70"/>
      <c r="D18" s="70"/>
      <c r="F18" s="70"/>
    </row>
    <row r="19" spans="2:6" x14ac:dyDescent="0.4">
      <c r="B19" s="67"/>
      <c r="C19" s="70"/>
      <c r="D19" s="70"/>
      <c r="F19" s="70"/>
    </row>
    <row r="20" spans="2:6" x14ac:dyDescent="0.4">
      <c r="B20" s="70"/>
      <c r="C20" s="70"/>
      <c r="D20" s="70"/>
      <c r="F20" s="70"/>
    </row>
    <row r="21" spans="2:6" ht="14.25" x14ac:dyDescent="0.4">
      <c r="B21" s="70"/>
      <c r="C21" s="75"/>
      <c r="D21" s="70"/>
      <c r="F21" s="70"/>
    </row>
    <row r="22" spans="2:6" ht="14.25" x14ac:dyDescent="0.45">
      <c r="B22" s="70"/>
      <c r="C22" s="70"/>
      <c r="D22" s="70"/>
      <c r="E22" s="52"/>
      <c r="F22" s="70"/>
    </row>
    <row r="23" spans="2:6" x14ac:dyDescent="0.4">
      <c r="B23" s="70"/>
      <c r="C23" s="70"/>
      <c r="D23" s="70"/>
      <c r="F23" s="70"/>
    </row>
    <row r="24" spans="2:6" x14ac:dyDescent="0.4">
      <c r="B24" s="70"/>
      <c r="C24" s="70"/>
      <c r="D24" s="70"/>
      <c r="F24" s="70"/>
    </row>
    <row r="25" spans="2:6" x14ac:dyDescent="0.4">
      <c r="B25" s="70"/>
      <c r="C25" s="70"/>
      <c r="D25" s="70"/>
      <c r="F25" s="70"/>
    </row>
    <row r="36" spans="2:14" x14ac:dyDescent="0.4">
      <c r="B36" s="5"/>
    </row>
    <row r="39" spans="2:14" x14ac:dyDescent="0.4">
      <c r="B39" s="5"/>
    </row>
    <row r="44" spans="2:14" x14ac:dyDescent="0.4">
      <c r="N44" s="56"/>
    </row>
  </sheetData>
  <mergeCells count="7">
    <mergeCell ref="J3:N3"/>
    <mergeCell ref="Q4:Q5"/>
    <mergeCell ref="S4:S5"/>
    <mergeCell ref="U4:U5"/>
    <mergeCell ref="W4:W5"/>
    <mergeCell ref="V4:V5"/>
    <mergeCell ref="R4:R5"/>
  </mergeCells>
  <dataValidations count="4">
    <dataValidation type="list" allowBlank="1" showInputMessage="1" showErrorMessage="1" sqref="C10:C17">
      <formula1>"Pass, Partial pass, Fail, ,Not assessed, N/A"</formula1>
    </dataValidation>
    <dataValidation type="list" allowBlank="1" showInputMessage="1" showErrorMessage="1" sqref="C5">
      <formula1>"Wholesale water, Wholesale wastewater"</formula1>
    </dataValidation>
    <dataValidation type="list" allowBlank="1" showInputMessage="1" showErrorMessage="1" sqref="C18:C25">
      <formula1>"Pass,Marginal pass, Partial pass, Fail, ,Not assessed, N/A"</formula1>
    </dataValidation>
    <dataValidation type="list" allowBlank="1" showInputMessage="1" showErrorMessage="1" sqref="C4">
      <formula1>"ANH,NES,NWT,SRN,SVE,SWB,TMS,WSH,WSX,YKY,AFW,BRL,HDD,PRT,SES,SEW,SSC"</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B1:G39"/>
  <sheetViews>
    <sheetView showGridLines="0" zoomScaleNormal="100" workbookViewId="0"/>
  </sheetViews>
  <sheetFormatPr defaultColWidth="8.73046875" defaultRowHeight="13.15" x14ac:dyDescent="0.4"/>
  <cols>
    <col min="1" max="1" width="2.265625" style="2" customWidth="1"/>
    <col min="2" max="2" width="37.73046875" style="2" customWidth="1"/>
    <col min="3" max="3" width="16.73046875" style="2" customWidth="1"/>
    <col min="4" max="4" width="68.265625" style="2" customWidth="1"/>
    <col min="5" max="5" width="8.73046875" style="2" customWidth="1"/>
    <col min="6" max="6" width="37.265625" style="2" customWidth="1"/>
    <col min="7" max="7" width="8.73046875" style="2" customWidth="1"/>
    <col min="8" max="16384" width="8.73046875" style="2"/>
  </cols>
  <sheetData>
    <row r="1" spans="2:7" s="58" customFormat="1" ht="18" x14ac:dyDescent="0.4">
      <c r="B1" s="1" t="s">
        <v>174</v>
      </c>
      <c r="C1" s="71"/>
      <c r="D1" s="71"/>
      <c r="E1" s="71"/>
      <c r="F1" s="71"/>
      <c r="G1" s="2"/>
    </row>
    <row r="2" spans="2:7" s="58" customFormat="1" x14ac:dyDescent="0.4">
      <c r="B2" s="5"/>
      <c r="C2" s="72"/>
      <c r="D2" s="72"/>
      <c r="E2" s="2"/>
      <c r="F2" s="2"/>
      <c r="G2" s="2"/>
    </row>
    <row r="3" spans="2:7" s="58" customFormat="1" x14ac:dyDescent="0.4">
      <c r="B3" s="5" t="s">
        <v>172</v>
      </c>
      <c r="C3" s="72"/>
      <c r="D3" s="72"/>
      <c r="E3" s="2"/>
      <c r="F3" s="2"/>
      <c r="G3" s="2"/>
    </row>
    <row r="4" spans="2:7" x14ac:dyDescent="0.4">
      <c r="B4" s="60" t="s">
        <v>20</v>
      </c>
      <c r="C4" s="61" t="s">
        <v>13</v>
      </c>
      <c r="D4" s="62"/>
    </row>
    <row r="5" spans="2:7" x14ac:dyDescent="0.4">
      <c r="B5" s="60" t="s">
        <v>22</v>
      </c>
      <c r="C5" s="63" t="s">
        <v>36</v>
      </c>
      <c r="D5" s="62"/>
    </row>
    <row r="6" spans="2:7" x14ac:dyDescent="0.4">
      <c r="B6" s="60" t="s">
        <v>118</v>
      </c>
      <c r="C6" s="28">
        <f>Analysis!C23</f>
        <v>20.228118565432371</v>
      </c>
    </row>
    <row r="7" spans="2:7" ht="26.25" x14ac:dyDescent="0.4">
      <c r="B7" s="43" t="s">
        <v>38</v>
      </c>
      <c r="C7" s="28">
        <f>C6*0.8*(1-Analysis!H23)</f>
        <v>16.04393457483582</v>
      </c>
      <c r="D7" s="4" t="s">
        <v>157</v>
      </c>
    </row>
    <row r="8" spans="2:7" x14ac:dyDescent="0.4">
      <c r="B8" s="5"/>
    </row>
    <row r="9" spans="2:7" x14ac:dyDescent="0.4">
      <c r="B9" s="67" t="s">
        <v>23</v>
      </c>
      <c r="F9" s="5" t="s">
        <v>24</v>
      </c>
    </row>
    <row r="10" spans="2:7" ht="235.35" customHeight="1" x14ac:dyDescent="0.4">
      <c r="B10" s="60" t="s">
        <v>25</v>
      </c>
      <c r="C10" s="60" t="s">
        <v>37</v>
      </c>
      <c r="D10" s="53" t="s">
        <v>196</v>
      </c>
      <c r="F10" s="53" t="s">
        <v>149</v>
      </c>
    </row>
    <row r="11" spans="2:7" x14ac:dyDescent="0.4">
      <c r="B11" s="60" t="s">
        <v>28</v>
      </c>
      <c r="C11" s="60" t="s">
        <v>26</v>
      </c>
      <c r="D11" s="53"/>
      <c r="F11" s="53"/>
    </row>
    <row r="12" spans="2:7" x14ac:dyDescent="0.4">
      <c r="B12" s="60" t="s">
        <v>29</v>
      </c>
      <c r="C12" s="60" t="s">
        <v>26</v>
      </c>
      <c r="D12" s="53"/>
      <c r="F12" s="53"/>
    </row>
    <row r="13" spans="2:7" ht="144.4" x14ac:dyDescent="0.4">
      <c r="B13" s="60" t="s">
        <v>30</v>
      </c>
      <c r="C13" s="60" t="s">
        <v>37</v>
      </c>
      <c r="D13" s="53" t="s">
        <v>197</v>
      </c>
      <c r="F13" s="53" t="s">
        <v>149</v>
      </c>
    </row>
    <row r="14" spans="2:7" ht="105" x14ac:dyDescent="0.4">
      <c r="B14" s="60" t="s">
        <v>31</v>
      </c>
      <c r="C14" s="60" t="s">
        <v>117</v>
      </c>
      <c r="D14" s="53" t="s">
        <v>198</v>
      </c>
      <c r="F14" s="53" t="s">
        <v>149</v>
      </c>
    </row>
    <row r="15" spans="2:7" ht="26.25" x14ac:dyDescent="0.4">
      <c r="B15" s="60" t="s">
        <v>32</v>
      </c>
      <c r="C15" s="60" t="s">
        <v>117</v>
      </c>
      <c r="D15" s="53" t="s">
        <v>151</v>
      </c>
      <c r="F15" s="53" t="s">
        <v>152</v>
      </c>
    </row>
    <row r="16" spans="2:7" x14ac:dyDescent="0.4">
      <c r="B16" s="60" t="s">
        <v>33</v>
      </c>
      <c r="C16" s="60" t="s">
        <v>26</v>
      </c>
      <c r="D16" s="53"/>
      <c r="F16" s="53"/>
    </row>
    <row r="17" spans="2:6" x14ac:dyDescent="0.4">
      <c r="B17" s="60" t="s">
        <v>34</v>
      </c>
      <c r="C17" s="60" t="s">
        <v>26</v>
      </c>
      <c r="D17" s="53"/>
      <c r="F17" s="53"/>
    </row>
    <row r="18" spans="2:6" x14ac:dyDescent="0.4">
      <c r="B18" s="70"/>
      <c r="C18" s="70"/>
      <c r="D18" s="70"/>
      <c r="F18" s="70"/>
    </row>
    <row r="19" spans="2:6" x14ac:dyDescent="0.4">
      <c r="B19" s="67"/>
      <c r="C19" s="70"/>
      <c r="D19" s="70"/>
      <c r="F19" s="70"/>
    </row>
    <row r="20" spans="2:6" x14ac:dyDescent="0.4">
      <c r="B20" s="70"/>
      <c r="C20" s="70"/>
      <c r="D20" s="70"/>
      <c r="F20" s="70"/>
    </row>
    <row r="21" spans="2:6" ht="14.25" x14ac:dyDescent="0.4">
      <c r="B21" s="70"/>
      <c r="C21" s="75"/>
      <c r="D21" s="70"/>
      <c r="F21" s="70"/>
    </row>
    <row r="22" spans="2:6" x14ac:dyDescent="0.4">
      <c r="B22" s="70"/>
      <c r="C22" s="70"/>
      <c r="D22" s="70"/>
      <c r="F22" s="70"/>
    </row>
    <row r="23" spans="2:6" x14ac:dyDescent="0.4">
      <c r="B23" s="70"/>
      <c r="C23" s="70"/>
      <c r="D23" s="70"/>
      <c r="F23" s="70"/>
    </row>
    <row r="24" spans="2:6" x14ac:dyDescent="0.4">
      <c r="B24" s="70"/>
      <c r="C24" s="70"/>
      <c r="D24" s="70"/>
      <c r="F24" s="70"/>
    </row>
    <row r="25" spans="2:6" x14ac:dyDescent="0.4">
      <c r="B25" s="70"/>
      <c r="C25" s="70"/>
      <c r="D25" s="70"/>
      <c r="F25" s="70"/>
    </row>
    <row r="30" spans="2:6" ht="15.75" customHeight="1" x14ac:dyDescent="0.4"/>
    <row r="31" spans="2:6" ht="15.75" customHeight="1" x14ac:dyDescent="0.4"/>
    <row r="36" spans="2:2" x14ac:dyDescent="0.4">
      <c r="B36" s="5"/>
    </row>
    <row r="39" spans="2:2" x14ac:dyDescent="0.4">
      <c r="B39" s="5"/>
    </row>
  </sheetData>
  <dataValidations count="4">
    <dataValidation type="list" allowBlank="1" showInputMessage="1" showErrorMessage="1" sqref="C4">
      <formula1>"ANH,NES,NWT,SRN,SVE,SWB,TMS,WSH,WSX,YKY,AFW,BRL,HDD,PRT,SES,SEW,SSC"</formula1>
    </dataValidation>
    <dataValidation type="list" allowBlank="1" showInputMessage="1" showErrorMessage="1" sqref="C18:C25">
      <formula1>"Pass,Marginal pass, Partial pass, Fail, ,Not assessed, N/A"</formula1>
    </dataValidation>
    <dataValidation type="list" allowBlank="1" showInputMessage="1" showErrorMessage="1" sqref="C5">
      <formula1>"Wholesale water, Wholesale wastewater"</formula1>
    </dataValidation>
    <dataValidation type="list" allowBlank="1" showInputMessage="1" showErrorMessage="1" sqref="C10:C17">
      <formula1>"Pass, Partial pass, Fail, ,Not assessed, N/A"</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sheetPr>
  <dimension ref="B1:H39"/>
  <sheetViews>
    <sheetView showGridLines="0" zoomScaleNormal="100" workbookViewId="0"/>
  </sheetViews>
  <sheetFormatPr defaultColWidth="8.73046875" defaultRowHeight="13.15" x14ac:dyDescent="0.4"/>
  <cols>
    <col min="1" max="1" width="2.265625" style="2" customWidth="1"/>
    <col min="2" max="2" width="37.73046875" style="2" customWidth="1"/>
    <col min="3" max="3" width="16.73046875" style="2" customWidth="1"/>
    <col min="4" max="4" width="68.265625" style="2" customWidth="1"/>
    <col min="5" max="5" width="8.73046875" style="2" customWidth="1"/>
    <col min="6" max="6" width="32.73046875" style="2" customWidth="1"/>
    <col min="7" max="8" width="8.73046875" style="2" customWidth="1"/>
    <col min="9" max="16384" width="8.73046875" style="2"/>
  </cols>
  <sheetData>
    <row r="1" spans="2:8" s="58" customFormat="1" ht="18" x14ac:dyDescent="0.4">
      <c r="B1" s="1" t="s">
        <v>175</v>
      </c>
      <c r="C1" s="1"/>
      <c r="D1" s="1"/>
      <c r="E1" s="1"/>
      <c r="F1" s="1"/>
      <c r="G1" s="2"/>
      <c r="H1" s="56"/>
    </row>
    <row r="2" spans="2:8" s="58" customFormat="1" ht="18" x14ac:dyDescent="0.4">
      <c r="B2" s="5"/>
      <c r="C2" s="59"/>
      <c r="D2" s="59"/>
      <c r="E2" s="2"/>
      <c r="F2" s="2"/>
      <c r="G2" s="2"/>
      <c r="H2" s="56"/>
    </row>
    <row r="3" spans="2:8" s="58" customFormat="1" ht="18" x14ac:dyDescent="0.4">
      <c r="B3" s="5" t="s">
        <v>172</v>
      </c>
      <c r="C3" s="59"/>
      <c r="D3" s="59"/>
      <c r="E3" s="2"/>
      <c r="F3" s="2"/>
      <c r="G3" s="2"/>
      <c r="H3" s="56"/>
    </row>
    <row r="4" spans="2:8" x14ac:dyDescent="0.4">
      <c r="B4" s="60" t="s">
        <v>20</v>
      </c>
      <c r="C4" s="61" t="s">
        <v>7</v>
      </c>
      <c r="D4" s="62"/>
    </row>
    <row r="5" spans="2:8" x14ac:dyDescent="0.4">
      <c r="B5" s="60" t="s">
        <v>22</v>
      </c>
      <c r="C5" s="63" t="s">
        <v>36</v>
      </c>
      <c r="D5" s="62"/>
    </row>
    <row r="6" spans="2:8" x14ac:dyDescent="0.4">
      <c r="B6" s="60" t="s">
        <v>118</v>
      </c>
      <c r="C6" s="28">
        <f>Analysis!C17</f>
        <v>6.8486377500000053</v>
      </c>
    </row>
    <row r="7" spans="2:8" x14ac:dyDescent="0.4">
      <c r="B7" s="43" t="s">
        <v>38</v>
      </c>
      <c r="C7" s="28">
        <f>C6*(1-Analysis!H16)</f>
        <v>6.8486377500000053</v>
      </c>
      <c r="D7" s="2" t="s">
        <v>156</v>
      </c>
    </row>
    <row r="8" spans="2:8" x14ac:dyDescent="0.4">
      <c r="B8" s="5"/>
    </row>
    <row r="9" spans="2:8" x14ac:dyDescent="0.4">
      <c r="B9" s="67" t="s">
        <v>23</v>
      </c>
      <c r="F9" s="5" t="s">
        <v>24</v>
      </c>
    </row>
    <row r="10" spans="2:8" ht="252.75" customHeight="1" x14ac:dyDescent="0.4">
      <c r="B10" s="60" t="s">
        <v>25</v>
      </c>
      <c r="C10" s="60" t="s">
        <v>37</v>
      </c>
      <c r="D10" s="53" t="s">
        <v>199</v>
      </c>
      <c r="F10" s="10" t="s">
        <v>150</v>
      </c>
    </row>
    <row r="11" spans="2:8" x14ac:dyDescent="0.4">
      <c r="B11" s="60" t="s">
        <v>28</v>
      </c>
      <c r="C11" s="60" t="s">
        <v>26</v>
      </c>
      <c r="D11" s="53"/>
      <c r="F11" s="53" t="s">
        <v>27</v>
      </c>
    </row>
    <row r="12" spans="2:8" ht="57" x14ac:dyDescent="0.45">
      <c r="B12" s="60" t="s">
        <v>29</v>
      </c>
      <c r="C12" s="60" t="s">
        <v>26</v>
      </c>
      <c r="D12" s="53" t="s">
        <v>145</v>
      </c>
      <c r="F12" s="9" t="s">
        <v>144</v>
      </c>
    </row>
    <row r="13" spans="2:8" ht="65.650000000000006" x14ac:dyDescent="0.4">
      <c r="B13" s="60" t="s">
        <v>30</v>
      </c>
      <c r="C13" s="60" t="s">
        <v>37</v>
      </c>
      <c r="D13" s="53" t="s">
        <v>200</v>
      </c>
      <c r="F13" s="53" t="s">
        <v>146</v>
      </c>
    </row>
    <row r="14" spans="2:8" ht="257.25" customHeight="1" x14ac:dyDescent="0.4">
      <c r="B14" s="60" t="s">
        <v>31</v>
      </c>
      <c r="C14" s="60" t="s">
        <v>117</v>
      </c>
      <c r="D14" s="53" t="s">
        <v>201</v>
      </c>
      <c r="F14" s="10" t="s">
        <v>193</v>
      </c>
    </row>
    <row r="15" spans="2:8" ht="96" customHeight="1" x14ac:dyDescent="0.4">
      <c r="B15" s="60" t="s">
        <v>32</v>
      </c>
      <c r="C15" s="60" t="s">
        <v>37</v>
      </c>
      <c r="D15" s="53" t="s">
        <v>192</v>
      </c>
      <c r="F15" s="53" t="s">
        <v>147</v>
      </c>
    </row>
    <row r="16" spans="2:8" x14ac:dyDescent="0.4">
      <c r="B16" s="60" t="s">
        <v>33</v>
      </c>
      <c r="C16" s="60" t="s">
        <v>26</v>
      </c>
      <c r="D16" s="53"/>
      <c r="F16" s="53"/>
    </row>
    <row r="17" spans="2:6" x14ac:dyDescent="0.4">
      <c r="B17" s="60" t="s">
        <v>34</v>
      </c>
      <c r="C17" s="60" t="s">
        <v>26</v>
      </c>
      <c r="D17" s="53"/>
      <c r="F17" s="53"/>
    </row>
    <row r="18" spans="2:6" x14ac:dyDescent="0.4">
      <c r="B18" s="70"/>
      <c r="C18" s="70"/>
      <c r="D18" s="70"/>
      <c r="F18" s="70"/>
    </row>
    <row r="19" spans="2:6" x14ac:dyDescent="0.4">
      <c r="B19" s="67"/>
      <c r="C19" s="70"/>
      <c r="D19" s="70"/>
      <c r="F19" s="70"/>
    </row>
    <row r="20" spans="2:6" x14ac:dyDescent="0.4">
      <c r="B20" s="70"/>
      <c r="C20" s="70"/>
      <c r="D20" s="70"/>
      <c r="F20" s="70"/>
    </row>
    <row r="21" spans="2:6" ht="14.25" x14ac:dyDescent="0.4">
      <c r="B21" s="70"/>
      <c r="C21" s="75"/>
      <c r="D21" s="70"/>
      <c r="F21" s="70"/>
    </row>
    <row r="22" spans="2:6" ht="14.25" x14ac:dyDescent="0.45">
      <c r="B22" s="70"/>
      <c r="C22" s="70"/>
      <c r="D22" s="70"/>
      <c r="E22" s="52"/>
      <c r="F22" s="70"/>
    </row>
    <row r="23" spans="2:6" x14ac:dyDescent="0.4">
      <c r="B23" s="70"/>
      <c r="C23" s="70"/>
      <c r="D23" s="70"/>
      <c r="F23" s="70"/>
    </row>
    <row r="24" spans="2:6" x14ac:dyDescent="0.4">
      <c r="B24" s="70"/>
      <c r="C24" s="70"/>
      <c r="D24" s="70"/>
      <c r="F24" s="70"/>
    </row>
    <row r="25" spans="2:6" x14ac:dyDescent="0.4">
      <c r="B25" s="70"/>
      <c r="C25" s="70"/>
      <c r="D25" s="70"/>
      <c r="F25" s="70"/>
    </row>
    <row r="36" spans="2:2" x14ac:dyDescent="0.4">
      <c r="B36" s="5"/>
    </row>
    <row r="39" spans="2:2" x14ac:dyDescent="0.4">
      <c r="B39" s="5"/>
    </row>
  </sheetData>
  <dataValidations count="4">
    <dataValidation type="list" allowBlank="1" showInputMessage="1" showErrorMessage="1" sqref="C4">
      <formula1>"ANH,NES,NWT,SRN,SVE,SWB,TMS,WSH,WSX,YKY,AFW,BRL,HDD,PRT,SES,SEW,SSC"</formula1>
    </dataValidation>
    <dataValidation type="list" allowBlank="1" showInputMessage="1" showErrorMessage="1" sqref="C20:C25">
      <formula1>"Pass,Marginal pass, Partial pass, Fail, ,Not assessed, N/A"</formula1>
    </dataValidation>
    <dataValidation type="list" allowBlank="1" showInputMessage="1" showErrorMessage="1" sqref="C5">
      <formula1>"Wholesale water, Wholesale wastewater"</formula1>
    </dataValidation>
    <dataValidation type="list" allowBlank="1" showInputMessage="1" showErrorMessage="1" sqref="C10:C17">
      <formula1>"Pass, Partial pass, Fail, ,Not assessed, N/A"</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M31"/>
  <sheetViews>
    <sheetView showGridLines="0" tabSelected="1" zoomScale="80" zoomScaleNormal="80" workbookViewId="0"/>
  </sheetViews>
  <sheetFormatPr defaultColWidth="9.265625" defaultRowHeight="13.15" x14ac:dyDescent="0.4"/>
  <cols>
    <col min="1" max="2" width="2.73046875" style="2" customWidth="1"/>
    <col min="3" max="3" width="14.265625" style="2" customWidth="1"/>
    <col min="4" max="4" width="14" style="2" customWidth="1"/>
    <col min="5" max="6" width="14.73046875" style="2" customWidth="1"/>
    <col min="7" max="8" width="12.73046875" style="2" customWidth="1"/>
    <col min="9" max="9" width="11.73046875" style="2" customWidth="1"/>
    <col min="10" max="10" width="11.73046875" style="2" bestFit="1" customWidth="1"/>
    <col min="11" max="11" width="11.73046875" style="2" customWidth="1"/>
    <col min="12" max="12" width="11.265625" style="2" bestFit="1" customWidth="1"/>
    <col min="13" max="13" width="12.73046875" style="2" customWidth="1"/>
    <col min="14" max="14" width="31.265625" style="2" bestFit="1" customWidth="1"/>
    <col min="15" max="16384" width="9.265625" style="2"/>
  </cols>
  <sheetData>
    <row r="1" spans="2:13" ht="18" x14ac:dyDescent="0.55000000000000004">
      <c r="B1" s="82" t="s">
        <v>126</v>
      </c>
      <c r="C1" s="11"/>
      <c r="D1" s="11"/>
      <c r="E1" s="11"/>
      <c r="F1" s="11"/>
      <c r="G1" s="11"/>
      <c r="H1" s="11"/>
      <c r="I1" s="11"/>
      <c r="J1" s="11"/>
      <c r="K1" s="11"/>
      <c r="L1" s="11"/>
    </row>
    <row r="3" spans="2:13" x14ac:dyDescent="0.4">
      <c r="C3" s="12" t="s">
        <v>21</v>
      </c>
      <c r="D3" s="13" t="s">
        <v>185</v>
      </c>
      <c r="E3" s="14"/>
      <c r="F3" s="14"/>
      <c r="G3" s="14"/>
      <c r="H3" s="14"/>
      <c r="I3" s="14"/>
    </row>
    <row r="4" spans="2:13" x14ac:dyDescent="0.4">
      <c r="C4" s="12" t="s">
        <v>127</v>
      </c>
      <c r="D4" s="13" t="s">
        <v>186</v>
      </c>
      <c r="E4" s="14"/>
      <c r="F4" s="14"/>
      <c r="G4" s="14"/>
      <c r="H4" s="14"/>
      <c r="I4" s="14"/>
    </row>
    <row r="5" spans="2:13" x14ac:dyDescent="0.4">
      <c r="C5" s="12" t="s">
        <v>128</v>
      </c>
      <c r="D5" s="15" t="s">
        <v>35</v>
      </c>
      <c r="E5" s="16"/>
      <c r="F5" s="16"/>
      <c r="G5" s="16"/>
      <c r="H5" s="16"/>
      <c r="I5" s="17"/>
      <c r="J5" s="18"/>
      <c r="K5" s="18"/>
    </row>
    <row r="6" spans="2:13" x14ac:dyDescent="0.4">
      <c r="C6" s="12" t="s">
        <v>129</v>
      </c>
      <c r="D6" s="15" t="s">
        <v>121</v>
      </c>
      <c r="E6" s="16"/>
      <c r="F6" s="16"/>
      <c r="G6" s="16"/>
      <c r="H6" s="16"/>
      <c r="I6" s="19"/>
    </row>
    <row r="7" spans="2:13" x14ac:dyDescent="0.4">
      <c r="C7" s="20" t="s">
        <v>22</v>
      </c>
      <c r="D7" s="21" t="s">
        <v>36</v>
      </c>
      <c r="E7" s="14"/>
      <c r="F7" s="14"/>
      <c r="G7" s="14"/>
      <c r="H7" s="14"/>
      <c r="I7" s="14"/>
    </row>
    <row r="10" spans="2:13" ht="12.75" customHeight="1" x14ac:dyDescent="0.4">
      <c r="B10" s="5" t="s">
        <v>130</v>
      </c>
    </row>
    <row r="11" spans="2:13" ht="12.75" customHeight="1" x14ac:dyDescent="0.4">
      <c r="B11" s="18"/>
      <c r="C11" s="18"/>
      <c r="D11" s="18"/>
      <c r="E11" s="18"/>
      <c r="F11" s="18"/>
      <c r="G11" s="18"/>
      <c r="H11" s="18"/>
      <c r="I11" s="18"/>
      <c r="J11" s="22"/>
      <c r="K11" s="18"/>
    </row>
    <row r="12" spans="2:13" ht="52.5" x14ac:dyDescent="0.4">
      <c r="C12" s="6" t="s">
        <v>20</v>
      </c>
      <c r="D12" s="6" t="s">
        <v>133</v>
      </c>
      <c r="E12" s="6" t="s">
        <v>137</v>
      </c>
      <c r="F12" s="6" t="s">
        <v>138</v>
      </c>
      <c r="G12" s="6" t="s">
        <v>139</v>
      </c>
      <c r="H12" s="6" t="s">
        <v>184</v>
      </c>
      <c r="I12" s="7" t="s">
        <v>183</v>
      </c>
      <c r="J12" s="8" t="s">
        <v>134</v>
      </c>
      <c r="K12" s="6" t="s">
        <v>135</v>
      </c>
      <c r="L12" s="6" t="s">
        <v>136</v>
      </c>
      <c r="M12" s="6" t="s">
        <v>131</v>
      </c>
    </row>
    <row r="13" spans="2:13" x14ac:dyDescent="0.4">
      <c r="B13" s="23">
        <v>1</v>
      </c>
      <c r="C13" s="24" t="s">
        <v>0</v>
      </c>
      <c r="D13" s="25">
        <f>SUMIF(Data!$B$6:$B$90,Allowance!$C13,Data!$D$6:$D$90)</f>
        <v>0.9867295894744299</v>
      </c>
      <c r="E13" s="80">
        <v>0</v>
      </c>
      <c r="F13" s="80">
        <v>0</v>
      </c>
      <c r="G13" s="81">
        <f>F13-E13</f>
        <v>0</v>
      </c>
      <c r="H13" s="25">
        <f>D13+G13</f>
        <v>0.9867295894744299</v>
      </c>
      <c r="I13" s="25">
        <f>Analysis!J8</f>
        <v>0.9867295894744299</v>
      </c>
      <c r="J13" s="26">
        <f>MIN(H13,I13)</f>
        <v>0.9867295894744299</v>
      </c>
      <c r="K13" s="27">
        <v>1</v>
      </c>
      <c r="L13" s="25">
        <f>$J13*$K13</f>
        <v>0.9867295894744299</v>
      </c>
      <c r="M13" s="25">
        <f>$J13*(1-$K13)</f>
        <v>0</v>
      </c>
    </row>
    <row r="14" spans="2:13" x14ac:dyDescent="0.4">
      <c r="B14" s="23">
        <v>2</v>
      </c>
      <c r="C14" s="24" t="s">
        <v>116</v>
      </c>
      <c r="D14" s="25">
        <f>SUMIF(Data!$B$6:$B$90,Allowance!$C14,Data!$D$6:$D$90)</f>
        <v>0</v>
      </c>
      <c r="E14" s="80">
        <v>0</v>
      </c>
      <c r="F14" s="80">
        <v>0</v>
      </c>
      <c r="G14" s="81">
        <f t="shared" ref="G14:G29" si="0">F14-E14</f>
        <v>0</v>
      </c>
      <c r="H14" s="25">
        <f t="shared" ref="H14" si="1">D14+G14</f>
        <v>0</v>
      </c>
      <c r="I14" s="25">
        <f>Analysis!J9</f>
        <v>0</v>
      </c>
      <c r="J14" s="26">
        <f t="shared" ref="J14" si="2">MIN(H14,I14)</f>
        <v>0</v>
      </c>
      <c r="K14" s="27">
        <v>0</v>
      </c>
      <c r="L14" s="25">
        <f t="shared" ref="L14:L29" si="3">$J14*$K14</f>
        <v>0</v>
      </c>
      <c r="M14" s="25">
        <f t="shared" ref="M14:M29" si="4">$J14*(1-$K14)</f>
        <v>0</v>
      </c>
    </row>
    <row r="15" spans="2:13" x14ac:dyDescent="0.4">
      <c r="B15" s="23">
        <v>3</v>
      </c>
      <c r="C15" s="24" t="s">
        <v>1</v>
      </c>
      <c r="D15" s="25">
        <f>SUMIF(Data!$B$6:$B$90,Allowance!$C15,Data!$D$6:$D$90)</f>
        <v>0</v>
      </c>
      <c r="E15" s="80">
        <v>0</v>
      </c>
      <c r="F15" s="80">
        <v>0</v>
      </c>
      <c r="G15" s="81">
        <f t="shared" si="0"/>
        <v>0</v>
      </c>
      <c r="H15" s="25">
        <f t="shared" ref="H15:H29" si="5">D15+G15</f>
        <v>0</v>
      </c>
      <c r="I15" s="25">
        <f>Analysis!J10</f>
        <v>0</v>
      </c>
      <c r="J15" s="26">
        <f t="shared" ref="J15:J29" si="6">MIN(H15,I15)</f>
        <v>0</v>
      </c>
      <c r="K15" s="27">
        <v>0</v>
      </c>
      <c r="L15" s="25">
        <f t="shared" si="3"/>
        <v>0</v>
      </c>
      <c r="M15" s="25">
        <f t="shared" si="4"/>
        <v>0</v>
      </c>
    </row>
    <row r="16" spans="2:13" x14ac:dyDescent="0.4">
      <c r="B16" s="23">
        <v>4</v>
      </c>
      <c r="C16" s="24" t="s">
        <v>2</v>
      </c>
      <c r="D16" s="25">
        <f>SUMIF(Data!$B$6:$B$90,Allowance!$C16,Data!$D$6:$D$90)</f>
        <v>0.71357917570498997</v>
      </c>
      <c r="E16" s="80">
        <v>0</v>
      </c>
      <c r="F16" s="80">
        <v>0</v>
      </c>
      <c r="G16" s="81">
        <f t="shared" si="0"/>
        <v>0</v>
      </c>
      <c r="H16" s="25">
        <f t="shared" si="5"/>
        <v>0.71357917570498997</v>
      </c>
      <c r="I16" s="25">
        <f>Analysis!J11</f>
        <v>0.71357917570498997</v>
      </c>
      <c r="J16" s="26">
        <f t="shared" si="6"/>
        <v>0.71357917570498997</v>
      </c>
      <c r="K16" s="27">
        <v>1</v>
      </c>
      <c r="L16" s="25">
        <f t="shared" si="3"/>
        <v>0.71357917570498997</v>
      </c>
      <c r="M16" s="25">
        <f t="shared" si="4"/>
        <v>0</v>
      </c>
    </row>
    <row r="17" spans="2:13" x14ac:dyDescent="0.4">
      <c r="B17" s="23">
        <v>5</v>
      </c>
      <c r="C17" s="24" t="s">
        <v>3</v>
      </c>
      <c r="D17" s="25">
        <f>SUMIF(Data!$B$6:$B$90,Allowance!$C17,Data!$D$6:$D$90)</f>
        <v>0</v>
      </c>
      <c r="E17" s="80">
        <v>0</v>
      </c>
      <c r="F17" s="80">
        <v>0</v>
      </c>
      <c r="G17" s="81">
        <f t="shared" si="0"/>
        <v>0</v>
      </c>
      <c r="H17" s="25">
        <f t="shared" si="5"/>
        <v>0</v>
      </c>
      <c r="I17" s="25">
        <f>Analysis!J12</f>
        <v>0</v>
      </c>
      <c r="J17" s="26">
        <f t="shared" si="6"/>
        <v>0</v>
      </c>
      <c r="K17" s="27">
        <v>0</v>
      </c>
      <c r="L17" s="25">
        <f t="shared" si="3"/>
        <v>0</v>
      </c>
      <c r="M17" s="25">
        <f t="shared" si="4"/>
        <v>0</v>
      </c>
    </row>
    <row r="18" spans="2:13" x14ac:dyDescent="0.4">
      <c r="B18" s="23">
        <v>6</v>
      </c>
      <c r="C18" s="24" t="s">
        <v>115</v>
      </c>
      <c r="D18" s="25">
        <f>SUMIF(Data!$B$6:$B$90,Allowance!$C18,Data!$D$6:$D$90)</f>
        <v>12.85</v>
      </c>
      <c r="E18" s="80">
        <v>0</v>
      </c>
      <c r="F18" s="80">
        <v>0</v>
      </c>
      <c r="G18" s="81">
        <f t="shared" si="0"/>
        <v>0</v>
      </c>
      <c r="H18" s="25">
        <f t="shared" si="5"/>
        <v>12.85</v>
      </c>
      <c r="I18" s="25">
        <f>Analysis!J13</f>
        <v>12.85</v>
      </c>
      <c r="J18" s="26">
        <f t="shared" si="6"/>
        <v>12.85</v>
      </c>
      <c r="K18" s="27">
        <v>1</v>
      </c>
      <c r="L18" s="25">
        <f t="shared" si="3"/>
        <v>12.85</v>
      </c>
      <c r="M18" s="25">
        <f t="shared" si="4"/>
        <v>0</v>
      </c>
    </row>
    <row r="19" spans="2:13" x14ac:dyDescent="0.4">
      <c r="B19" s="23">
        <v>7</v>
      </c>
      <c r="C19" s="24" t="s">
        <v>4</v>
      </c>
      <c r="D19" s="25">
        <f>SUMIF(Data!$B$6:$B$90,Allowance!$C19,Data!$D$6:$D$90)</f>
        <v>0</v>
      </c>
      <c r="E19" s="80">
        <v>0</v>
      </c>
      <c r="F19" s="80">
        <v>0</v>
      </c>
      <c r="G19" s="81">
        <f t="shared" si="0"/>
        <v>0</v>
      </c>
      <c r="H19" s="25">
        <f t="shared" si="5"/>
        <v>0</v>
      </c>
      <c r="I19" s="25">
        <f>Analysis!J14</f>
        <v>0</v>
      </c>
      <c r="J19" s="26">
        <f t="shared" si="6"/>
        <v>0</v>
      </c>
      <c r="K19" s="27">
        <v>0</v>
      </c>
      <c r="L19" s="25">
        <f t="shared" si="3"/>
        <v>0</v>
      </c>
      <c r="M19" s="25">
        <f t="shared" si="4"/>
        <v>0</v>
      </c>
    </row>
    <row r="20" spans="2:13" x14ac:dyDescent="0.4">
      <c r="B20" s="23">
        <v>8</v>
      </c>
      <c r="C20" s="24" t="s">
        <v>5</v>
      </c>
      <c r="D20" s="25">
        <f>SUMIF(Data!$B$6:$B$90,Allowance!$C20,Data!$D$6:$D$90)</f>
        <v>0</v>
      </c>
      <c r="E20" s="80">
        <v>0</v>
      </c>
      <c r="F20" s="80">
        <v>0</v>
      </c>
      <c r="G20" s="81">
        <f t="shared" si="0"/>
        <v>0</v>
      </c>
      <c r="H20" s="25">
        <f t="shared" si="5"/>
        <v>0</v>
      </c>
      <c r="I20" s="25">
        <f>Analysis!J15</f>
        <v>0</v>
      </c>
      <c r="J20" s="26">
        <f t="shared" si="6"/>
        <v>0</v>
      </c>
      <c r="K20" s="27">
        <v>0</v>
      </c>
      <c r="L20" s="25">
        <f t="shared" si="3"/>
        <v>0</v>
      </c>
      <c r="M20" s="25">
        <f t="shared" si="4"/>
        <v>0</v>
      </c>
    </row>
    <row r="21" spans="2:13" ht="14.25" x14ac:dyDescent="0.45">
      <c r="B21" s="23">
        <v>9</v>
      </c>
      <c r="C21" s="74" t="s">
        <v>6</v>
      </c>
      <c r="D21" s="25">
        <f>SUMIF(Data!$B$6:$B$90,Allowance!$C21,Data!$D$6:$D$90)</f>
        <v>0</v>
      </c>
      <c r="E21" s="80">
        <v>0</v>
      </c>
      <c r="F21" s="80">
        <v>0</v>
      </c>
      <c r="G21" s="81">
        <f t="shared" si="0"/>
        <v>0</v>
      </c>
      <c r="H21" s="25">
        <f t="shared" si="5"/>
        <v>0</v>
      </c>
      <c r="I21" s="25">
        <f>Analysis!J16</f>
        <v>0</v>
      </c>
      <c r="J21" s="26">
        <f t="shared" si="6"/>
        <v>0</v>
      </c>
      <c r="K21" s="27">
        <v>0</v>
      </c>
      <c r="L21" s="25">
        <f t="shared" si="3"/>
        <v>0</v>
      </c>
      <c r="M21" s="25">
        <f t="shared" si="4"/>
        <v>0</v>
      </c>
    </row>
    <row r="22" spans="2:13" x14ac:dyDescent="0.4">
      <c r="B22" s="23">
        <v>10</v>
      </c>
      <c r="C22" s="24" t="s">
        <v>7</v>
      </c>
      <c r="D22" s="25">
        <f>SUMIF(Data!$B$6:$B$90,Allowance!$C22,Data!$D$6:$D$90)</f>
        <v>6.8486377500000053</v>
      </c>
      <c r="E22" s="80">
        <v>0</v>
      </c>
      <c r="F22" s="80">
        <v>0</v>
      </c>
      <c r="G22" s="81">
        <f t="shared" si="0"/>
        <v>0</v>
      </c>
      <c r="H22" s="25">
        <f t="shared" si="5"/>
        <v>6.8486377500000053</v>
      </c>
      <c r="I22" s="25">
        <f>'Deep dive_WSX'!C7</f>
        <v>6.8486377500000053</v>
      </c>
      <c r="J22" s="26">
        <f t="shared" si="6"/>
        <v>6.8486377500000053</v>
      </c>
      <c r="K22" s="27">
        <v>1</v>
      </c>
      <c r="L22" s="25">
        <f t="shared" si="3"/>
        <v>6.8486377500000053</v>
      </c>
      <c r="M22" s="25">
        <f t="shared" si="4"/>
        <v>0</v>
      </c>
    </row>
    <row r="23" spans="2:13" x14ac:dyDescent="0.4">
      <c r="B23" s="23">
        <v>11</v>
      </c>
      <c r="C23" s="24" t="s">
        <v>8</v>
      </c>
      <c r="D23" s="25">
        <f>SUMIF(Data!$B$6:$B$90,Allowance!$C23,Data!$D$6:$D$90)</f>
        <v>0</v>
      </c>
      <c r="E23" s="80">
        <v>0</v>
      </c>
      <c r="F23" s="80">
        <v>0</v>
      </c>
      <c r="G23" s="81">
        <f t="shared" si="0"/>
        <v>0</v>
      </c>
      <c r="H23" s="25">
        <f t="shared" si="5"/>
        <v>0</v>
      </c>
      <c r="I23" s="25">
        <f>Analysis!J18</f>
        <v>0</v>
      </c>
      <c r="J23" s="26">
        <f t="shared" si="6"/>
        <v>0</v>
      </c>
      <c r="K23" s="27">
        <v>0</v>
      </c>
      <c r="L23" s="25">
        <f t="shared" si="3"/>
        <v>0</v>
      </c>
      <c r="M23" s="25">
        <f t="shared" si="4"/>
        <v>0</v>
      </c>
    </row>
    <row r="24" spans="2:13" x14ac:dyDescent="0.4">
      <c r="B24" s="23">
        <v>12</v>
      </c>
      <c r="C24" s="24" t="s">
        <v>9</v>
      </c>
      <c r="D24" s="25">
        <f>SUMIF(Data!$B$6:$B$90,Allowance!$C24,Data!$D$6:$D$90)</f>
        <v>6.86808</v>
      </c>
      <c r="E24" s="80">
        <v>0</v>
      </c>
      <c r="F24" s="80">
        <v>0</v>
      </c>
      <c r="G24" s="81">
        <f t="shared" si="0"/>
        <v>0</v>
      </c>
      <c r="H24" s="25">
        <f t="shared" si="5"/>
        <v>6.86808</v>
      </c>
      <c r="I24" s="25">
        <f>'Deep dive_AFW'!C7</f>
        <v>4.7566481786945474</v>
      </c>
      <c r="J24" s="26">
        <f t="shared" si="6"/>
        <v>4.7566481786945474</v>
      </c>
      <c r="K24" s="27">
        <v>1</v>
      </c>
      <c r="L24" s="25">
        <f t="shared" si="3"/>
        <v>4.7566481786945474</v>
      </c>
      <c r="M24" s="25">
        <f t="shared" si="4"/>
        <v>0</v>
      </c>
    </row>
    <row r="25" spans="2:13" x14ac:dyDescent="0.4">
      <c r="B25" s="23">
        <v>13</v>
      </c>
      <c r="C25" s="24" t="s">
        <v>10</v>
      </c>
      <c r="D25" s="25">
        <f>SUMIF(Data!$B$6:$B$90,Allowance!$C25,Data!$D$6:$D$90)</f>
        <v>9.5000000000000001E-2</v>
      </c>
      <c r="E25" s="80">
        <v>0</v>
      </c>
      <c r="F25" s="80">
        <v>0</v>
      </c>
      <c r="G25" s="81">
        <f t="shared" si="0"/>
        <v>0</v>
      </c>
      <c r="H25" s="25">
        <f t="shared" si="5"/>
        <v>9.5000000000000001E-2</v>
      </c>
      <c r="I25" s="25">
        <f>Analysis!J20</f>
        <v>9.5000000000000001E-2</v>
      </c>
      <c r="J25" s="26">
        <f t="shared" si="6"/>
        <v>9.5000000000000001E-2</v>
      </c>
      <c r="K25" s="27">
        <v>1</v>
      </c>
      <c r="L25" s="25">
        <f t="shared" si="3"/>
        <v>9.5000000000000001E-2</v>
      </c>
      <c r="M25" s="25">
        <f t="shared" si="4"/>
        <v>0</v>
      </c>
    </row>
    <row r="26" spans="2:13" x14ac:dyDescent="0.4">
      <c r="B26" s="23">
        <v>14</v>
      </c>
      <c r="C26" s="24" t="s">
        <v>11</v>
      </c>
      <c r="D26" s="25">
        <f>SUMIF(Data!$B$6:$B$90,Allowance!$C26,Data!$D$6:$D$90)</f>
        <v>0</v>
      </c>
      <c r="E26" s="80">
        <v>0</v>
      </c>
      <c r="F26" s="80">
        <v>0</v>
      </c>
      <c r="G26" s="81">
        <f t="shared" si="0"/>
        <v>0</v>
      </c>
      <c r="H26" s="25">
        <f t="shared" si="5"/>
        <v>0</v>
      </c>
      <c r="I26" s="25">
        <f>Analysis!J21</f>
        <v>0</v>
      </c>
      <c r="J26" s="26">
        <f t="shared" si="6"/>
        <v>0</v>
      </c>
      <c r="K26" s="27">
        <v>0</v>
      </c>
      <c r="L26" s="25">
        <f t="shared" si="3"/>
        <v>0</v>
      </c>
      <c r="M26" s="25">
        <f t="shared" si="4"/>
        <v>0</v>
      </c>
    </row>
    <row r="27" spans="2:13" x14ac:dyDescent="0.4">
      <c r="B27" s="23">
        <v>15</v>
      </c>
      <c r="C27" s="24" t="s">
        <v>12</v>
      </c>
      <c r="D27" s="25">
        <f>SUMIF(Data!$B$6:$B$90,Allowance!$C27,Data!$D$6:$D$90)</f>
        <v>0</v>
      </c>
      <c r="E27" s="80">
        <v>0</v>
      </c>
      <c r="F27" s="80">
        <v>0</v>
      </c>
      <c r="G27" s="81">
        <f t="shared" si="0"/>
        <v>0</v>
      </c>
      <c r="H27" s="25">
        <f t="shared" si="5"/>
        <v>0</v>
      </c>
      <c r="I27" s="25">
        <f>Analysis!J22</f>
        <v>0</v>
      </c>
      <c r="J27" s="26">
        <f t="shared" si="6"/>
        <v>0</v>
      </c>
      <c r="K27" s="27">
        <v>0</v>
      </c>
      <c r="L27" s="25">
        <f t="shared" si="3"/>
        <v>0</v>
      </c>
      <c r="M27" s="25">
        <f t="shared" si="4"/>
        <v>0</v>
      </c>
    </row>
    <row r="28" spans="2:13" x14ac:dyDescent="0.4">
      <c r="B28" s="23">
        <v>16</v>
      </c>
      <c r="C28" s="24" t="s">
        <v>13</v>
      </c>
      <c r="D28" s="25">
        <f>SUMIF(Data!$B$6:$B$90,Allowance!$C28,Data!$D$6:$D$90)</f>
        <v>20.228118565432371</v>
      </c>
      <c r="E28" s="80">
        <v>0</v>
      </c>
      <c r="F28" s="80">
        <v>0</v>
      </c>
      <c r="G28" s="81">
        <f t="shared" si="0"/>
        <v>0</v>
      </c>
      <c r="H28" s="25">
        <f t="shared" si="5"/>
        <v>20.228118565432371</v>
      </c>
      <c r="I28" s="25">
        <f>'Deep dive_SEW'!C7</f>
        <v>16.04393457483582</v>
      </c>
      <c r="J28" s="26">
        <f t="shared" si="6"/>
        <v>16.04393457483582</v>
      </c>
      <c r="K28" s="27">
        <v>0.97012910162172616</v>
      </c>
      <c r="L28" s="25">
        <f t="shared" si="3"/>
        <v>15.564687835563225</v>
      </c>
      <c r="M28" s="25">
        <f t="shared" si="4"/>
        <v>0.47924673927259481</v>
      </c>
    </row>
    <row r="29" spans="2:13" x14ac:dyDescent="0.4">
      <c r="B29" s="23">
        <v>17</v>
      </c>
      <c r="C29" s="24" t="s">
        <v>14</v>
      </c>
      <c r="D29" s="25">
        <f>SUMIF(Data!$B$6:$B$90,Allowance!$C29,Data!$D$6:$D$90)</f>
        <v>0</v>
      </c>
      <c r="E29" s="80">
        <v>0</v>
      </c>
      <c r="F29" s="80">
        <v>0</v>
      </c>
      <c r="G29" s="81">
        <f t="shared" si="0"/>
        <v>0</v>
      </c>
      <c r="H29" s="25">
        <f t="shared" si="5"/>
        <v>0</v>
      </c>
      <c r="I29" s="25">
        <f>Analysis!J24</f>
        <v>0</v>
      </c>
      <c r="J29" s="26">
        <f t="shared" si="6"/>
        <v>0</v>
      </c>
      <c r="K29" s="27">
        <v>0</v>
      </c>
      <c r="L29" s="25">
        <f t="shared" si="3"/>
        <v>0</v>
      </c>
      <c r="M29" s="25">
        <f t="shared" si="4"/>
        <v>0</v>
      </c>
    </row>
    <row r="30" spans="2:13" x14ac:dyDescent="0.4">
      <c r="C30" s="29" t="s">
        <v>132</v>
      </c>
      <c r="D30" s="30">
        <f t="shared" ref="D30:I30" si="7">SUM(D13:D29)</f>
        <v>48.590145080611791</v>
      </c>
      <c r="E30" s="30">
        <f t="shared" si="7"/>
        <v>0</v>
      </c>
      <c r="F30" s="30">
        <f t="shared" si="7"/>
        <v>0</v>
      </c>
      <c r="G30" s="30">
        <f t="shared" si="7"/>
        <v>0</v>
      </c>
      <c r="H30" s="30">
        <f t="shared" si="7"/>
        <v>48.590145080611791</v>
      </c>
      <c r="I30" s="30">
        <f t="shared" si="7"/>
        <v>42.294529268709795</v>
      </c>
      <c r="J30" s="31">
        <f>SUM(J13:J29)</f>
        <v>42.294529268709795</v>
      </c>
      <c r="K30" s="30">
        <f>SUM(K13:K29)</f>
        <v>6.9701291016217262</v>
      </c>
      <c r="L30" s="30">
        <f>SUM(L13:L29)</f>
        <v>41.815282529437198</v>
      </c>
      <c r="M30" s="30">
        <f>SUM(M13:M29)</f>
        <v>0.47924673927259481</v>
      </c>
    </row>
    <row r="31" spans="2:13" x14ac:dyDescent="0.4">
      <c r="F31" s="32"/>
    </row>
  </sheetData>
  <conditionalFormatting sqref="G13:G29">
    <cfRule type="cellIs" dxfId="1" priority="1" operator="lessThan">
      <formula>0</formula>
    </cfRule>
    <cfRule type="cellIs" dxfId="0" priority="2" operator="greaterThan">
      <formula>0</formula>
    </cfRule>
  </conditionalFormatting>
  <dataValidations count="1">
    <dataValidation type="list" allowBlank="1" showInputMessage="1" showErrorMessage="1" sqref="D7:I7">
      <formula1>"Wholesale water, Wholesale wastewater"</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9BAC9199A851E3458FBFE5AC1863D7C8" ma:contentTypeVersion="49" ma:contentTypeDescription="Create a new document" ma:contentTypeScope="" ma:versionID="2a58eaf30dcceabbda53b5999f2f1986">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Cost Assessment</TermName>
          <TermId xmlns="http://schemas.microsoft.com/office/infopath/2007/PartnerControls">c61055bb-c189-45d6-9bf3-4e8f946eb105</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1786</Value>
      <Value>31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[POLICY]</TermName>
          <TermId xmlns="http://schemas.microsoft.com/office/infopath/2007/PartnerControls">860b1dac-401e-4af8-91e0-955522dbb5ae</TermId>
        </TermInfo>
      </Terms>
    </da4e9ae56afa494a84f353054bd212ec>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215DCD-8E6E-4131-B9C2-31BC3D636883}">
  <ds:schemaRefs>
    <ds:schemaRef ds:uri="Microsoft.SharePoint.Taxonomy.ContentTypeSync"/>
  </ds:schemaRefs>
</ds:datastoreItem>
</file>

<file path=customXml/itemProps2.xml><?xml version="1.0" encoding="utf-8"?>
<ds:datastoreItem xmlns:ds="http://schemas.openxmlformats.org/officeDocument/2006/customXml" ds:itemID="{4C94F233-E2DC-4E4F-9B44-110084FABF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6DC6AE-3D2D-4463-8666-06694E58762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7041854e-4853-44f9-9e63-23b7acad5461"/>
    <ds:schemaRef ds:uri="http://www.w3.org/XML/1998/namespace"/>
    <ds:schemaRef ds:uri="http://purl.org/dc/dcmitype/"/>
  </ds:schemaRefs>
</ds:datastoreItem>
</file>

<file path=customXml/itemProps4.xml><?xml version="1.0" encoding="utf-8"?>
<ds:datastoreItem xmlns:ds="http://schemas.openxmlformats.org/officeDocument/2006/customXml" ds:itemID="{A9ED6DB4-7C82-4E64-A722-20F4085E90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Cover</vt:lpstr>
      <vt:lpstr>Data</vt:lpstr>
      <vt:lpstr>Analysis</vt:lpstr>
      <vt:lpstr>Deep dive_AFW</vt:lpstr>
      <vt:lpstr>Deep dive_SEW</vt:lpstr>
      <vt:lpstr>Deep dive_WSX</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2019-01-28T17:06:52Z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0x010100573134B1BDBFC74F8C2DBF70E4CDEAD4009BAC9199A851E3458FBFE5AC1863D7C8</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1786;#Cost Assessment|c61055bb-c189-45d6-9bf3-4e8f946eb105</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31;#OFFICIAL SENSITIVE [POLICY]|860b1dac-401e-4af8-91e0-955522dbb5ae</vt:lpwstr>
  </property>
</Properties>
</file>