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8800" windowHeight="13080" tabRatio="818"/>
  </bookViews>
  <sheets>
    <sheet name="Cover" sheetId="8" r:id="rId1"/>
    <sheet name="Controls" sheetId="4" r:id="rId2"/>
    <sheet name="Data" sheetId="1" r:id="rId3"/>
    <sheet name="Coeffs" sheetId="12" r:id="rId4"/>
    <sheet name="Forecast drivers" sheetId="14" r:id="rId5"/>
    <sheet name="Selected forecast drivers" sheetId="9" r:id="rId6"/>
    <sheet name="Modelled costs" sheetId="3" r:id="rId7"/>
    <sheet name="Modelled unit costs" sheetId="13" r:id="rId8"/>
    <sheet name="Deep dive_WSH" sheetId="15" r:id="rId9"/>
    <sheet name="HDD_WSH evidence" sheetId="16" r:id="rId10"/>
    <sheet name="Allowance" sheetId="11"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1" l="1"/>
  <c r="G18" i="11"/>
  <c r="G20" i="11"/>
  <c r="G22" i="11"/>
  <c r="G24" i="11"/>
  <c r="G26" i="11"/>
  <c r="G27" i="11"/>
  <c r="G28" i="11"/>
  <c r="G29" i="11"/>
  <c r="G17" i="11" l="1"/>
  <c r="G21" i="11"/>
  <c r="G25" i="11"/>
  <c r="G23" i="11"/>
  <c r="G19" i="11"/>
  <c r="G15" i="11"/>
  <c r="E30" i="11"/>
  <c r="G16" i="11"/>
  <c r="G14" i="11"/>
  <c r="M16" i="3" l="1"/>
  <c r="N16" i="3" s="1"/>
  <c r="I21" i="11" s="1"/>
  <c r="W24" i="14" l="1"/>
  <c r="W16" i="14"/>
  <c r="W52" i="14"/>
  <c r="W44" i="14"/>
  <c r="AG29" i="14" l="1"/>
  <c r="AG28" i="14"/>
  <c r="AG27" i="14"/>
  <c r="AG26" i="14"/>
  <c r="AG25" i="14"/>
  <c r="AG24" i="14"/>
  <c r="AC24" i="14"/>
  <c r="AB24" i="14"/>
  <c r="AA24" i="14"/>
  <c r="Z24" i="14"/>
  <c r="Y24" i="14"/>
  <c r="X24" i="14"/>
  <c r="AG23" i="14"/>
  <c r="AG22" i="14"/>
  <c r="AG21" i="14"/>
  <c r="AG20" i="14"/>
  <c r="AG19" i="14"/>
  <c r="AG18" i="14"/>
  <c r="AG17" i="14"/>
  <c r="AG16" i="14"/>
  <c r="AC16" i="14"/>
  <c r="AB16" i="14"/>
  <c r="AA16" i="14"/>
  <c r="Z16" i="14"/>
  <c r="Y16" i="14"/>
  <c r="X16" i="14"/>
  <c r="AG15" i="14"/>
  <c r="AG14" i="14"/>
  <c r="AG13" i="14"/>
  <c r="AG12" i="14"/>
  <c r="AG11" i="14"/>
  <c r="AG10" i="14"/>
  <c r="AG57" i="14"/>
  <c r="AG56" i="14"/>
  <c r="AG55" i="14"/>
  <c r="AG54" i="14"/>
  <c r="AG53" i="14"/>
  <c r="AG52" i="14"/>
  <c r="AC52" i="14"/>
  <c r="AB52" i="14"/>
  <c r="AA52" i="14"/>
  <c r="Z52" i="14"/>
  <c r="Y52" i="14"/>
  <c r="X52" i="14"/>
  <c r="AG51" i="14"/>
  <c r="AG50" i="14"/>
  <c r="AG49" i="14"/>
  <c r="AG48" i="14"/>
  <c r="AG47" i="14"/>
  <c r="AG46" i="14"/>
  <c r="AG45" i="14"/>
  <c r="AG44" i="14"/>
  <c r="AC44" i="14"/>
  <c r="AB44" i="14"/>
  <c r="AA44" i="14"/>
  <c r="Z44" i="14"/>
  <c r="Y44" i="14"/>
  <c r="X44" i="14"/>
  <c r="AG43" i="14"/>
  <c r="AG42" i="14"/>
  <c r="AG41" i="14"/>
  <c r="AG40" i="14"/>
  <c r="AG39" i="14"/>
  <c r="AG38" i="14"/>
  <c r="H25" i="13" l="1"/>
  <c r="H24" i="13"/>
  <c r="G12" i="13"/>
  <c r="G8" i="13"/>
  <c r="F7" i="13"/>
  <c r="K5" i="13"/>
  <c r="J5" i="13"/>
  <c r="E5" i="3"/>
  <c r="D5" i="3"/>
  <c r="A301" i="1" l="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D45" i="14" l="1"/>
  <c r="D17" i="14"/>
  <c r="F94" i="1"/>
  <c r="F299" i="1"/>
  <c r="I39" i="14"/>
  <c r="I11" i="14"/>
  <c r="F295" i="1"/>
  <c r="F291" i="1"/>
  <c r="F287" i="1"/>
  <c r="F283" i="1"/>
  <c r="F279" i="1"/>
  <c r="F275" i="1"/>
  <c r="F271" i="1"/>
  <c r="I56" i="14"/>
  <c r="I28" i="14"/>
  <c r="F267" i="1"/>
  <c r="E56" i="14"/>
  <c r="E28" i="14"/>
  <c r="F263" i="1"/>
  <c r="F258" i="1"/>
  <c r="J55" i="14"/>
  <c r="J27" i="14"/>
  <c r="F254" i="1"/>
  <c r="F55" i="14"/>
  <c r="F27" i="14"/>
  <c r="F250" i="1"/>
  <c r="B55" i="14"/>
  <c r="B27" i="14"/>
  <c r="F246" i="1"/>
  <c r="F245" i="1"/>
  <c r="F241" i="1"/>
  <c r="G54" i="14"/>
  <c r="G26" i="14"/>
  <c r="F237" i="1"/>
  <c r="C54" i="14"/>
  <c r="C26" i="14"/>
  <c r="F233" i="1"/>
  <c r="F228" i="1"/>
  <c r="H53" i="14"/>
  <c r="H25" i="14"/>
  <c r="F224" i="1"/>
  <c r="F220" i="1"/>
  <c r="D53" i="14"/>
  <c r="D25" i="14"/>
  <c r="F215" i="1"/>
  <c r="F211" i="1"/>
  <c r="E24" i="14"/>
  <c r="E52" i="14"/>
  <c r="F207" i="1"/>
  <c r="F202" i="1"/>
  <c r="F198" i="1"/>
  <c r="F194" i="1"/>
  <c r="F190" i="1"/>
  <c r="F189" i="1"/>
  <c r="F185" i="1"/>
  <c r="G51" i="14"/>
  <c r="G23" i="14"/>
  <c r="F181" i="1"/>
  <c r="C51" i="14"/>
  <c r="C23" i="14"/>
  <c r="F177" i="1"/>
  <c r="F172" i="1"/>
  <c r="H50" i="14"/>
  <c r="H22" i="14"/>
  <c r="F168" i="1"/>
  <c r="D50" i="14"/>
  <c r="D22" i="14"/>
  <c r="F164" i="1"/>
  <c r="F159" i="1"/>
  <c r="I49" i="14"/>
  <c r="I21" i="14"/>
  <c r="F155" i="1"/>
  <c r="E49" i="14"/>
  <c r="E21" i="14"/>
  <c r="F151" i="1"/>
  <c r="C45" i="14"/>
  <c r="C17" i="14"/>
  <c r="F93" i="1"/>
  <c r="F298" i="1"/>
  <c r="H39" i="14"/>
  <c r="H11" i="14"/>
  <c r="F294" i="1"/>
  <c r="F290" i="1"/>
  <c r="F286" i="1"/>
  <c r="J43" i="14"/>
  <c r="J15" i="14"/>
  <c r="F282" i="1"/>
  <c r="F278" i="1"/>
  <c r="F274" i="1"/>
  <c r="F270" i="1"/>
  <c r="H56" i="14"/>
  <c r="H28" i="14"/>
  <c r="F266" i="1"/>
  <c r="D56" i="14"/>
  <c r="D28" i="14"/>
  <c r="F262" i="1"/>
  <c r="F257" i="1"/>
  <c r="I55" i="14"/>
  <c r="I27" i="14"/>
  <c r="F253" i="1"/>
  <c r="E55" i="14"/>
  <c r="E27" i="14"/>
  <c r="F249" i="1"/>
  <c r="F244" i="1"/>
  <c r="J54" i="14"/>
  <c r="J26" i="14"/>
  <c r="F240" i="1"/>
  <c r="F54" i="14"/>
  <c r="F26" i="14"/>
  <c r="F236" i="1"/>
  <c r="B54" i="14"/>
  <c r="B26" i="14"/>
  <c r="F232" i="1"/>
  <c r="F231" i="1"/>
  <c r="F227" i="1"/>
  <c r="G53" i="14"/>
  <c r="G25" i="14"/>
  <c r="F223" i="1"/>
  <c r="C53" i="14"/>
  <c r="C25" i="14"/>
  <c r="F219" i="1"/>
  <c r="F214" i="1"/>
  <c r="H52" i="14"/>
  <c r="F210" i="1"/>
  <c r="H24" i="14"/>
  <c r="D52" i="14"/>
  <c r="D24" i="14"/>
  <c r="F206" i="1"/>
  <c r="F201" i="1"/>
  <c r="F197" i="1"/>
  <c r="F193" i="1"/>
  <c r="F188" i="1"/>
  <c r="J23" i="14"/>
  <c r="J51" i="14"/>
  <c r="F184" i="1"/>
  <c r="F23" i="14"/>
  <c r="F51" i="14"/>
  <c r="F180" i="1"/>
  <c r="B23" i="14"/>
  <c r="B51" i="14"/>
  <c r="F176" i="1"/>
  <c r="F175" i="1"/>
  <c r="F171" i="1"/>
  <c r="G22" i="14"/>
  <c r="G50" i="14"/>
  <c r="F167" i="1"/>
  <c r="C50" i="14"/>
  <c r="C22" i="14"/>
  <c r="F163" i="1"/>
  <c r="F158" i="1"/>
  <c r="H49" i="14"/>
  <c r="H21" i="14"/>
  <c r="F154" i="1"/>
  <c r="D49" i="14"/>
  <c r="D21" i="14"/>
  <c r="F150" i="1"/>
  <c r="F45" i="14"/>
  <c r="F17" i="14"/>
  <c r="F96" i="1"/>
  <c r="B45" i="14"/>
  <c r="F92" i="1"/>
  <c r="F301" i="1"/>
  <c r="F12" i="9"/>
  <c r="E12" i="9"/>
  <c r="F297" i="1"/>
  <c r="F293" i="1"/>
  <c r="F289" i="1"/>
  <c r="F34" i="9"/>
  <c r="F285" i="1"/>
  <c r="I43" i="14"/>
  <c r="F281" i="1"/>
  <c r="F277" i="1"/>
  <c r="F273" i="1"/>
  <c r="F87" i="9"/>
  <c r="F269" i="1"/>
  <c r="G56" i="14"/>
  <c r="F265" i="1"/>
  <c r="C56" i="14"/>
  <c r="F261" i="1"/>
  <c r="F83" i="9"/>
  <c r="F256" i="1"/>
  <c r="H55" i="14"/>
  <c r="F252" i="1"/>
  <c r="D55" i="14"/>
  <c r="F248" i="1"/>
  <c r="F243" i="1"/>
  <c r="I54" i="14"/>
  <c r="I26" i="14"/>
  <c r="F239" i="1"/>
  <c r="E54" i="14"/>
  <c r="F235" i="1"/>
  <c r="F230" i="1"/>
  <c r="J25" i="14"/>
  <c r="F226" i="1"/>
  <c r="F53" i="14"/>
  <c r="F222" i="1"/>
  <c r="B53" i="14"/>
  <c r="F218" i="1"/>
  <c r="F217" i="1"/>
  <c r="F213" i="1"/>
  <c r="G52" i="14"/>
  <c r="F209" i="1"/>
  <c r="C52" i="14"/>
  <c r="F205" i="1"/>
  <c r="F200" i="1"/>
  <c r="F196" i="1"/>
  <c r="F192" i="1"/>
  <c r="F187" i="1"/>
  <c r="E69" i="9"/>
  <c r="F183" i="1"/>
  <c r="I23" i="14"/>
  <c r="E51" i="14"/>
  <c r="F179" i="1"/>
  <c r="E23" i="14"/>
  <c r="F174" i="1"/>
  <c r="F170" i="1"/>
  <c r="F22" i="14"/>
  <c r="F166" i="1"/>
  <c r="F50" i="14"/>
  <c r="B50" i="14"/>
  <c r="F162" i="1"/>
  <c r="F161" i="1"/>
  <c r="F57" i="9"/>
  <c r="F157" i="1"/>
  <c r="G49" i="14"/>
  <c r="F153" i="1"/>
  <c r="C49" i="14"/>
  <c r="C21" i="14"/>
  <c r="F149" i="1"/>
  <c r="E45" i="14"/>
  <c r="E17" i="14"/>
  <c r="F95" i="1"/>
  <c r="F300" i="1"/>
  <c r="J39" i="14"/>
  <c r="J11" i="14"/>
  <c r="F296" i="1"/>
  <c r="J294" i="1"/>
  <c r="F292" i="1"/>
  <c r="K290" i="1"/>
  <c r="F288" i="1"/>
  <c r="F284" i="1"/>
  <c r="F280" i="1"/>
  <c r="J278" i="1"/>
  <c r="F276" i="1"/>
  <c r="F272" i="1"/>
  <c r="J56" i="14"/>
  <c r="J28" i="14"/>
  <c r="F268" i="1"/>
  <c r="F56" i="14"/>
  <c r="F264" i="1"/>
  <c r="B56" i="14"/>
  <c r="F260" i="1"/>
  <c r="F259" i="1"/>
  <c r="F255" i="1"/>
  <c r="G55" i="14"/>
  <c r="F251" i="1"/>
  <c r="C55" i="14"/>
  <c r="C27" i="14"/>
  <c r="F247" i="1"/>
  <c r="F242" i="1"/>
  <c r="H54" i="14"/>
  <c r="H26" i="14"/>
  <c r="F238" i="1"/>
  <c r="D54" i="14"/>
  <c r="D26" i="14"/>
  <c r="F234" i="1"/>
  <c r="F229" i="1"/>
  <c r="I25" i="14"/>
  <c r="F225" i="1"/>
  <c r="E25" i="14"/>
  <c r="E53" i="14"/>
  <c r="F221" i="1"/>
  <c r="F216" i="1"/>
  <c r="F212" i="1"/>
  <c r="F52" i="14"/>
  <c r="F24" i="14"/>
  <c r="F208" i="1"/>
  <c r="B52" i="14"/>
  <c r="B24" i="14"/>
  <c r="F204" i="1"/>
  <c r="F203" i="1"/>
  <c r="F199" i="1"/>
  <c r="F195" i="1"/>
  <c r="F191" i="1"/>
  <c r="F68" i="9"/>
  <c r="F186" i="1"/>
  <c r="H51" i="14"/>
  <c r="F182" i="1"/>
  <c r="D51" i="14"/>
  <c r="D23" i="14"/>
  <c r="F178" i="1"/>
  <c r="F173" i="1"/>
  <c r="F169" i="1"/>
  <c r="E22" i="14"/>
  <c r="F165" i="1"/>
  <c r="E50" i="14"/>
  <c r="F160" i="1"/>
  <c r="J21" i="14"/>
  <c r="F156" i="1"/>
  <c r="F49" i="14"/>
  <c r="F21" i="14"/>
  <c r="F152" i="1"/>
  <c r="B49" i="14"/>
  <c r="F148" i="1"/>
  <c r="K291" i="1" l="1"/>
  <c r="I20" i="16"/>
  <c r="J201" i="1"/>
  <c r="K193" i="1"/>
  <c r="N22" i="14"/>
  <c r="AB22" i="14" s="1"/>
  <c r="G65" i="9" s="1"/>
  <c r="E65" i="9"/>
  <c r="K25" i="14"/>
  <c r="Y25" i="14" s="1"/>
  <c r="G72" i="9" s="1"/>
  <c r="E72" i="9"/>
  <c r="K23" i="14"/>
  <c r="Y23" i="14" s="1"/>
  <c r="G67" i="9" s="1"/>
  <c r="E67" i="9"/>
  <c r="M39" i="14"/>
  <c r="AA39" i="14" s="1"/>
  <c r="H14" i="9" s="1"/>
  <c r="F14" i="9"/>
  <c r="N21" i="14"/>
  <c r="AB21" i="14" s="1"/>
  <c r="G60" i="9" s="1"/>
  <c r="E60" i="9"/>
  <c r="M25" i="14"/>
  <c r="AA25" i="14" s="1"/>
  <c r="G74" i="9" s="1"/>
  <c r="E74" i="9"/>
  <c r="L26" i="14"/>
  <c r="Z26" i="14" s="1"/>
  <c r="G78" i="9" s="1"/>
  <c r="E78" i="9"/>
  <c r="O27" i="14"/>
  <c r="AC27" i="14" s="1"/>
  <c r="G86" i="9" s="1"/>
  <c r="E86" i="9"/>
  <c r="K294" i="1"/>
  <c r="O21" i="14"/>
  <c r="AC21" i="14" s="1"/>
  <c r="G61" i="9" s="1"/>
  <c r="E61" i="9"/>
  <c r="M54" i="14"/>
  <c r="AA54" i="14" s="1"/>
  <c r="H79" i="9" s="1"/>
  <c r="F79" i="9"/>
  <c r="L27" i="14"/>
  <c r="Z27" i="14" s="1"/>
  <c r="G83" i="9" s="1"/>
  <c r="E83" i="9"/>
  <c r="O28" i="14"/>
  <c r="AC28" i="14" s="1"/>
  <c r="G91" i="9" s="1"/>
  <c r="E91" i="9"/>
  <c r="L21" i="14"/>
  <c r="Z21" i="14" s="1"/>
  <c r="G58" i="9" s="1"/>
  <c r="E58" i="9"/>
  <c r="N51" i="14"/>
  <c r="AB51" i="14" s="1"/>
  <c r="H70" i="9" s="1"/>
  <c r="F70" i="9"/>
  <c r="K53" i="14"/>
  <c r="Y53" i="14" s="1"/>
  <c r="H72" i="9" s="1"/>
  <c r="F72" i="9"/>
  <c r="M55" i="14"/>
  <c r="AA55" i="14" s="1"/>
  <c r="H84" i="9" s="1"/>
  <c r="F84" i="9"/>
  <c r="L28" i="14"/>
  <c r="Z28" i="14" s="1"/>
  <c r="G88" i="9" s="1"/>
  <c r="E88" i="9"/>
  <c r="N15" i="14"/>
  <c r="AB15" i="14" s="1"/>
  <c r="G35" i="9" s="1"/>
  <c r="E35" i="9"/>
  <c r="K51" i="14"/>
  <c r="Y51" i="14" s="1"/>
  <c r="H67" i="9" s="1"/>
  <c r="F67" i="9"/>
  <c r="L25" i="14"/>
  <c r="Z25" i="14" s="1"/>
  <c r="G73" i="9" s="1"/>
  <c r="E73" i="9"/>
  <c r="O26" i="14"/>
  <c r="AC26" i="14" s="1"/>
  <c r="G81" i="9" s="1"/>
  <c r="E81" i="9"/>
  <c r="N27" i="14"/>
  <c r="AB27" i="14" s="1"/>
  <c r="G85" i="9" s="1"/>
  <c r="E85" i="9"/>
  <c r="M53" i="14"/>
  <c r="AA53" i="14" s="1"/>
  <c r="H74" i="9" s="1"/>
  <c r="F74" i="9"/>
  <c r="N53" i="14"/>
  <c r="AB53" i="14" s="1"/>
  <c r="H75" i="9" s="1"/>
  <c r="F75" i="9"/>
  <c r="M27" i="14"/>
  <c r="AA27" i="14" s="1"/>
  <c r="G84" i="9" s="1"/>
  <c r="E84" i="9"/>
  <c r="K43" i="14"/>
  <c r="Y43" i="14" s="1"/>
  <c r="H32" i="9" s="1"/>
  <c r="F32" i="9"/>
  <c r="N28" i="14"/>
  <c r="AB28" i="14" s="1"/>
  <c r="G90" i="9" s="1"/>
  <c r="E90" i="9"/>
  <c r="N49" i="14"/>
  <c r="AB49" i="14" s="1"/>
  <c r="H60" i="9" s="1"/>
  <c r="F60" i="9"/>
  <c r="M22" i="14"/>
  <c r="AA22" i="14" s="1"/>
  <c r="G64" i="9" s="1"/>
  <c r="E64" i="9"/>
  <c r="L54" i="14"/>
  <c r="Z54" i="14" s="1"/>
  <c r="H78" i="9" s="1"/>
  <c r="F78" i="9"/>
  <c r="K27" i="14"/>
  <c r="Y27" i="14" s="1"/>
  <c r="G82" i="9" s="1"/>
  <c r="E82" i="9"/>
  <c r="O55" i="14"/>
  <c r="AC55" i="14" s="1"/>
  <c r="H86" i="9" s="1"/>
  <c r="F86" i="9"/>
  <c r="N56" i="14"/>
  <c r="AB56" i="14" s="1"/>
  <c r="H90" i="9" s="1"/>
  <c r="F90" i="9"/>
  <c r="L15" i="14"/>
  <c r="Z15" i="14" s="1"/>
  <c r="G33" i="9" s="1"/>
  <c r="E33" i="9"/>
  <c r="N11" i="14"/>
  <c r="AB11" i="14" s="1"/>
  <c r="G15" i="9" s="1"/>
  <c r="E15" i="9"/>
  <c r="K21" i="14"/>
  <c r="Y21" i="14" s="1"/>
  <c r="G57" i="9" s="1"/>
  <c r="E57" i="9"/>
  <c r="O49" i="14"/>
  <c r="AC49" i="14" s="1"/>
  <c r="H61" i="9" s="1"/>
  <c r="F61" i="9"/>
  <c r="N50" i="14"/>
  <c r="AB50" i="14" s="1"/>
  <c r="H65" i="9" s="1"/>
  <c r="F65" i="9"/>
  <c r="K28" i="14"/>
  <c r="Y28" i="14" s="1"/>
  <c r="G87" i="9" s="1"/>
  <c r="E87" i="9"/>
  <c r="O56" i="14"/>
  <c r="AC56" i="14" s="1"/>
  <c r="H91" i="9" s="1"/>
  <c r="F91" i="9"/>
  <c r="M15" i="14"/>
  <c r="AA15" i="14" s="1"/>
  <c r="G34" i="9" s="1"/>
  <c r="E34" i="9"/>
  <c r="O11" i="14"/>
  <c r="AC11" i="14" s="1"/>
  <c r="G16" i="9" s="1"/>
  <c r="E16" i="9"/>
  <c r="L49" i="14"/>
  <c r="Z49" i="14" s="1"/>
  <c r="H58" i="9" s="1"/>
  <c r="F58" i="9"/>
  <c r="K50" i="14"/>
  <c r="Y50" i="14" s="1"/>
  <c r="H62" i="9" s="1"/>
  <c r="F62" i="9"/>
  <c r="O22" i="14"/>
  <c r="AC22" i="14" s="1"/>
  <c r="G66" i="9" s="1"/>
  <c r="E66" i="9"/>
  <c r="N23" i="14"/>
  <c r="AB23" i="14" s="1"/>
  <c r="G70" i="9" s="1"/>
  <c r="E70" i="9"/>
  <c r="O25" i="14"/>
  <c r="AC25" i="14" s="1"/>
  <c r="G76" i="9" s="1"/>
  <c r="E76" i="9"/>
  <c r="L56" i="14"/>
  <c r="Z56" i="14" s="1"/>
  <c r="H88" i="9" s="1"/>
  <c r="F88" i="9"/>
  <c r="N43" i="14"/>
  <c r="AB43" i="14" s="1"/>
  <c r="H35" i="9" s="1"/>
  <c r="F35" i="9"/>
  <c r="L11" i="14"/>
  <c r="Z11" i="14" s="1"/>
  <c r="G13" i="9" s="1"/>
  <c r="E13" i="9"/>
  <c r="M21" i="14"/>
  <c r="AA21" i="14" s="1"/>
  <c r="G59" i="9" s="1"/>
  <c r="E59" i="9"/>
  <c r="L53" i="14"/>
  <c r="Z53" i="14" s="1"/>
  <c r="H73" i="9" s="1"/>
  <c r="F73" i="9"/>
  <c r="K26" i="14"/>
  <c r="Y26" i="14" s="1"/>
  <c r="G77" i="9" s="1"/>
  <c r="E77" i="9"/>
  <c r="O54" i="14"/>
  <c r="AC54" i="14" s="1"/>
  <c r="H81" i="9" s="1"/>
  <c r="F81" i="9"/>
  <c r="N55" i="14"/>
  <c r="AB55" i="14" s="1"/>
  <c r="H85" i="9" s="1"/>
  <c r="F85" i="9"/>
  <c r="M28" i="14"/>
  <c r="AA28" i="14" s="1"/>
  <c r="G89" i="9" s="1"/>
  <c r="E89" i="9"/>
  <c r="O15" i="14"/>
  <c r="AC15" i="14" s="1"/>
  <c r="G36" i="9" s="1"/>
  <c r="E36" i="9"/>
  <c r="M26" i="14"/>
  <c r="AA26" i="14" s="1"/>
  <c r="G79" i="9" s="1"/>
  <c r="E79" i="9"/>
  <c r="O50" i="14"/>
  <c r="AC50" i="14" s="1"/>
  <c r="H66" i="9" s="1"/>
  <c r="F66" i="9"/>
  <c r="O53" i="14"/>
  <c r="AC53" i="14" s="1"/>
  <c r="H76" i="9" s="1"/>
  <c r="F76" i="9"/>
  <c r="N54" i="14"/>
  <c r="AB54" i="14" s="1"/>
  <c r="H80" i="9" s="1"/>
  <c r="F80" i="9"/>
  <c r="L50" i="14"/>
  <c r="Z50" i="14" s="1"/>
  <c r="H63" i="9" s="1"/>
  <c r="F63" i="9"/>
  <c r="O51" i="14"/>
  <c r="AC51" i="14" s="1"/>
  <c r="H71" i="9" s="1"/>
  <c r="F71" i="9"/>
  <c r="M50" i="14"/>
  <c r="AA50" i="14" s="1"/>
  <c r="H64" i="9" s="1"/>
  <c r="F64" i="9"/>
  <c r="L23" i="14"/>
  <c r="Z23" i="14" s="1"/>
  <c r="G68" i="9" s="1"/>
  <c r="E68" i="9"/>
  <c r="K55" i="14"/>
  <c r="Y55" i="14" s="1"/>
  <c r="H82" i="9" s="1"/>
  <c r="F82" i="9"/>
  <c r="L43" i="14"/>
  <c r="Z43" i="14" s="1"/>
  <c r="H33" i="9" s="1"/>
  <c r="F33" i="9"/>
  <c r="N39" i="14"/>
  <c r="AB39" i="14" s="1"/>
  <c r="H15" i="9" s="1"/>
  <c r="F15" i="9"/>
  <c r="M51" i="14"/>
  <c r="AA51" i="14" s="1"/>
  <c r="H69" i="9" s="1"/>
  <c r="F69" i="9"/>
  <c r="N25" i="14"/>
  <c r="AB25" i="14" s="1"/>
  <c r="G75" i="9" s="1"/>
  <c r="E75" i="9"/>
  <c r="O39" i="14"/>
  <c r="AC39" i="14" s="1"/>
  <c r="H16" i="9" s="1"/>
  <c r="F16" i="9"/>
  <c r="K22" i="14"/>
  <c r="Y22" i="14" s="1"/>
  <c r="G62" i="9" s="1"/>
  <c r="E62" i="9"/>
  <c r="N26" i="14"/>
  <c r="AB26" i="14" s="1"/>
  <c r="G80" i="9" s="1"/>
  <c r="E80" i="9"/>
  <c r="L39" i="14"/>
  <c r="Z39" i="14" s="1"/>
  <c r="H13" i="9" s="1"/>
  <c r="F13" i="9"/>
  <c r="M49" i="14"/>
  <c r="AA49" i="14" s="1"/>
  <c r="H59" i="9" s="1"/>
  <c r="F59" i="9"/>
  <c r="L22" i="14"/>
  <c r="Z22" i="14" s="1"/>
  <c r="G63" i="9" s="1"/>
  <c r="E63" i="9"/>
  <c r="O23" i="14"/>
  <c r="AC23" i="14" s="1"/>
  <c r="G71" i="9" s="1"/>
  <c r="E71" i="9"/>
  <c r="K54" i="14"/>
  <c r="Y54" i="14" s="1"/>
  <c r="H77" i="9" s="1"/>
  <c r="F77" i="9"/>
  <c r="M56" i="14"/>
  <c r="AA56" i="14" s="1"/>
  <c r="H89" i="9" s="1"/>
  <c r="F89" i="9"/>
  <c r="K15" i="14"/>
  <c r="Y15" i="14" s="1"/>
  <c r="G32" i="9" s="1"/>
  <c r="E32" i="9"/>
  <c r="O43" i="14"/>
  <c r="AC43" i="14" s="1"/>
  <c r="H36" i="9" s="1"/>
  <c r="F36" i="9"/>
  <c r="M11" i="14"/>
  <c r="AA11" i="14" s="1"/>
  <c r="G14" i="9" s="1"/>
  <c r="E14" i="9"/>
  <c r="J198" i="1"/>
  <c r="K202" i="1"/>
  <c r="J215" i="1"/>
  <c r="X39" i="14"/>
  <c r="W39" i="14"/>
  <c r="X25" i="14"/>
  <c r="W25" i="14"/>
  <c r="X26" i="14"/>
  <c r="W26" i="14"/>
  <c r="X54" i="14"/>
  <c r="W54" i="14"/>
  <c r="X28" i="14"/>
  <c r="W28" i="14"/>
  <c r="X51" i="14"/>
  <c r="W51" i="14"/>
  <c r="X15" i="14"/>
  <c r="W15" i="14"/>
  <c r="X27" i="14"/>
  <c r="W27" i="14"/>
  <c r="X21" i="14"/>
  <c r="W21" i="14"/>
  <c r="X56" i="14"/>
  <c r="W56" i="14"/>
  <c r="X11" i="14"/>
  <c r="W11" i="14"/>
  <c r="X23" i="14"/>
  <c r="W23" i="14"/>
  <c r="X43" i="14"/>
  <c r="W43" i="14"/>
  <c r="X55" i="14"/>
  <c r="W55" i="14"/>
  <c r="J262" i="1"/>
  <c r="B28" i="14"/>
  <c r="J164" i="1"/>
  <c r="B22" i="14"/>
  <c r="J263" i="1"/>
  <c r="C28" i="14"/>
  <c r="K299" i="1"/>
  <c r="K39" i="14"/>
  <c r="Y39" i="14" s="1"/>
  <c r="H12" i="9" s="1"/>
  <c r="J184" i="1"/>
  <c r="H23" i="14"/>
  <c r="S23" i="14" s="1"/>
  <c r="K227" i="1"/>
  <c r="I53" i="14"/>
  <c r="J172" i="1"/>
  <c r="J22" i="14"/>
  <c r="J189" i="1"/>
  <c r="M23" i="14"/>
  <c r="AA23" i="14" s="1"/>
  <c r="G69" i="9" s="1"/>
  <c r="J207" i="1"/>
  <c r="C24" i="14"/>
  <c r="J211" i="1"/>
  <c r="G24" i="14"/>
  <c r="J224" i="1"/>
  <c r="F25" i="14"/>
  <c r="K228" i="1"/>
  <c r="J53" i="14"/>
  <c r="J94" i="1"/>
  <c r="B17" i="14"/>
  <c r="K171" i="1"/>
  <c r="I50" i="14"/>
  <c r="K172" i="1"/>
  <c r="J50" i="14"/>
  <c r="J220" i="1"/>
  <c r="B25" i="14"/>
  <c r="J237" i="1"/>
  <c r="E26" i="14"/>
  <c r="P26" i="14" s="1"/>
  <c r="J254" i="1"/>
  <c r="H27" i="14"/>
  <c r="K258" i="1"/>
  <c r="L55" i="14"/>
  <c r="Z55" i="14" s="1"/>
  <c r="H83" i="9" s="1"/>
  <c r="J150" i="1"/>
  <c r="B21" i="14"/>
  <c r="K188" i="1"/>
  <c r="L51" i="14"/>
  <c r="Z51" i="14" s="1"/>
  <c r="H68" i="9" s="1"/>
  <c r="K158" i="1"/>
  <c r="J49" i="14"/>
  <c r="J171" i="1"/>
  <c r="I22" i="14"/>
  <c r="J253" i="1"/>
  <c r="G27" i="14"/>
  <c r="J266" i="1"/>
  <c r="F28" i="14"/>
  <c r="J282" i="1"/>
  <c r="H15" i="14"/>
  <c r="J155" i="1"/>
  <c r="G21" i="14"/>
  <c r="K159" i="1"/>
  <c r="K49" i="14"/>
  <c r="Y49" i="14" s="1"/>
  <c r="H57" i="9" s="1"/>
  <c r="K185" i="1"/>
  <c r="I51" i="14"/>
  <c r="J250" i="1"/>
  <c r="D27" i="14"/>
  <c r="J267" i="1"/>
  <c r="G28" i="14"/>
  <c r="K271" i="1"/>
  <c r="K56" i="14"/>
  <c r="Y56" i="14" s="1"/>
  <c r="H87" i="9" s="1"/>
  <c r="J283" i="1"/>
  <c r="I15" i="14"/>
  <c r="K287" i="1"/>
  <c r="M43" i="14"/>
  <c r="AA43" i="14" s="1"/>
  <c r="H34" i="9" s="1"/>
  <c r="J299" i="1"/>
  <c r="K11" i="14"/>
  <c r="Y11" i="14" s="1"/>
  <c r="G12" i="9" s="1"/>
  <c r="J197" i="1"/>
  <c r="K201" i="1"/>
  <c r="J214" i="1"/>
  <c r="K198" i="1"/>
  <c r="K215" i="1"/>
  <c r="K245" i="1"/>
  <c r="K279" i="1"/>
  <c r="J291" i="1"/>
  <c r="J175" i="1"/>
  <c r="J193" i="1"/>
  <c r="J167" i="1"/>
  <c r="K257" i="1"/>
  <c r="J210" i="1"/>
  <c r="K210" i="1"/>
  <c r="K167" i="1"/>
  <c r="K240" i="1"/>
  <c r="K253" i="1"/>
  <c r="K175" i="1"/>
  <c r="J180" i="1"/>
  <c r="J223" i="1"/>
  <c r="K231" i="1"/>
  <c r="K266" i="1"/>
  <c r="K278" i="1"/>
  <c r="K155" i="1"/>
  <c r="K164" i="1"/>
  <c r="K224" i="1"/>
  <c r="K237" i="1"/>
  <c r="K250" i="1"/>
  <c r="J258" i="1"/>
  <c r="J295" i="1"/>
  <c r="K267" i="1"/>
  <c r="K180" i="1"/>
  <c r="K197" i="1"/>
  <c r="J231" i="1"/>
  <c r="J236" i="1"/>
  <c r="K244" i="1"/>
  <c r="J249" i="1"/>
  <c r="K282" i="1"/>
  <c r="H43" i="14"/>
  <c r="J290" i="1"/>
  <c r="J168" i="1"/>
  <c r="J181" i="1"/>
  <c r="J194" i="1"/>
  <c r="K207" i="1"/>
  <c r="K254" i="1"/>
  <c r="K295" i="1"/>
  <c r="K94" i="1"/>
  <c r="K154" i="1"/>
  <c r="K262" i="1"/>
  <c r="K151" i="1"/>
  <c r="K181" i="1"/>
  <c r="K220" i="1"/>
  <c r="J206" i="1"/>
  <c r="K150" i="1"/>
  <c r="J154" i="1"/>
  <c r="J158" i="1"/>
  <c r="K184" i="1"/>
  <c r="K206" i="1"/>
  <c r="K214" i="1"/>
  <c r="K223" i="1"/>
  <c r="K236" i="1"/>
  <c r="Q54" i="14"/>
  <c r="J240" i="1"/>
  <c r="K249" i="1"/>
  <c r="J257" i="1"/>
  <c r="J151" i="1"/>
  <c r="K168" i="1"/>
  <c r="K194" i="1"/>
  <c r="J202" i="1"/>
  <c r="K211" i="1"/>
  <c r="K263" i="1"/>
  <c r="J279" i="1"/>
  <c r="J188" i="1"/>
  <c r="K241" i="1"/>
  <c r="J245" i="1"/>
  <c r="K160" i="1"/>
  <c r="J165" i="1"/>
  <c r="K173" i="1"/>
  <c r="J178" i="1"/>
  <c r="K186" i="1"/>
  <c r="K199" i="1"/>
  <c r="J203" i="1"/>
  <c r="K212" i="1"/>
  <c r="J216" i="1"/>
  <c r="K229" i="1"/>
  <c r="K255" i="1"/>
  <c r="J259" i="1"/>
  <c r="K272" i="1"/>
  <c r="J276" i="1"/>
  <c r="J292" i="1"/>
  <c r="K95" i="1"/>
  <c r="J153" i="1"/>
  <c r="K166" i="1"/>
  <c r="K170" i="1"/>
  <c r="J174" i="1"/>
  <c r="K187" i="1"/>
  <c r="K192" i="1"/>
  <c r="K196" i="1"/>
  <c r="J200" i="1"/>
  <c r="K209" i="1"/>
  <c r="J226" i="1"/>
  <c r="K235" i="1"/>
  <c r="J239" i="1"/>
  <c r="J248" i="1"/>
  <c r="J265" i="1"/>
  <c r="K277" i="1"/>
  <c r="J281" i="1"/>
  <c r="K293" i="1"/>
  <c r="J297" i="1"/>
  <c r="K189" i="1"/>
  <c r="J152" i="1"/>
  <c r="K165" i="1"/>
  <c r="J182" i="1"/>
  <c r="K203" i="1"/>
  <c r="J208" i="1"/>
  <c r="K216" i="1"/>
  <c r="J221" i="1"/>
  <c r="J234" i="1"/>
  <c r="K242" i="1"/>
  <c r="K259" i="1"/>
  <c r="J264" i="1"/>
  <c r="K276" i="1"/>
  <c r="J280" i="1"/>
  <c r="K292" i="1"/>
  <c r="J296" i="1"/>
  <c r="K153" i="1"/>
  <c r="J157" i="1"/>
  <c r="K174" i="1"/>
  <c r="J179" i="1"/>
  <c r="J213" i="1"/>
  <c r="J217" i="1"/>
  <c r="K226" i="1"/>
  <c r="J230" i="1"/>
  <c r="K239" i="1"/>
  <c r="K248" i="1"/>
  <c r="J252" i="1"/>
  <c r="K265" i="1"/>
  <c r="J269" i="1"/>
  <c r="K281" i="1"/>
  <c r="J285" i="1"/>
  <c r="K297" i="1"/>
  <c r="J301" i="1"/>
  <c r="J298" i="1"/>
  <c r="J270" i="1"/>
  <c r="J286" i="1"/>
  <c r="K298" i="1"/>
  <c r="J159" i="1"/>
  <c r="J185" i="1"/>
  <c r="J241" i="1"/>
  <c r="J271" i="1"/>
  <c r="K283" i="1"/>
  <c r="J287" i="1"/>
  <c r="K152" i="1"/>
  <c r="J156" i="1"/>
  <c r="J169" i="1"/>
  <c r="J173" i="1"/>
  <c r="K178" i="1"/>
  <c r="J186" i="1"/>
  <c r="J195" i="1"/>
  <c r="K208" i="1"/>
  <c r="J212" i="1"/>
  <c r="K221" i="1"/>
  <c r="J225" i="1"/>
  <c r="K234" i="1"/>
  <c r="J238" i="1"/>
  <c r="J242" i="1"/>
  <c r="J251" i="1"/>
  <c r="K264" i="1"/>
  <c r="J268" i="1"/>
  <c r="K280" i="1"/>
  <c r="J284" i="1"/>
  <c r="K296" i="1"/>
  <c r="J300" i="1"/>
  <c r="K157" i="1"/>
  <c r="J161" i="1"/>
  <c r="K179" i="1"/>
  <c r="J183" i="1"/>
  <c r="J192" i="1"/>
  <c r="K200" i="1"/>
  <c r="J209" i="1"/>
  <c r="K213" i="1"/>
  <c r="J222" i="1"/>
  <c r="K230" i="1"/>
  <c r="J243" i="1"/>
  <c r="K252" i="1"/>
  <c r="J256" i="1"/>
  <c r="K269" i="1"/>
  <c r="J273" i="1"/>
  <c r="K285" i="1"/>
  <c r="K301" i="1"/>
  <c r="J96" i="1"/>
  <c r="J227" i="1"/>
  <c r="J244" i="1"/>
  <c r="K270" i="1"/>
  <c r="K286" i="1"/>
  <c r="J228" i="1"/>
  <c r="K156" i="1"/>
  <c r="J160" i="1"/>
  <c r="K169" i="1"/>
  <c r="K182" i="1"/>
  <c r="K195" i="1"/>
  <c r="J199" i="1"/>
  <c r="K225" i="1"/>
  <c r="J229" i="1"/>
  <c r="K238" i="1"/>
  <c r="K251" i="1"/>
  <c r="J255" i="1"/>
  <c r="K268" i="1"/>
  <c r="J272" i="1"/>
  <c r="K284" i="1"/>
  <c r="K300" i="1"/>
  <c r="J95" i="1"/>
  <c r="K161" i="1"/>
  <c r="J166" i="1"/>
  <c r="J170" i="1"/>
  <c r="K183" i="1"/>
  <c r="J187" i="1"/>
  <c r="J196" i="1"/>
  <c r="K217" i="1"/>
  <c r="K222" i="1"/>
  <c r="J235" i="1"/>
  <c r="K243" i="1"/>
  <c r="K256" i="1"/>
  <c r="K273" i="1"/>
  <c r="J277" i="1"/>
  <c r="J293" i="1"/>
  <c r="K96" i="1"/>
  <c r="B17" i="13"/>
  <c r="D17" i="13"/>
  <c r="D24" i="13"/>
  <c r="B24" i="13"/>
  <c r="D18" i="13"/>
  <c r="D20" i="13"/>
  <c r="K20" i="3"/>
  <c r="K23" i="3"/>
  <c r="C22" i="13"/>
  <c r="B23" i="13"/>
  <c r="D23" i="13"/>
  <c r="B20" i="13"/>
  <c r="K9" i="3"/>
  <c r="K19" i="3"/>
  <c r="B19" i="13"/>
  <c r="D21" i="13"/>
  <c r="K22" i="3"/>
  <c r="B22" i="13"/>
  <c r="D22" i="13"/>
  <c r="K13" i="3"/>
  <c r="K18" i="3"/>
  <c r="B18" i="13"/>
  <c r="K24" i="3"/>
  <c r="D19" i="13"/>
  <c r="K21" i="3"/>
  <c r="B21" i="13"/>
  <c r="E19" i="13"/>
  <c r="E17" i="13"/>
  <c r="E22" i="13"/>
  <c r="E8" i="13"/>
  <c r="E20" i="13"/>
  <c r="E21" i="13"/>
  <c r="E12" i="13"/>
  <c r="E23" i="13"/>
  <c r="E18" i="13"/>
  <c r="C19" i="13"/>
  <c r="C8" i="13"/>
  <c r="C18" i="13"/>
  <c r="C21" i="13"/>
  <c r="C12" i="13"/>
  <c r="C17" i="13"/>
  <c r="C23" i="13"/>
  <c r="C20" i="13"/>
  <c r="D23" i="11"/>
  <c r="D29" i="11"/>
  <c r="D26" i="11"/>
  <c r="D25" i="11"/>
  <c r="D28" i="11"/>
  <c r="D14" i="11"/>
  <c r="D24" i="11"/>
  <c r="D27" i="11"/>
  <c r="D18" i="11"/>
  <c r="G155" i="1"/>
  <c r="G206" i="1"/>
  <c r="G156" i="1"/>
  <c r="G228" i="1"/>
  <c r="G227" i="1"/>
  <c r="G267" i="1"/>
  <c r="G299" i="1"/>
  <c r="G263" i="1"/>
  <c r="G160" i="1"/>
  <c r="G207" i="1"/>
  <c r="G274" i="1"/>
  <c r="G185" i="1"/>
  <c r="G211" i="1"/>
  <c r="G150" i="1"/>
  <c r="G255" i="1"/>
  <c r="G294" i="1"/>
  <c r="G283" i="1"/>
  <c r="G212" i="1"/>
  <c r="G95" i="1"/>
  <c r="G201" i="1"/>
  <c r="G292" i="1"/>
  <c r="G197" i="1"/>
  <c r="G220" i="1"/>
  <c r="G151" i="1"/>
  <c r="G241" i="1"/>
  <c r="G172" i="1"/>
  <c r="G175" i="1"/>
  <c r="G258" i="1"/>
  <c r="G192" i="1"/>
  <c r="G167" i="1"/>
  <c r="G222" i="1"/>
  <c r="G245" i="1"/>
  <c r="G298" i="1"/>
  <c r="G182" i="1"/>
  <c r="G168" i="1"/>
  <c r="G203" i="1"/>
  <c r="G173" i="1"/>
  <c r="G154" i="1"/>
  <c r="G181" i="1"/>
  <c r="G272" i="1"/>
  <c r="G266" i="1"/>
  <c r="G215" i="1"/>
  <c r="G224" i="1"/>
  <c r="G237" i="1"/>
  <c r="G271" i="1"/>
  <c r="G297" i="1"/>
  <c r="G152" i="1"/>
  <c r="G202" i="1"/>
  <c r="G213" i="1"/>
  <c r="G153" i="1"/>
  <c r="G235" i="1"/>
  <c r="G281" i="1"/>
  <c r="G186" i="1"/>
  <c r="G221" i="1"/>
  <c r="G161" i="1"/>
  <c r="G291" i="1"/>
  <c r="G257" i="1"/>
  <c r="G280" i="1"/>
  <c r="G264" i="1"/>
  <c r="G214" i="1"/>
  <c r="G223" i="1"/>
  <c r="G174" i="1"/>
  <c r="G183" i="1"/>
  <c r="G200" i="1"/>
  <c r="G226" i="1"/>
  <c r="G165" i="1"/>
  <c r="G199" i="1"/>
  <c r="G225" i="1"/>
  <c r="G234" i="1"/>
  <c r="G166" i="1"/>
  <c r="G284" i="1"/>
  <c r="G262" i="1"/>
  <c r="G254" i="1"/>
  <c r="G295" i="1"/>
  <c r="G184" i="1"/>
  <c r="G193" i="1"/>
  <c r="G282" i="1"/>
  <c r="G256" i="1"/>
  <c r="G273" i="1"/>
  <c r="G293" i="1"/>
  <c r="G279" i="1"/>
  <c r="G94" i="1"/>
  <c r="G229" i="1"/>
  <c r="G265" i="1"/>
  <c r="G96" i="1"/>
  <c r="G296" i="1"/>
  <c r="G180" i="1"/>
  <c r="G236" i="1"/>
  <c r="G278" i="1"/>
  <c r="G198" i="1"/>
  <c r="G259" i="1"/>
  <c r="G250" i="1"/>
  <c r="G164" i="1"/>
  <c r="G216" i="1"/>
  <c r="G240" i="1"/>
  <c r="G290" i="1"/>
  <c r="G189" i="1"/>
  <c r="G231" i="1"/>
  <c r="G194" i="1"/>
  <c r="G171" i="1"/>
  <c r="G253" i="1"/>
  <c r="D88" i="3" l="1"/>
  <c r="E88" i="3"/>
  <c r="D58" i="3"/>
  <c r="E58" i="3"/>
  <c r="D13" i="3"/>
  <c r="E13" i="3"/>
  <c r="E78" i="3"/>
  <c r="D78" i="3"/>
  <c r="D14" i="3"/>
  <c r="E14" i="3"/>
  <c r="E16" i="3"/>
  <c r="D16" i="3"/>
  <c r="D83" i="3"/>
  <c r="E83" i="3"/>
  <c r="D65" i="3"/>
  <c r="E65" i="3"/>
  <c r="E64" i="3"/>
  <c r="D64" i="3"/>
  <c r="D77" i="3"/>
  <c r="E77" i="3"/>
  <c r="E82" i="3"/>
  <c r="D82" i="3"/>
  <c r="D74" i="3"/>
  <c r="E74" i="3"/>
  <c r="D89" i="3"/>
  <c r="E89" i="3"/>
  <c r="D63" i="3"/>
  <c r="E63" i="3"/>
  <c r="E92" i="3"/>
  <c r="D92" i="3"/>
  <c r="D66" i="3"/>
  <c r="E66" i="3"/>
  <c r="D87" i="3"/>
  <c r="E87" i="3"/>
  <c r="D79" i="3"/>
  <c r="E79" i="3"/>
  <c r="D61" i="3"/>
  <c r="E61" i="3"/>
  <c r="D33" i="3"/>
  <c r="E33" i="3"/>
  <c r="D76" i="3"/>
  <c r="E76" i="3"/>
  <c r="D85" i="3"/>
  <c r="E85" i="3"/>
  <c r="D71" i="3"/>
  <c r="E71" i="3"/>
  <c r="D80" i="3"/>
  <c r="E80" i="3"/>
  <c r="D35" i="3"/>
  <c r="E35" i="3"/>
  <c r="D15" i="3"/>
  <c r="E15" i="3"/>
  <c r="D69" i="3"/>
  <c r="E69" i="3"/>
  <c r="D84" i="3"/>
  <c r="E84" i="3"/>
  <c r="D37" i="3"/>
  <c r="E37" i="3"/>
  <c r="D90" i="3"/>
  <c r="E90" i="3"/>
  <c r="E60" i="3"/>
  <c r="D60" i="3"/>
  <c r="D17" i="3"/>
  <c r="E17" i="3"/>
  <c r="D70" i="3"/>
  <c r="E70" i="3"/>
  <c r="D34" i="3"/>
  <c r="E34" i="3"/>
  <c r="E72" i="3"/>
  <c r="D72" i="3"/>
  <c r="D81" i="3"/>
  <c r="E81" i="3"/>
  <c r="D67" i="3"/>
  <c r="E67" i="3"/>
  <c r="E86" i="3"/>
  <c r="D86" i="3"/>
  <c r="E36" i="3"/>
  <c r="D36" i="3"/>
  <c r="D59" i="3"/>
  <c r="E59" i="3"/>
  <c r="D62" i="3"/>
  <c r="E62" i="3"/>
  <c r="D91" i="3"/>
  <c r="E91" i="3"/>
  <c r="D75" i="3"/>
  <c r="E75" i="3"/>
  <c r="E68" i="3"/>
  <c r="D68" i="3"/>
  <c r="D73" i="3"/>
  <c r="E73" i="3"/>
  <c r="I19" i="16"/>
  <c r="H23" i="16"/>
  <c r="H20" i="16"/>
  <c r="J20" i="16" s="1"/>
  <c r="I17" i="16"/>
  <c r="H21" i="16"/>
  <c r="I18" i="16"/>
  <c r="I21" i="16"/>
  <c r="H19" i="16"/>
  <c r="H24" i="16"/>
  <c r="H7" i="16"/>
  <c r="H22" i="16"/>
  <c r="I11" i="16"/>
  <c r="I22" i="16"/>
  <c r="I24" i="16"/>
  <c r="I7" i="16"/>
  <c r="H11" i="16"/>
  <c r="J11" i="16" s="1"/>
  <c r="H17" i="16"/>
  <c r="H18" i="16"/>
  <c r="I23" i="16"/>
  <c r="U26" i="14"/>
  <c r="Q24" i="14"/>
  <c r="S24" i="14"/>
  <c r="X49" i="14"/>
  <c r="W49" i="14"/>
  <c r="X50" i="14"/>
  <c r="W50" i="14"/>
  <c r="X53" i="14"/>
  <c r="W53" i="14"/>
  <c r="Q23" i="14"/>
  <c r="X22" i="14"/>
  <c r="W22" i="14"/>
  <c r="S26" i="14"/>
  <c r="R24" i="14"/>
  <c r="T23" i="14"/>
  <c r="V26" i="14"/>
  <c r="V24" i="14"/>
  <c r="U23" i="14"/>
  <c r="U27" i="14"/>
  <c r="Q26" i="14"/>
  <c r="T26" i="14"/>
  <c r="U24" i="14"/>
  <c r="R23" i="14"/>
  <c r="P23" i="14"/>
  <c r="T24" i="14"/>
  <c r="R26" i="14"/>
  <c r="V23" i="14"/>
  <c r="H21" i="13"/>
  <c r="P24" i="14"/>
  <c r="R27" i="14"/>
  <c r="R22" i="14"/>
  <c r="T22" i="14"/>
  <c r="V22" i="14"/>
  <c r="Q22" i="14"/>
  <c r="P22" i="14"/>
  <c r="S22" i="14"/>
  <c r="U22" i="14"/>
  <c r="U21" i="14"/>
  <c r="V21" i="14"/>
  <c r="Q21" i="14"/>
  <c r="T21" i="14"/>
  <c r="S21" i="14"/>
  <c r="R21" i="14"/>
  <c r="P21" i="14"/>
  <c r="P27" i="14"/>
  <c r="Q27" i="14"/>
  <c r="T25" i="14"/>
  <c r="Q25" i="14"/>
  <c r="S25" i="14"/>
  <c r="V25" i="14"/>
  <c r="R25" i="14"/>
  <c r="U25" i="14"/>
  <c r="P25" i="14"/>
  <c r="V27" i="14"/>
  <c r="T27" i="14"/>
  <c r="T28" i="14"/>
  <c r="U28" i="14"/>
  <c r="Q28" i="14"/>
  <c r="R28" i="14"/>
  <c r="P28" i="14"/>
  <c r="S28" i="14"/>
  <c r="V28" i="14"/>
  <c r="S27" i="14"/>
  <c r="P55" i="14"/>
  <c r="T54" i="14"/>
  <c r="U54" i="14"/>
  <c r="H19" i="13"/>
  <c r="R54" i="14"/>
  <c r="V54" i="14"/>
  <c r="H12" i="13"/>
  <c r="P56" i="14"/>
  <c r="U56" i="14"/>
  <c r="V56" i="14"/>
  <c r="T56" i="14"/>
  <c r="S56" i="14"/>
  <c r="Q56" i="14"/>
  <c r="R55" i="14"/>
  <c r="Q51" i="14"/>
  <c r="T51" i="14"/>
  <c r="T55" i="14"/>
  <c r="S52" i="14"/>
  <c r="U52" i="14"/>
  <c r="T52" i="14"/>
  <c r="P52" i="14"/>
  <c r="V52" i="14"/>
  <c r="Q52" i="14"/>
  <c r="R52" i="14"/>
  <c r="U55" i="14"/>
  <c r="Q55" i="14"/>
  <c r="R56" i="14"/>
  <c r="U51" i="14"/>
  <c r="V51" i="14"/>
  <c r="G17" i="13"/>
  <c r="U53" i="14"/>
  <c r="R53" i="14"/>
  <c r="V53" i="14"/>
  <c r="T53" i="14"/>
  <c r="Q53" i="14"/>
  <c r="P53" i="14"/>
  <c r="S53" i="14"/>
  <c r="V55" i="14"/>
  <c r="S55" i="14"/>
  <c r="S51" i="14"/>
  <c r="P54" i="14"/>
  <c r="S54" i="14"/>
  <c r="V49" i="14"/>
  <c r="S49" i="14"/>
  <c r="R49" i="14"/>
  <c r="T49" i="14"/>
  <c r="P49" i="14"/>
  <c r="U49" i="14"/>
  <c r="Q49" i="14"/>
  <c r="V50" i="14"/>
  <c r="U50" i="14"/>
  <c r="S50" i="14"/>
  <c r="Q50" i="14"/>
  <c r="T50" i="14"/>
  <c r="R50" i="14"/>
  <c r="P50" i="14"/>
  <c r="P51" i="14"/>
  <c r="R51" i="14"/>
  <c r="H17" i="13"/>
  <c r="H8" i="13"/>
  <c r="G18" i="13"/>
  <c r="H18" i="13"/>
  <c r="G20" i="13"/>
  <c r="G24" i="13"/>
  <c r="G21" i="13"/>
  <c r="G19" i="13"/>
  <c r="G22" i="13"/>
  <c r="H20" i="13"/>
  <c r="G23" i="13"/>
  <c r="H23" i="13"/>
  <c r="H22" i="13"/>
  <c r="G248" i="1"/>
  <c r="G251" i="1"/>
  <c r="G270" i="1"/>
  <c r="G268" i="1"/>
  <c r="G269" i="1"/>
  <c r="G249" i="1"/>
  <c r="G217" i="1"/>
  <c r="G244" i="1"/>
  <c r="G243" i="1"/>
  <c r="G242" i="1"/>
  <c r="G277" i="1"/>
  <c r="G275" i="1"/>
  <c r="G276" i="1"/>
  <c r="G159" i="1"/>
  <c r="G157" i="1"/>
  <c r="G179" i="1"/>
  <c r="G178" i="1"/>
  <c r="G210" i="1"/>
  <c r="G209" i="1"/>
  <c r="G208" i="1"/>
  <c r="G252" i="1"/>
  <c r="G187" i="1"/>
  <c r="G289" i="1"/>
  <c r="G288" i="1"/>
  <c r="G196" i="1"/>
  <c r="G195" i="1"/>
  <c r="G287" i="1"/>
  <c r="G300" i="1"/>
  <c r="G301" i="1"/>
  <c r="G238" i="1"/>
  <c r="G169" i="1"/>
  <c r="G230" i="1"/>
  <c r="G188" i="1"/>
  <c r="G239" i="1"/>
  <c r="G158" i="1"/>
  <c r="G285" i="1"/>
  <c r="G170" i="1"/>
  <c r="G286" i="1"/>
  <c r="J18" i="16" l="1"/>
  <c r="J19" i="16"/>
  <c r="J23" i="16"/>
  <c r="J17" i="16"/>
  <c r="J24" i="16"/>
  <c r="J22" i="16"/>
  <c r="J21" i="16"/>
  <c r="J7" i="16"/>
  <c r="F30" i="11"/>
  <c r="B9" i="3" l="1"/>
  <c r="C9" i="3"/>
  <c r="B10" i="3"/>
  <c r="C10" i="3"/>
  <c r="B11" i="3"/>
  <c r="C11" i="3"/>
  <c r="B12" i="3"/>
  <c r="C12" i="3"/>
  <c r="B13" i="3"/>
  <c r="C13" i="3"/>
  <c r="B14" i="3"/>
  <c r="C14" i="3"/>
  <c r="B15" i="3"/>
  <c r="C15" i="3"/>
  <c r="B16" i="3"/>
  <c r="C16" i="3"/>
  <c r="B17" i="3"/>
  <c r="C17" i="3"/>
  <c r="B18" i="3"/>
  <c r="C18" i="3"/>
  <c r="B19" i="3"/>
  <c r="C19" i="3"/>
  <c r="B20" i="3"/>
  <c r="C20" i="3"/>
  <c r="B21" i="3"/>
  <c r="C21" i="3"/>
  <c r="B22" i="3"/>
  <c r="C22" i="3"/>
  <c r="B23" i="3"/>
  <c r="C23" i="3"/>
  <c r="B24" i="3"/>
  <c r="C24" i="3"/>
  <c r="B25" i="3"/>
  <c r="C25" i="3"/>
  <c r="B26" i="3"/>
  <c r="C26" i="3"/>
  <c r="B27" i="3"/>
  <c r="C27" i="3"/>
  <c r="B28" i="3"/>
  <c r="C28" i="3"/>
  <c r="B29" i="3"/>
  <c r="C29" i="3"/>
  <c r="B30" i="3"/>
  <c r="C30" i="3"/>
  <c r="B31" i="3"/>
  <c r="C31" i="3"/>
  <c r="B32" i="3"/>
  <c r="C32" i="3"/>
  <c r="B33" i="3"/>
  <c r="C33" i="3"/>
  <c r="B34" i="3"/>
  <c r="C34" i="3"/>
  <c r="B35" i="3"/>
  <c r="C35" i="3"/>
  <c r="B36" i="3"/>
  <c r="C36" i="3"/>
  <c r="B37" i="3"/>
  <c r="C37" i="3"/>
  <c r="B38" i="3"/>
  <c r="C38" i="3"/>
  <c r="B39" i="3"/>
  <c r="C39" i="3"/>
  <c r="B40" i="3"/>
  <c r="C40" i="3"/>
  <c r="B41" i="3"/>
  <c r="C41" i="3"/>
  <c r="B42" i="3"/>
  <c r="C42" i="3"/>
  <c r="B43" i="3"/>
  <c r="C43" i="3"/>
  <c r="B44" i="3"/>
  <c r="C44" i="3"/>
  <c r="B45" i="3"/>
  <c r="C45" i="3"/>
  <c r="B46" i="3"/>
  <c r="C46" i="3"/>
  <c r="B47" i="3"/>
  <c r="C47" i="3"/>
  <c r="B48" i="3"/>
  <c r="C48" i="3"/>
  <c r="B49" i="3"/>
  <c r="C49" i="3"/>
  <c r="B50" i="3"/>
  <c r="C50" i="3"/>
  <c r="B51" i="3"/>
  <c r="C51" i="3"/>
  <c r="B52" i="3"/>
  <c r="C52" i="3"/>
  <c r="B53" i="3"/>
  <c r="C53" i="3"/>
  <c r="B54" i="3"/>
  <c r="C54" i="3"/>
  <c r="B55" i="3"/>
  <c r="C55" i="3"/>
  <c r="B56" i="3"/>
  <c r="C56" i="3"/>
  <c r="B57" i="3"/>
  <c r="C57" i="3"/>
  <c r="B58" i="3"/>
  <c r="C58" i="3"/>
  <c r="B59" i="3"/>
  <c r="C59" i="3"/>
  <c r="B60" i="3"/>
  <c r="C60" i="3"/>
  <c r="B61" i="3"/>
  <c r="C61" i="3"/>
  <c r="B62" i="3"/>
  <c r="C62" i="3"/>
  <c r="B63" i="3"/>
  <c r="C63" i="3"/>
  <c r="B64" i="3"/>
  <c r="C64" i="3"/>
  <c r="B65" i="3"/>
  <c r="C65" i="3"/>
  <c r="B66" i="3"/>
  <c r="C66" i="3"/>
  <c r="B67" i="3"/>
  <c r="C67" i="3"/>
  <c r="B68" i="3"/>
  <c r="C68" i="3"/>
  <c r="B69" i="3"/>
  <c r="C69" i="3"/>
  <c r="B70" i="3"/>
  <c r="C70" i="3"/>
  <c r="B71" i="3"/>
  <c r="C71" i="3"/>
  <c r="B72" i="3"/>
  <c r="C72" i="3"/>
  <c r="B73" i="3"/>
  <c r="C73" i="3"/>
  <c r="B74" i="3"/>
  <c r="C74" i="3"/>
  <c r="B75" i="3"/>
  <c r="C75" i="3"/>
  <c r="B76" i="3"/>
  <c r="C76" i="3"/>
  <c r="B77" i="3"/>
  <c r="C77" i="3"/>
  <c r="B78" i="3"/>
  <c r="C78" i="3"/>
  <c r="B79" i="3"/>
  <c r="C79" i="3"/>
  <c r="B80" i="3"/>
  <c r="C80" i="3"/>
  <c r="B81" i="3"/>
  <c r="C81" i="3"/>
  <c r="B82" i="3"/>
  <c r="C82" i="3"/>
  <c r="B83" i="3"/>
  <c r="C83" i="3"/>
  <c r="B84" i="3"/>
  <c r="C84" i="3"/>
  <c r="B85" i="3"/>
  <c r="C85" i="3"/>
  <c r="B86" i="3"/>
  <c r="C86" i="3"/>
  <c r="B87" i="3"/>
  <c r="C87" i="3"/>
  <c r="B88" i="3"/>
  <c r="C88" i="3"/>
  <c r="B89" i="3"/>
  <c r="C89" i="3"/>
  <c r="B90" i="3"/>
  <c r="C90" i="3"/>
  <c r="B91" i="3"/>
  <c r="C91" i="3"/>
  <c r="B92" i="3"/>
  <c r="C92" i="3"/>
  <c r="B8" i="3"/>
  <c r="C8" i="3"/>
  <c r="A8" i="9" l="1"/>
  <c r="A9" i="3" s="1"/>
  <c r="A9" i="9"/>
  <c r="A10" i="3" s="1"/>
  <c r="A10" i="9"/>
  <c r="A11" i="3" s="1"/>
  <c r="A11" i="9"/>
  <c r="A12" i="3" s="1"/>
  <c r="A12" i="9"/>
  <c r="A13" i="9"/>
  <c r="A14" i="9"/>
  <c r="A15" i="9"/>
  <c r="A16" i="9"/>
  <c r="A17" i="9"/>
  <c r="A18" i="3" s="1"/>
  <c r="A18" i="9"/>
  <c r="A19" i="3" s="1"/>
  <c r="A19" i="9"/>
  <c r="A20" i="3" s="1"/>
  <c r="A20" i="9"/>
  <c r="A21" i="3" s="1"/>
  <c r="A21" i="9"/>
  <c r="A22" i="3" s="1"/>
  <c r="A22" i="9"/>
  <c r="A23" i="3" s="1"/>
  <c r="A23" i="9"/>
  <c r="A24" i="3" s="1"/>
  <c r="A24" i="9"/>
  <c r="A25" i="3" s="1"/>
  <c r="A25" i="9"/>
  <c r="A26" i="3" s="1"/>
  <c r="A26" i="9"/>
  <c r="A27" i="3" s="1"/>
  <c r="A27" i="9"/>
  <c r="A28" i="3" s="1"/>
  <c r="A28" i="9"/>
  <c r="A29" i="3" s="1"/>
  <c r="A29" i="9"/>
  <c r="A30" i="3" s="1"/>
  <c r="A30" i="9"/>
  <c r="A31" i="3" s="1"/>
  <c r="A31" i="9"/>
  <c r="A32" i="3" s="1"/>
  <c r="A32" i="9"/>
  <c r="A33" i="9"/>
  <c r="A34" i="9"/>
  <c r="A35" i="9"/>
  <c r="A36" i="9"/>
  <c r="A37" i="9"/>
  <c r="A38" i="3" s="1"/>
  <c r="A38" i="9"/>
  <c r="A39" i="3" s="1"/>
  <c r="A39" i="9"/>
  <c r="A40" i="3" s="1"/>
  <c r="A40" i="9"/>
  <c r="A41" i="3" s="1"/>
  <c r="A41" i="9"/>
  <c r="A42" i="3" s="1"/>
  <c r="A42" i="9"/>
  <c r="A43" i="3" s="1"/>
  <c r="A43" i="9"/>
  <c r="A44" i="3" s="1"/>
  <c r="A44" i="9"/>
  <c r="A45" i="3" s="1"/>
  <c r="A45" i="9"/>
  <c r="A46" i="3" s="1"/>
  <c r="A46" i="9"/>
  <c r="A47" i="3" s="1"/>
  <c r="A47" i="9"/>
  <c r="A48" i="3" s="1"/>
  <c r="A48" i="9"/>
  <c r="A49" i="3" s="1"/>
  <c r="A49" i="9"/>
  <c r="A50" i="3" s="1"/>
  <c r="A50" i="9"/>
  <c r="A51" i="3" s="1"/>
  <c r="A51" i="9"/>
  <c r="A52" i="3" s="1"/>
  <c r="A52" i="9"/>
  <c r="A53" i="3" s="1"/>
  <c r="A53" i="9"/>
  <c r="A54" i="3" s="1"/>
  <c r="A54" i="9"/>
  <c r="A55" i="3" s="1"/>
  <c r="A55" i="9"/>
  <c r="A56" i="3" s="1"/>
  <c r="A56" i="9"/>
  <c r="A57" i="3" s="1"/>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7" i="9"/>
  <c r="A8" i="3" s="1"/>
  <c r="A81" i="3" l="1"/>
  <c r="A65" i="3"/>
  <c r="A88" i="3"/>
  <c r="A80" i="3"/>
  <c r="A76" i="3"/>
  <c r="A72" i="3"/>
  <c r="A68" i="3"/>
  <c r="A64" i="3"/>
  <c r="A60" i="3"/>
  <c r="A36" i="3"/>
  <c r="A16" i="3"/>
  <c r="A89" i="3"/>
  <c r="A73" i="3"/>
  <c r="A92" i="3"/>
  <c r="A84" i="3"/>
  <c r="A91" i="3"/>
  <c r="A87" i="3"/>
  <c r="A83" i="3"/>
  <c r="A79" i="3"/>
  <c r="A75" i="3"/>
  <c r="A71" i="3"/>
  <c r="A67" i="3"/>
  <c r="A63" i="3"/>
  <c r="A59" i="3"/>
  <c r="A35" i="3"/>
  <c r="A15" i="3"/>
  <c r="A77" i="3"/>
  <c r="A90" i="3"/>
  <c r="A86" i="3"/>
  <c r="A82" i="3"/>
  <c r="A78" i="3"/>
  <c r="A74" i="3"/>
  <c r="A70" i="3"/>
  <c r="A66" i="3"/>
  <c r="A62" i="3"/>
  <c r="A58" i="3"/>
  <c r="A34" i="3"/>
  <c r="A14" i="3"/>
  <c r="A85" i="3"/>
  <c r="A69" i="3"/>
  <c r="A61" i="3"/>
  <c r="A37" i="3"/>
  <c r="A33" i="3"/>
  <c r="A17" i="3"/>
  <c r="A13" i="3"/>
  <c r="F146" i="1"/>
  <c r="B48" i="14"/>
  <c r="B20" i="14"/>
  <c r="F134" i="1"/>
  <c r="G47" i="14"/>
  <c r="G19" i="14"/>
  <c r="F125" i="1"/>
  <c r="H46" i="14"/>
  <c r="H18" i="14"/>
  <c r="F112" i="1"/>
  <c r="F103" i="1"/>
  <c r="F90" i="1"/>
  <c r="F78" i="1"/>
  <c r="F77" i="1"/>
  <c r="C44" i="14"/>
  <c r="C16" i="14"/>
  <c r="F65" i="1"/>
  <c r="F60" i="1"/>
  <c r="D42" i="14"/>
  <c r="D14" i="14"/>
  <c r="F52" i="1"/>
  <c r="F47" i="1"/>
  <c r="E41" i="14"/>
  <c r="E13" i="14"/>
  <c r="F39" i="1"/>
  <c r="F34" i="1"/>
  <c r="B40" i="14"/>
  <c r="B12" i="14"/>
  <c r="F22" i="1"/>
  <c r="F17" i="1"/>
  <c r="C38" i="14"/>
  <c r="C10" i="14"/>
  <c r="F9" i="1"/>
  <c r="F145" i="1"/>
  <c r="I48" i="14"/>
  <c r="I20" i="14"/>
  <c r="F141" i="1"/>
  <c r="E48" i="14"/>
  <c r="E20" i="14"/>
  <c r="F137" i="1"/>
  <c r="F132" i="1"/>
  <c r="J47" i="14"/>
  <c r="J19" i="14"/>
  <c r="F128" i="1"/>
  <c r="F47" i="14"/>
  <c r="F19" i="14"/>
  <c r="F124" i="1"/>
  <c r="B47" i="14"/>
  <c r="B19" i="14"/>
  <c r="F120" i="1"/>
  <c r="F119" i="1"/>
  <c r="F115" i="1"/>
  <c r="G46" i="14"/>
  <c r="G18" i="14"/>
  <c r="F111" i="1"/>
  <c r="C46" i="14"/>
  <c r="C18" i="14"/>
  <c r="F107" i="1"/>
  <c r="F102" i="1"/>
  <c r="H45" i="14"/>
  <c r="H17" i="14"/>
  <c r="F98" i="1"/>
  <c r="F89" i="1"/>
  <c r="F85" i="1"/>
  <c r="F81" i="1"/>
  <c r="F76" i="1"/>
  <c r="F72" i="1"/>
  <c r="F44" i="14"/>
  <c r="F16" i="14"/>
  <c r="F68" i="1"/>
  <c r="B44" i="14"/>
  <c r="B16" i="14"/>
  <c r="F64" i="1"/>
  <c r="F63" i="1"/>
  <c r="F59" i="1"/>
  <c r="G42" i="14"/>
  <c r="G14" i="14"/>
  <c r="F55" i="1"/>
  <c r="C42" i="14"/>
  <c r="C14" i="14"/>
  <c r="F51" i="1"/>
  <c r="F46" i="1"/>
  <c r="H41" i="14"/>
  <c r="H13" i="14"/>
  <c r="F42" i="1"/>
  <c r="D41" i="14"/>
  <c r="D13" i="14"/>
  <c r="F38" i="1"/>
  <c r="F33" i="1"/>
  <c r="I40" i="14"/>
  <c r="I12" i="14"/>
  <c r="F29" i="1"/>
  <c r="E40" i="14"/>
  <c r="E12" i="14"/>
  <c r="F25" i="1"/>
  <c r="F20" i="1"/>
  <c r="J38" i="14"/>
  <c r="W38" i="14" s="1"/>
  <c r="J10" i="14"/>
  <c r="W10" i="14" s="1"/>
  <c r="F16" i="1"/>
  <c r="F38" i="14"/>
  <c r="F10" i="14"/>
  <c r="F12" i="1"/>
  <c r="F8" i="1"/>
  <c r="F48" i="14"/>
  <c r="F20" i="14"/>
  <c r="F138" i="1"/>
  <c r="C47" i="14"/>
  <c r="C19" i="14"/>
  <c r="F121" i="1"/>
  <c r="F116" i="1"/>
  <c r="D46" i="14"/>
  <c r="D18" i="14"/>
  <c r="F108" i="1"/>
  <c r="I45" i="14"/>
  <c r="I17" i="14"/>
  <c r="F99" i="1"/>
  <c r="F82" i="1"/>
  <c r="F73" i="1"/>
  <c r="H42" i="14"/>
  <c r="H14" i="14"/>
  <c r="F56" i="1"/>
  <c r="I41" i="14"/>
  <c r="I13" i="14"/>
  <c r="F43" i="1"/>
  <c r="J40" i="14"/>
  <c r="J12" i="14"/>
  <c r="F30" i="1"/>
  <c r="F21" i="1"/>
  <c r="G38" i="14"/>
  <c r="G10" i="14"/>
  <c r="F13" i="1"/>
  <c r="F144" i="1"/>
  <c r="H48" i="14"/>
  <c r="H20" i="14"/>
  <c r="F140" i="1"/>
  <c r="D48" i="14"/>
  <c r="D20" i="14"/>
  <c r="F136" i="1"/>
  <c r="F131" i="1"/>
  <c r="I47" i="14"/>
  <c r="F127" i="1"/>
  <c r="E47" i="14"/>
  <c r="F123" i="1"/>
  <c r="E19" i="14"/>
  <c r="F118" i="1"/>
  <c r="J46" i="14"/>
  <c r="J18" i="14"/>
  <c r="F114" i="1"/>
  <c r="F46" i="14"/>
  <c r="F18" i="14"/>
  <c r="F110" i="1"/>
  <c r="B46" i="14"/>
  <c r="B18" i="14"/>
  <c r="F106" i="1"/>
  <c r="F105" i="1"/>
  <c r="F37" i="9"/>
  <c r="E37" i="9"/>
  <c r="F101" i="1"/>
  <c r="G45" i="14"/>
  <c r="G17" i="14"/>
  <c r="F97" i="1"/>
  <c r="F88" i="1"/>
  <c r="F84" i="1"/>
  <c r="F80" i="1"/>
  <c r="F75" i="1"/>
  <c r="F71" i="1"/>
  <c r="E44" i="14"/>
  <c r="E16" i="14"/>
  <c r="F67" i="1"/>
  <c r="F62" i="1"/>
  <c r="J42" i="14"/>
  <c r="J14" i="14"/>
  <c r="F58" i="1"/>
  <c r="F54" i="1"/>
  <c r="B14" i="14"/>
  <c r="F50" i="1"/>
  <c r="F49" i="1"/>
  <c r="F45" i="1"/>
  <c r="G13" i="14"/>
  <c r="F41" i="1"/>
  <c r="C13" i="14"/>
  <c r="F37" i="1"/>
  <c r="E18" i="9"/>
  <c r="F32" i="1"/>
  <c r="F28" i="1"/>
  <c r="D40" i="14"/>
  <c r="D12" i="14"/>
  <c r="F24" i="1"/>
  <c r="F19" i="1"/>
  <c r="I38" i="14"/>
  <c r="F15" i="1"/>
  <c r="E10" i="14"/>
  <c r="F11" i="1"/>
  <c r="J48" i="14"/>
  <c r="J20" i="14"/>
  <c r="F142" i="1"/>
  <c r="F133" i="1"/>
  <c r="F86" i="1"/>
  <c r="G44" i="14"/>
  <c r="G16" i="14"/>
  <c r="F69" i="1"/>
  <c r="F40" i="14"/>
  <c r="F12" i="14"/>
  <c r="F26" i="1"/>
  <c r="F147" i="1"/>
  <c r="F143" i="1"/>
  <c r="G48" i="14"/>
  <c r="G20" i="14"/>
  <c r="F139" i="1"/>
  <c r="C48" i="14"/>
  <c r="C20" i="14"/>
  <c r="F135" i="1"/>
  <c r="E48" i="9"/>
  <c r="F130" i="1"/>
  <c r="H47" i="14"/>
  <c r="H19" i="14"/>
  <c r="F126" i="1"/>
  <c r="D47" i="14"/>
  <c r="D19" i="14"/>
  <c r="F122" i="1"/>
  <c r="F44" i="9"/>
  <c r="E44" i="9"/>
  <c r="F117" i="1"/>
  <c r="I46" i="14"/>
  <c r="F113" i="1"/>
  <c r="E46" i="14"/>
  <c r="E18" i="14"/>
  <c r="F109" i="1"/>
  <c r="F104" i="1"/>
  <c r="J17" i="14"/>
  <c r="F100" i="1"/>
  <c r="F91" i="1"/>
  <c r="F87" i="1"/>
  <c r="F83" i="1"/>
  <c r="F79" i="1"/>
  <c r="F74" i="1"/>
  <c r="H44" i="14"/>
  <c r="H16" i="14"/>
  <c r="F70" i="1"/>
  <c r="D44" i="14"/>
  <c r="D16" i="14"/>
  <c r="F66" i="1"/>
  <c r="F61" i="1"/>
  <c r="I42" i="14"/>
  <c r="I14" i="14"/>
  <c r="F57" i="1"/>
  <c r="F53" i="1"/>
  <c r="F48" i="1"/>
  <c r="J41" i="14"/>
  <c r="F44" i="1"/>
  <c r="F13" i="14"/>
  <c r="F40" i="1"/>
  <c r="B13" i="14"/>
  <c r="F36" i="1"/>
  <c r="F35" i="1"/>
  <c r="E17" i="9"/>
  <c r="F31" i="1"/>
  <c r="F27" i="1"/>
  <c r="C12" i="14"/>
  <c r="F23" i="1"/>
  <c r="F18" i="1"/>
  <c r="H38" i="14"/>
  <c r="F14" i="1"/>
  <c r="D10" i="14"/>
  <c r="F10" i="1"/>
  <c r="B38" i="14" l="1"/>
  <c r="K10" i="1"/>
  <c r="G15" i="1"/>
  <c r="B10" i="14"/>
  <c r="B29" i="14" s="1"/>
  <c r="J10" i="1"/>
  <c r="G10" i="1"/>
  <c r="F129" i="1"/>
  <c r="G130" i="1" s="1"/>
  <c r="B10" i="15"/>
  <c r="H12" i="16"/>
  <c r="I12" i="16"/>
  <c r="J85" i="1"/>
  <c r="J77" i="1"/>
  <c r="J81" i="1"/>
  <c r="L10" i="14"/>
  <c r="Z10" i="14" s="1"/>
  <c r="G8" i="9" s="1"/>
  <c r="E8" i="9"/>
  <c r="K40" i="14"/>
  <c r="Y40" i="14" s="1"/>
  <c r="H17" i="9" s="1"/>
  <c r="F17" i="9"/>
  <c r="M42" i="14"/>
  <c r="AA42" i="14" s="1"/>
  <c r="H29" i="9" s="1"/>
  <c r="F29" i="9"/>
  <c r="L47" i="14"/>
  <c r="Z47" i="14" s="1"/>
  <c r="H48" i="9" s="1"/>
  <c r="F48" i="9"/>
  <c r="K20" i="14"/>
  <c r="Y20" i="14" s="1"/>
  <c r="G52" i="9" s="1"/>
  <c r="E52" i="9"/>
  <c r="O48" i="14"/>
  <c r="AC48" i="14" s="1"/>
  <c r="H56" i="9" s="1"/>
  <c r="F56" i="9"/>
  <c r="O47" i="14"/>
  <c r="AC47" i="14" s="1"/>
  <c r="H51" i="9" s="1"/>
  <c r="F51" i="9"/>
  <c r="M38" i="14"/>
  <c r="AA38" i="14" s="1"/>
  <c r="H9" i="9" s="1"/>
  <c r="F9" i="9"/>
  <c r="O13" i="14"/>
  <c r="AC13" i="14" s="1"/>
  <c r="G26" i="9" s="1"/>
  <c r="E26" i="9"/>
  <c r="N14" i="14"/>
  <c r="AB14" i="14" s="1"/>
  <c r="G30" i="9" s="1"/>
  <c r="E30" i="9"/>
  <c r="O45" i="14"/>
  <c r="AC45" i="14" s="1"/>
  <c r="H41" i="9" s="1"/>
  <c r="F41" i="9"/>
  <c r="N46" i="14"/>
  <c r="AB46" i="14" s="1"/>
  <c r="H45" i="9" s="1"/>
  <c r="F45" i="9"/>
  <c r="M19" i="14"/>
  <c r="AA19" i="14" s="1"/>
  <c r="G49" i="9" s="1"/>
  <c r="E49" i="9"/>
  <c r="O38" i="14"/>
  <c r="AC38" i="14" s="1"/>
  <c r="F11" i="9"/>
  <c r="L46" i="14"/>
  <c r="Z46" i="14" s="1"/>
  <c r="H43" i="9" s="1"/>
  <c r="F43" i="9"/>
  <c r="N10" i="14"/>
  <c r="AB10" i="14" s="1"/>
  <c r="E10" i="9"/>
  <c r="K42" i="14"/>
  <c r="Y42" i="14" s="1"/>
  <c r="H27" i="9" s="1"/>
  <c r="F27" i="9"/>
  <c r="K10" i="14"/>
  <c r="Y10" i="14" s="1"/>
  <c r="G7" i="9" s="1"/>
  <c r="E7" i="9"/>
  <c r="M13" i="14"/>
  <c r="AA13" i="14" s="1"/>
  <c r="G24" i="9" s="1"/>
  <c r="E24" i="9"/>
  <c r="O12" i="14"/>
  <c r="AC12" i="14" s="1"/>
  <c r="G21" i="9" s="1"/>
  <c r="E21" i="9"/>
  <c r="K48" i="14"/>
  <c r="Y48" i="14" s="1"/>
  <c r="H52" i="9" s="1"/>
  <c r="F52" i="9"/>
  <c r="L40" i="14"/>
  <c r="Z40" i="14" s="1"/>
  <c r="H18" i="9" s="1"/>
  <c r="F18" i="9"/>
  <c r="K13" i="14"/>
  <c r="Y13" i="14" s="1"/>
  <c r="G22" i="9" s="1"/>
  <c r="E22" i="9"/>
  <c r="O41" i="14"/>
  <c r="AC41" i="14" s="1"/>
  <c r="H26" i="9" s="1"/>
  <c r="F26" i="9"/>
  <c r="N42" i="14"/>
  <c r="AB42" i="14" s="1"/>
  <c r="H30" i="9" s="1"/>
  <c r="F30" i="9"/>
  <c r="M47" i="14"/>
  <c r="AA47" i="14" s="1"/>
  <c r="H49" i="9" s="1"/>
  <c r="F49" i="9"/>
  <c r="L20" i="14"/>
  <c r="Z20" i="14" s="1"/>
  <c r="G53" i="9" s="1"/>
  <c r="E53" i="9"/>
  <c r="K19" i="14"/>
  <c r="Y19" i="14" s="1"/>
  <c r="G47" i="9" s="1"/>
  <c r="E47" i="9"/>
  <c r="N38" i="14"/>
  <c r="AB38" i="14" s="1"/>
  <c r="F10" i="9"/>
  <c r="M12" i="14"/>
  <c r="AA12" i="14" s="1"/>
  <c r="G19" i="9" s="1"/>
  <c r="E19" i="9"/>
  <c r="L17" i="14"/>
  <c r="Z17" i="14" s="1"/>
  <c r="G38" i="9" s="1"/>
  <c r="E38" i="9"/>
  <c r="O18" i="14"/>
  <c r="AC18" i="14" s="1"/>
  <c r="G46" i="9" s="1"/>
  <c r="E46" i="9"/>
  <c r="N19" i="14"/>
  <c r="AB19" i="14" s="1"/>
  <c r="G50" i="9" s="1"/>
  <c r="E50" i="9"/>
  <c r="K38" i="14"/>
  <c r="Y38" i="14" s="1"/>
  <c r="H7" i="9" s="1"/>
  <c r="F7" i="9"/>
  <c r="M41" i="14"/>
  <c r="AA41" i="14" s="1"/>
  <c r="H24" i="9" s="1"/>
  <c r="F24" i="9"/>
  <c r="M17" i="14"/>
  <c r="AA17" i="14" s="1"/>
  <c r="G39" i="9" s="1"/>
  <c r="E39" i="9"/>
  <c r="N20" i="14"/>
  <c r="AB20" i="14" s="1"/>
  <c r="G55" i="9" s="1"/>
  <c r="E55" i="9"/>
  <c r="L38" i="14"/>
  <c r="Z38" i="14" s="1"/>
  <c r="F8" i="9"/>
  <c r="O40" i="14"/>
  <c r="AC40" i="14" s="1"/>
  <c r="H21" i="9" s="1"/>
  <c r="F21" i="9"/>
  <c r="N41" i="14"/>
  <c r="AB41" i="14" s="1"/>
  <c r="H25" i="9" s="1"/>
  <c r="F25" i="9"/>
  <c r="M14" i="14"/>
  <c r="AA14" i="14" s="1"/>
  <c r="G29" i="9" s="1"/>
  <c r="E29" i="9"/>
  <c r="N45" i="14"/>
  <c r="AB45" i="14" s="1"/>
  <c r="H40" i="9" s="1"/>
  <c r="F40" i="9"/>
  <c r="K41" i="14"/>
  <c r="Y41" i="14" s="1"/>
  <c r="H22" i="9" s="1"/>
  <c r="F22" i="9"/>
  <c r="N18" i="14"/>
  <c r="AB18" i="14" s="1"/>
  <c r="G45" i="9" s="1"/>
  <c r="E45" i="9"/>
  <c r="L48" i="14"/>
  <c r="Z48" i="14" s="1"/>
  <c r="H53" i="9" s="1"/>
  <c r="F53" i="9"/>
  <c r="K47" i="14"/>
  <c r="Y47" i="14" s="1"/>
  <c r="H47" i="9" s="1"/>
  <c r="F47" i="9"/>
  <c r="M40" i="14"/>
  <c r="AA40" i="14" s="1"/>
  <c r="H19" i="9" s="1"/>
  <c r="F19" i="9"/>
  <c r="L13" i="14"/>
  <c r="Z13" i="14" s="1"/>
  <c r="G23" i="9" s="1"/>
  <c r="E23" i="9"/>
  <c r="O14" i="14"/>
  <c r="AC14" i="14" s="1"/>
  <c r="G31" i="9" s="1"/>
  <c r="E31" i="9"/>
  <c r="L45" i="14"/>
  <c r="Z45" i="14" s="1"/>
  <c r="H38" i="9" s="1"/>
  <c r="F38" i="9"/>
  <c r="K18" i="14"/>
  <c r="Y18" i="14" s="1"/>
  <c r="G42" i="9" s="1"/>
  <c r="E42" i="9"/>
  <c r="O46" i="14"/>
  <c r="AC46" i="14" s="1"/>
  <c r="H46" i="9" s="1"/>
  <c r="F46" i="9"/>
  <c r="N47" i="14"/>
  <c r="AB47" i="14" s="1"/>
  <c r="H50" i="9" s="1"/>
  <c r="F50" i="9"/>
  <c r="M20" i="14"/>
  <c r="AA20" i="14" s="1"/>
  <c r="G54" i="9" s="1"/>
  <c r="E54" i="9"/>
  <c r="N12" i="14"/>
  <c r="AB12" i="14" s="1"/>
  <c r="G20" i="9" s="1"/>
  <c r="E20" i="9"/>
  <c r="L14" i="14"/>
  <c r="Z14" i="14" s="1"/>
  <c r="G28" i="9" s="1"/>
  <c r="E28" i="9"/>
  <c r="M45" i="14"/>
  <c r="AA45" i="14" s="1"/>
  <c r="H39" i="9" s="1"/>
  <c r="F39" i="9"/>
  <c r="N48" i="14"/>
  <c r="AB48" i="14" s="1"/>
  <c r="H55" i="9" s="1"/>
  <c r="F55" i="9"/>
  <c r="N13" i="14"/>
  <c r="AB13" i="14" s="1"/>
  <c r="G25" i="9" s="1"/>
  <c r="E25" i="9"/>
  <c r="N17" i="14"/>
  <c r="AB17" i="14" s="1"/>
  <c r="G40" i="9" s="1"/>
  <c r="E40" i="9"/>
  <c r="O20" i="14"/>
  <c r="AC20" i="14" s="1"/>
  <c r="G56" i="9" s="1"/>
  <c r="E56" i="9"/>
  <c r="O19" i="14"/>
  <c r="AC19" i="14" s="1"/>
  <c r="G51" i="9" s="1"/>
  <c r="E51" i="9"/>
  <c r="M10" i="14"/>
  <c r="AA10" i="14" s="1"/>
  <c r="E9" i="9"/>
  <c r="O17" i="14"/>
  <c r="AC17" i="14" s="1"/>
  <c r="G41" i="9" s="1"/>
  <c r="E41" i="9"/>
  <c r="O10" i="14"/>
  <c r="AC10" i="14" s="1"/>
  <c r="E11" i="9"/>
  <c r="L18" i="14"/>
  <c r="Z18" i="14" s="1"/>
  <c r="G43" i="9" s="1"/>
  <c r="E43" i="9"/>
  <c r="L41" i="14"/>
  <c r="Z41" i="14" s="1"/>
  <c r="H23" i="9" s="1"/>
  <c r="F23" i="9"/>
  <c r="K14" i="14"/>
  <c r="Y14" i="14" s="1"/>
  <c r="G27" i="9" s="1"/>
  <c r="E27" i="9"/>
  <c r="O42" i="14"/>
  <c r="AC42" i="14" s="1"/>
  <c r="H31" i="9" s="1"/>
  <c r="F31" i="9"/>
  <c r="K46" i="14"/>
  <c r="Y46" i="14" s="1"/>
  <c r="H42" i="9" s="1"/>
  <c r="F42" i="9"/>
  <c r="M48" i="14"/>
  <c r="AA48" i="14" s="1"/>
  <c r="H54" i="9" s="1"/>
  <c r="F54" i="9"/>
  <c r="N40" i="14"/>
  <c r="AB40" i="14" s="1"/>
  <c r="H20" i="9" s="1"/>
  <c r="F20" i="9"/>
  <c r="L42" i="14"/>
  <c r="Z42" i="14" s="1"/>
  <c r="H28" i="9" s="1"/>
  <c r="F28" i="9"/>
  <c r="J76" i="1"/>
  <c r="X17" i="14"/>
  <c r="W17" i="14"/>
  <c r="X20" i="14"/>
  <c r="W20" i="14"/>
  <c r="X42" i="14"/>
  <c r="W42" i="14"/>
  <c r="X12" i="14"/>
  <c r="W12" i="14"/>
  <c r="X19" i="14"/>
  <c r="W19" i="14"/>
  <c r="X41" i="14"/>
  <c r="W41" i="14"/>
  <c r="X48" i="14"/>
  <c r="W48" i="14"/>
  <c r="X40" i="14"/>
  <c r="W40" i="14"/>
  <c r="X47" i="14"/>
  <c r="W47" i="14"/>
  <c r="X18" i="14"/>
  <c r="W18" i="14"/>
  <c r="X14" i="14"/>
  <c r="W14" i="14"/>
  <c r="X46" i="14"/>
  <c r="W46" i="14"/>
  <c r="J16" i="1"/>
  <c r="H10" i="14"/>
  <c r="J56" i="1"/>
  <c r="F14" i="14"/>
  <c r="F29" i="14" s="1"/>
  <c r="Q18" i="14"/>
  <c r="P18" i="14"/>
  <c r="R18" i="14"/>
  <c r="S18" i="14"/>
  <c r="U18" i="14"/>
  <c r="V18" i="14"/>
  <c r="T18" i="14"/>
  <c r="X38" i="14"/>
  <c r="T20" i="14"/>
  <c r="V20" i="14"/>
  <c r="U20" i="14"/>
  <c r="Q20" i="14"/>
  <c r="P20" i="14"/>
  <c r="S20" i="14"/>
  <c r="R20" i="14"/>
  <c r="J46" i="1"/>
  <c r="J13" i="14"/>
  <c r="J119" i="1"/>
  <c r="M18" i="14"/>
  <c r="AA18" i="14" s="1"/>
  <c r="G44" i="9" s="1"/>
  <c r="D29" i="14"/>
  <c r="J29" i="1"/>
  <c r="G12" i="14"/>
  <c r="G29" i="14" s="1"/>
  <c r="K102" i="1"/>
  <c r="J45" i="14"/>
  <c r="J115" i="1"/>
  <c r="I18" i="14"/>
  <c r="K119" i="1"/>
  <c r="M46" i="14"/>
  <c r="AA46" i="14" s="1"/>
  <c r="H44" i="9" s="1"/>
  <c r="J132" i="1"/>
  <c r="L19" i="14"/>
  <c r="Z19" i="14" s="1"/>
  <c r="G48" i="9" s="1"/>
  <c r="J33" i="1"/>
  <c r="K12" i="14"/>
  <c r="Y12" i="14" s="1"/>
  <c r="G17" i="9" s="1"/>
  <c r="P13" i="14"/>
  <c r="S13" i="14"/>
  <c r="U13" i="14"/>
  <c r="V13" i="14"/>
  <c r="R13" i="14"/>
  <c r="Q13" i="14"/>
  <c r="T13" i="14"/>
  <c r="J55" i="1"/>
  <c r="E14" i="14"/>
  <c r="J17" i="1"/>
  <c r="I10" i="14"/>
  <c r="J34" i="1"/>
  <c r="L12" i="14"/>
  <c r="Z12" i="14" s="1"/>
  <c r="G18" i="9" s="1"/>
  <c r="J82" i="1"/>
  <c r="J103" i="1"/>
  <c r="K17" i="14"/>
  <c r="Y17" i="14" s="1"/>
  <c r="G37" i="9" s="1"/>
  <c r="T19" i="14"/>
  <c r="R19" i="14"/>
  <c r="S19" i="14"/>
  <c r="V19" i="14"/>
  <c r="P19" i="14"/>
  <c r="U19" i="14"/>
  <c r="Q19" i="14"/>
  <c r="I57" i="14"/>
  <c r="J30" i="1"/>
  <c r="H12" i="14"/>
  <c r="S17" i="14"/>
  <c r="V17" i="14"/>
  <c r="T17" i="14"/>
  <c r="P17" i="14"/>
  <c r="Q17" i="14"/>
  <c r="U17" i="14"/>
  <c r="R17" i="14"/>
  <c r="K103" i="1"/>
  <c r="K45" i="14"/>
  <c r="Y45" i="14" s="1"/>
  <c r="H37" i="9" s="1"/>
  <c r="J129" i="1"/>
  <c r="I19" i="14"/>
  <c r="X10" i="14"/>
  <c r="S16" i="14"/>
  <c r="T16" i="14"/>
  <c r="Q16" i="14"/>
  <c r="V16" i="14"/>
  <c r="P16" i="14"/>
  <c r="U16" i="14"/>
  <c r="R16" i="14"/>
  <c r="C29" i="14"/>
  <c r="K68" i="1"/>
  <c r="J72" i="1"/>
  <c r="K85" i="1"/>
  <c r="J89" i="1"/>
  <c r="J111" i="1"/>
  <c r="K145" i="1"/>
  <c r="J13" i="1"/>
  <c r="K82" i="1"/>
  <c r="K90" i="1"/>
  <c r="J138" i="1"/>
  <c r="J39" i="1"/>
  <c r="K73" i="1"/>
  <c r="J108" i="1"/>
  <c r="J69" i="1"/>
  <c r="K141" i="1"/>
  <c r="K43" i="1"/>
  <c r="G41" i="14"/>
  <c r="K112" i="1"/>
  <c r="K125" i="1"/>
  <c r="J25" i="1"/>
  <c r="J42" i="1"/>
  <c r="K72" i="1"/>
  <c r="K89" i="1"/>
  <c r="K111" i="1"/>
  <c r="J128" i="1"/>
  <c r="K13" i="1"/>
  <c r="E38" i="14"/>
  <c r="J73" i="1"/>
  <c r="K129" i="1"/>
  <c r="K138" i="1"/>
  <c r="K124" i="1"/>
  <c r="K56" i="1"/>
  <c r="F42" i="14"/>
  <c r="K25" i="1"/>
  <c r="C40" i="14"/>
  <c r="K29" i="1"/>
  <c r="G40" i="14"/>
  <c r="G57" i="14" s="1"/>
  <c r="K38" i="1"/>
  <c r="B41" i="14"/>
  <c r="K42" i="1"/>
  <c r="F41" i="14"/>
  <c r="F57" i="14" s="1"/>
  <c r="K55" i="1"/>
  <c r="E42" i="14"/>
  <c r="J59" i="1"/>
  <c r="K76" i="1"/>
  <c r="K128" i="1"/>
  <c r="J137" i="1"/>
  <c r="K30" i="1"/>
  <c r="H40" i="14"/>
  <c r="J52" i="1"/>
  <c r="J86" i="1"/>
  <c r="J125" i="1"/>
  <c r="K12" i="1"/>
  <c r="D38" i="14"/>
  <c r="J12" i="1"/>
  <c r="K63" i="1"/>
  <c r="J68" i="1"/>
  <c r="K81" i="1"/>
  <c r="J124" i="1"/>
  <c r="K137" i="1"/>
  <c r="J141" i="1"/>
  <c r="J144" i="1"/>
  <c r="K39" i="1"/>
  <c r="C41" i="14"/>
  <c r="J43" i="1"/>
  <c r="K47" i="1"/>
  <c r="K52" i="1"/>
  <c r="B42" i="14"/>
  <c r="K77" i="1"/>
  <c r="J90" i="1"/>
  <c r="V45" i="14"/>
  <c r="T45" i="14"/>
  <c r="Q45" i="14"/>
  <c r="S45" i="14"/>
  <c r="U45" i="14"/>
  <c r="R45" i="14"/>
  <c r="P45" i="14"/>
  <c r="K108" i="1"/>
  <c r="J112" i="1"/>
  <c r="J116" i="1"/>
  <c r="K133" i="1"/>
  <c r="K15" i="1"/>
  <c r="K58" i="1"/>
  <c r="J75" i="1"/>
  <c r="K110" i="1"/>
  <c r="K118" i="1"/>
  <c r="J123" i="1"/>
  <c r="K140" i="1"/>
  <c r="J27" i="1"/>
  <c r="K40" i="1"/>
  <c r="J44" i="1"/>
  <c r="K57" i="1"/>
  <c r="J61" i="1"/>
  <c r="K70" i="1"/>
  <c r="J74" i="1"/>
  <c r="K87" i="1"/>
  <c r="J91" i="1"/>
  <c r="K109" i="1"/>
  <c r="J113" i="1"/>
  <c r="J117" i="1"/>
  <c r="J126" i="1"/>
  <c r="K139" i="1"/>
  <c r="J143" i="1"/>
  <c r="K19" i="1"/>
  <c r="J24" i="1"/>
  <c r="K49" i="1"/>
  <c r="J54" i="1"/>
  <c r="J80" i="1"/>
  <c r="J127" i="1"/>
  <c r="K115" i="1"/>
  <c r="K59" i="1"/>
  <c r="J63" i="1"/>
  <c r="J102" i="1"/>
  <c r="K132" i="1"/>
  <c r="J28" i="1"/>
  <c r="K21" i="1"/>
  <c r="J26" i="1"/>
  <c r="K69" i="1"/>
  <c r="K86" i="1"/>
  <c r="J142" i="1"/>
  <c r="J32" i="1"/>
  <c r="K75" i="1"/>
  <c r="J84" i="1"/>
  <c r="K123" i="1"/>
  <c r="J14" i="1"/>
  <c r="K27" i="1"/>
  <c r="J31" i="1"/>
  <c r="K44" i="1"/>
  <c r="J48" i="1"/>
  <c r="K61" i="1"/>
  <c r="K74" i="1"/>
  <c r="K91" i="1"/>
  <c r="J100" i="1"/>
  <c r="K113" i="1"/>
  <c r="K117" i="1"/>
  <c r="K126" i="1"/>
  <c r="J130" i="1"/>
  <c r="K143" i="1"/>
  <c r="J147" i="1"/>
  <c r="K24" i="1"/>
  <c r="K54" i="1"/>
  <c r="J62" i="1"/>
  <c r="K80" i="1"/>
  <c r="K127" i="1"/>
  <c r="J136" i="1"/>
  <c r="J21" i="1"/>
  <c r="K34" i="1"/>
  <c r="K16" i="1"/>
  <c r="J20" i="1"/>
  <c r="K33" i="1"/>
  <c r="K46" i="1"/>
  <c r="K28" i="1"/>
  <c r="J71" i="1"/>
  <c r="K144" i="1"/>
  <c r="K26" i="1"/>
  <c r="J47" i="1"/>
  <c r="J60" i="1"/>
  <c r="J99" i="1"/>
  <c r="J97" i="1"/>
  <c r="J98" i="1"/>
  <c r="K142" i="1"/>
  <c r="J146" i="1"/>
  <c r="K32" i="1"/>
  <c r="J45" i="1"/>
  <c r="K84" i="1"/>
  <c r="J101" i="1"/>
  <c r="J131" i="1"/>
  <c r="K14" i="1"/>
  <c r="J18" i="1"/>
  <c r="K31" i="1"/>
  <c r="J35" i="1"/>
  <c r="K48" i="1"/>
  <c r="J53" i="1"/>
  <c r="J66" i="1"/>
  <c r="J83" i="1"/>
  <c r="K100" i="1"/>
  <c r="J104" i="1"/>
  <c r="J122" i="1"/>
  <c r="K130" i="1"/>
  <c r="K147" i="1"/>
  <c r="J11" i="1"/>
  <c r="J41" i="1"/>
  <c r="K62" i="1"/>
  <c r="J67" i="1"/>
  <c r="J105" i="1"/>
  <c r="J114" i="1"/>
  <c r="K136" i="1"/>
  <c r="K88" i="1"/>
  <c r="K17" i="1"/>
  <c r="K20" i="1"/>
  <c r="J38" i="1"/>
  <c r="J145" i="1"/>
  <c r="K71" i="1"/>
  <c r="J88" i="1"/>
  <c r="K60" i="1"/>
  <c r="K99" i="1"/>
  <c r="K97" i="1"/>
  <c r="K98" i="1"/>
  <c r="K116" i="1"/>
  <c r="J133" i="1"/>
  <c r="K146" i="1"/>
  <c r="J15" i="1"/>
  <c r="K45" i="1"/>
  <c r="J58" i="1"/>
  <c r="K101" i="1"/>
  <c r="J110" i="1"/>
  <c r="J118" i="1"/>
  <c r="K131" i="1"/>
  <c r="J140" i="1"/>
  <c r="K18" i="1"/>
  <c r="K35" i="1"/>
  <c r="J40" i="1"/>
  <c r="K53" i="1"/>
  <c r="J57" i="1"/>
  <c r="K66" i="1"/>
  <c r="J70" i="1"/>
  <c r="K83" i="1"/>
  <c r="J87" i="1"/>
  <c r="K104" i="1"/>
  <c r="J109" i="1"/>
  <c r="K122" i="1"/>
  <c r="J139" i="1"/>
  <c r="K11" i="1"/>
  <c r="J19" i="1"/>
  <c r="K41" i="1"/>
  <c r="J49" i="1"/>
  <c r="K67" i="1"/>
  <c r="K105" i="1"/>
  <c r="K114" i="1"/>
  <c r="B13" i="13"/>
  <c r="D13" i="13"/>
  <c r="K10" i="3"/>
  <c r="B10" i="13"/>
  <c r="K17" i="3"/>
  <c r="K12" i="3"/>
  <c r="B25" i="13"/>
  <c r="K15" i="3"/>
  <c r="B15" i="13"/>
  <c r="B9" i="13"/>
  <c r="D9" i="13"/>
  <c r="D16" i="13"/>
  <c r="K11" i="3"/>
  <c r="B11" i="13"/>
  <c r="D11" i="13"/>
  <c r="B7" i="13"/>
  <c r="D7" i="13"/>
  <c r="B16" i="13"/>
  <c r="D10" i="13"/>
  <c r="K14" i="3"/>
  <c r="C13" i="13"/>
  <c r="E13" i="13"/>
  <c r="B14" i="13"/>
  <c r="D14" i="13"/>
  <c r="D25" i="13"/>
  <c r="D15" i="13"/>
  <c r="K8" i="3"/>
  <c r="E16" i="13"/>
  <c r="E15" i="13"/>
  <c r="E9" i="13"/>
  <c r="E10" i="13"/>
  <c r="E11" i="13"/>
  <c r="E14" i="13"/>
  <c r="E7" i="13"/>
  <c r="C9" i="13"/>
  <c r="C16" i="13"/>
  <c r="C11" i="13"/>
  <c r="C14" i="13"/>
  <c r="C10" i="13"/>
  <c r="C7" i="13"/>
  <c r="D22" i="11"/>
  <c r="D21" i="11"/>
  <c r="D17" i="11"/>
  <c r="D20" i="11"/>
  <c r="D15" i="11"/>
  <c r="D16" i="11"/>
  <c r="D19" i="11"/>
  <c r="G73" i="1"/>
  <c r="D13" i="11"/>
  <c r="G34" i="1"/>
  <c r="G39" i="1"/>
  <c r="G60" i="1"/>
  <c r="G112" i="1"/>
  <c r="G125" i="1"/>
  <c r="G146" i="1"/>
  <c r="G83" i="1"/>
  <c r="G119" i="1"/>
  <c r="G124" i="1"/>
  <c r="G35" i="1"/>
  <c r="G63" i="1"/>
  <c r="G67" i="1"/>
  <c r="G127" i="1"/>
  <c r="G147" i="1"/>
  <c r="G89" i="1"/>
  <c r="G24" i="1"/>
  <c r="G132" i="1"/>
  <c r="G52" i="1"/>
  <c r="G97" i="1"/>
  <c r="G138" i="1"/>
  <c r="G140" i="1"/>
  <c r="G30" i="1"/>
  <c r="G77" i="1"/>
  <c r="G139" i="1"/>
  <c r="G82" i="1"/>
  <c r="G46" i="1"/>
  <c r="G128" i="1"/>
  <c r="G20" i="1"/>
  <c r="G49" i="1"/>
  <c r="G80" i="1"/>
  <c r="G114" i="1"/>
  <c r="G42" i="1"/>
  <c r="G41" i="1"/>
  <c r="G129" i="1"/>
  <c r="G61" i="1"/>
  <c r="G87" i="1"/>
  <c r="G103" i="1"/>
  <c r="G116" i="1"/>
  <c r="G62" i="1"/>
  <c r="G71" i="1"/>
  <c r="G70" i="1"/>
  <c r="G72" i="1"/>
  <c r="G44" i="1"/>
  <c r="G69" i="1"/>
  <c r="G33" i="1"/>
  <c r="G84" i="1"/>
  <c r="G18" i="1"/>
  <c r="G40" i="1"/>
  <c r="G54" i="1"/>
  <c r="G55" i="1"/>
  <c r="G53" i="1"/>
  <c r="G144" i="1"/>
  <c r="G145" i="1"/>
  <c r="G142" i="1"/>
  <c r="G143" i="1"/>
  <c r="G43" i="1"/>
  <c r="G16" i="1"/>
  <c r="G76" i="1"/>
  <c r="G75" i="1"/>
  <c r="G74" i="1"/>
  <c r="G137" i="1"/>
  <c r="G136" i="1"/>
  <c r="G13" i="1"/>
  <c r="G12" i="1"/>
  <c r="G122" i="1"/>
  <c r="G81" i="1"/>
  <c r="G85" i="1"/>
  <c r="G141" i="1"/>
  <c r="G48" i="1"/>
  <c r="G113" i="1"/>
  <c r="G115" i="1"/>
  <c r="G45" i="1"/>
  <c r="G126" i="1"/>
  <c r="G17" i="1"/>
  <c r="G38" i="1"/>
  <c r="G59" i="1"/>
  <c r="G21" i="1"/>
  <c r="G47" i="1"/>
  <c r="G32" i="1"/>
  <c r="G27" i="1"/>
  <c r="G56" i="1"/>
  <c r="G108" i="1"/>
  <c r="G100" i="1"/>
  <c r="G102" i="1"/>
  <c r="G101" i="1"/>
  <c r="G105" i="1"/>
  <c r="G104" i="1"/>
  <c r="G109" i="1"/>
  <c r="G111" i="1"/>
  <c r="G110" i="1"/>
  <c r="G11" i="1"/>
  <c r="G68" i="1"/>
  <c r="G98" i="1"/>
  <c r="G14" i="1"/>
  <c r="G86" i="1"/>
  <c r="G58" i="1"/>
  <c r="G123" i="1"/>
  <c r="G66" i="1"/>
  <c r="G117" i="1"/>
  <c r="G28" i="1"/>
  <c r="G118" i="1"/>
  <c r="G91" i="1"/>
  <c r="G26" i="1"/>
  <c r="G133" i="1"/>
  <c r="G31" i="1"/>
  <c r="G25" i="1"/>
  <c r="G88" i="1"/>
  <c r="G57" i="1"/>
  <c r="G19" i="1"/>
  <c r="D43" i="3" l="1"/>
  <c r="E43" i="3"/>
  <c r="E48" i="3"/>
  <c r="D48" i="3"/>
  <c r="D26" i="3"/>
  <c r="E26" i="3"/>
  <c r="E8" i="3"/>
  <c r="D8" i="3"/>
  <c r="D57" i="3"/>
  <c r="E57" i="3"/>
  <c r="D21" i="3"/>
  <c r="E21" i="3"/>
  <c r="D39" i="3"/>
  <c r="E39" i="3"/>
  <c r="D50" i="3"/>
  <c r="E50" i="3"/>
  <c r="D19" i="3"/>
  <c r="E19" i="3"/>
  <c r="D46" i="3"/>
  <c r="E46" i="3"/>
  <c r="D49" i="3"/>
  <c r="E49" i="3"/>
  <c r="V10" i="14"/>
  <c r="D29" i="3"/>
  <c r="E29" i="3"/>
  <c r="D55" i="3"/>
  <c r="E55" i="3"/>
  <c r="E32" i="3"/>
  <c r="D32" i="3"/>
  <c r="E24" i="3"/>
  <c r="D24" i="3"/>
  <c r="E40" i="3"/>
  <c r="D40" i="3"/>
  <c r="D51" i="3"/>
  <c r="E51" i="3"/>
  <c r="E20" i="3"/>
  <c r="D20" i="3"/>
  <c r="D54" i="3"/>
  <c r="E54" i="3"/>
  <c r="D23" i="3"/>
  <c r="E23" i="3"/>
  <c r="D22" i="3"/>
  <c r="E22" i="3"/>
  <c r="D25" i="3"/>
  <c r="E25" i="3"/>
  <c r="D31" i="3"/>
  <c r="E31" i="3"/>
  <c r="D53" i="3"/>
  <c r="E53" i="3"/>
  <c r="E28" i="3"/>
  <c r="D28" i="3"/>
  <c r="E44" i="3"/>
  <c r="D44" i="3"/>
  <c r="D42" i="3"/>
  <c r="E42" i="3"/>
  <c r="E52" i="3"/>
  <c r="D52" i="3"/>
  <c r="D30" i="3"/>
  <c r="E30" i="3"/>
  <c r="D38" i="3"/>
  <c r="E38" i="3"/>
  <c r="D45" i="3"/>
  <c r="E45" i="3"/>
  <c r="E56" i="3"/>
  <c r="D56" i="3"/>
  <c r="D47" i="3"/>
  <c r="E47" i="3"/>
  <c r="D41" i="3"/>
  <c r="E41" i="3"/>
  <c r="D27" i="3"/>
  <c r="E27" i="3"/>
  <c r="D18" i="3"/>
  <c r="E18" i="3"/>
  <c r="G131" i="1"/>
  <c r="C15" i="13"/>
  <c r="K16" i="3"/>
  <c r="H16" i="13"/>
  <c r="H15" i="16"/>
  <c r="J12" i="16"/>
  <c r="I6" i="16"/>
  <c r="I10" i="16"/>
  <c r="H9" i="16"/>
  <c r="N57" i="14"/>
  <c r="I13" i="16"/>
  <c r="I8" i="16"/>
  <c r="H10" i="16"/>
  <c r="H14" i="16"/>
  <c r="I16" i="16"/>
  <c r="I9" i="16"/>
  <c r="H8" i="16"/>
  <c r="H16" i="16"/>
  <c r="I15" i="16"/>
  <c r="H6" i="16"/>
  <c r="I14" i="16"/>
  <c r="H13" i="16"/>
  <c r="O57" i="14"/>
  <c r="O29" i="14"/>
  <c r="N29" i="14"/>
  <c r="Q10" i="14"/>
  <c r="L57" i="14"/>
  <c r="M57" i="14"/>
  <c r="R10" i="14"/>
  <c r="U10" i="14"/>
  <c r="P10" i="14"/>
  <c r="T10" i="14"/>
  <c r="S10" i="14"/>
  <c r="AB57" i="14"/>
  <c r="H10" i="9"/>
  <c r="AC29" i="14"/>
  <c r="G11" i="9"/>
  <c r="AC57" i="14"/>
  <c r="H11" i="9"/>
  <c r="AA29" i="14"/>
  <c r="G9" i="9"/>
  <c r="E10" i="3" s="1"/>
  <c r="Z57" i="14"/>
  <c r="H8" i="9"/>
  <c r="AB29" i="14"/>
  <c r="G10" i="9"/>
  <c r="L29" i="14"/>
  <c r="P14" i="14"/>
  <c r="P12" i="14"/>
  <c r="AA57" i="14"/>
  <c r="K29" i="14"/>
  <c r="M29" i="14"/>
  <c r="X45" i="14"/>
  <c r="X57" i="14" s="1"/>
  <c r="W45" i="14"/>
  <c r="W57" i="14" s="1"/>
  <c r="K57" i="14"/>
  <c r="Z29" i="14"/>
  <c r="X13" i="14"/>
  <c r="X29" i="14" s="1"/>
  <c r="W13" i="14"/>
  <c r="W29" i="14" s="1"/>
  <c r="J29" i="14"/>
  <c r="E29" i="14"/>
  <c r="R12" i="14"/>
  <c r="Q12" i="14"/>
  <c r="U14" i="14"/>
  <c r="U12" i="14"/>
  <c r="V12" i="14"/>
  <c r="Q14" i="14"/>
  <c r="S14" i="14"/>
  <c r="G16" i="13"/>
  <c r="T12" i="14"/>
  <c r="S12" i="14"/>
  <c r="T14" i="14"/>
  <c r="V14" i="14"/>
  <c r="J57" i="14"/>
  <c r="H29" i="14"/>
  <c r="Y57" i="14"/>
  <c r="Y29" i="14"/>
  <c r="I29" i="14"/>
  <c r="R14" i="14"/>
  <c r="S38" i="14"/>
  <c r="R38" i="14"/>
  <c r="F61" i="3"/>
  <c r="G61" i="3" s="1"/>
  <c r="F77" i="3"/>
  <c r="G77" i="3" s="1"/>
  <c r="F16" i="3"/>
  <c r="G16" i="3" s="1"/>
  <c r="F82" i="3"/>
  <c r="G82" i="3" s="1"/>
  <c r="F34" i="3"/>
  <c r="G34" i="3" s="1"/>
  <c r="F67" i="3"/>
  <c r="G67" i="3" s="1"/>
  <c r="F84" i="3"/>
  <c r="G84" i="3" s="1"/>
  <c r="F90" i="3"/>
  <c r="G90" i="3" s="1"/>
  <c r="F33" i="3"/>
  <c r="F14" i="3"/>
  <c r="G14" i="3" s="1"/>
  <c r="F74" i="3"/>
  <c r="G74" i="3" s="1"/>
  <c r="V38" i="14"/>
  <c r="U38" i="14"/>
  <c r="V48" i="14"/>
  <c r="Q38" i="14"/>
  <c r="S41" i="14"/>
  <c r="Q41" i="14"/>
  <c r="T41" i="14"/>
  <c r="P41" i="14"/>
  <c r="R41" i="14"/>
  <c r="U41" i="14"/>
  <c r="V41" i="14"/>
  <c r="F63" i="3"/>
  <c r="F72" i="3"/>
  <c r="G72" i="3" s="1"/>
  <c r="F65" i="3"/>
  <c r="G65" i="3" s="1"/>
  <c r="F15" i="3"/>
  <c r="G15" i="3" s="1"/>
  <c r="F60" i="3"/>
  <c r="G60" i="3" s="1"/>
  <c r="F37" i="3"/>
  <c r="G37" i="3" s="1"/>
  <c r="F78" i="3"/>
  <c r="F70" i="3"/>
  <c r="G70" i="3" s="1"/>
  <c r="F73" i="3"/>
  <c r="F66" i="3"/>
  <c r="G66" i="3" s="1"/>
  <c r="F83" i="3"/>
  <c r="F13" i="3"/>
  <c r="S47" i="14"/>
  <c r="V40" i="14"/>
  <c r="P38" i="14"/>
  <c r="Q44" i="14"/>
  <c r="P44" i="14"/>
  <c r="T44" i="14"/>
  <c r="V44" i="14"/>
  <c r="R44" i="14"/>
  <c r="S44" i="14"/>
  <c r="U44" i="14"/>
  <c r="H57" i="14"/>
  <c r="R48" i="14"/>
  <c r="P48" i="14"/>
  <c r="F59" i="3"/>
  <c r="G59" i="3" s="1"/>
  <c r="F88" i="3"/>
  <c r="F81" i="3"/>
  <c r="G81" i="3" s="1"/>
  <c r="F79" i="3"/>
  <c r="G79" i="3" s="1"/>
  <c r="F76" i="3"/>
  <c r="G76" i="3" s="1"/>
  <c r="F69" i="3"/>
  <c r="G69" i="3" s="1"/>
  <c r="F71" i="3"/>
  <c r="G71" i="3" s="1"/>
  <c r="F64" i="3"/>
  <c r="G64" i="3" s="1"/>
  <c r="F89" i="3"/>
  <c r="G89" i="3" s="1"/>
  <c r="F86" i="3"/>
  <c r="G86" i="3" s="1"/>
  <c r="F36" i="3"/>
  <c r="G36" i="3" s="1"/>
  <c r="H10" i="13"/>
  <c r="C57" i="14"/>
  <c r="R46" i="14"/>
  <c r="P46" i="14"/>
  <c r="S46" i="14"/>
  <c r="U46" i="14"/>
  <c r="Q46" i="14"/>
  <c r="T46" i="14"/>
  <c r="V46" i="14"/>
  <c r="S42" i="14"/>
  <c r="V42" i="14"/>
  <c r="R42" i="14"/>
  <c r="T42" i="14"/>
  <c r="U42" i="14"/>
  <c r="P42" i="14"/>
  <c r="Q42" i="14"/>
  <c r="P47" i="14"/>
  <c r="Q47" i="14"/>
  <c r="S40" i="14"/>
  <c r="Q40" i="14"/>
  <c r="B57" i="14"/>
  <c r="U48" i="14"/>
  <c r="V47" i="14"/>
  <c r="U40" i="14"/>
  <c r="R40" i="14"/>
  <c r="F91" i="3"/>
  <c r="G91" i="3" s="1"/>
  <c r="F17" i="3"/>
  <c r="G17" i="3" s="1"/>
  <c r="F62" i="3"/>
  <c r="G62" i="3" s="1"/>
  <c r="F35" i="3"/>
  <c r="G35" i="3" s="1"/>
  <c r="F92" i="3"/>
  <c r="G92" i="3" s="1"/>
  <c r="F85" i="3"/>
  <c r="G85" i="3" s="1"/>
  <c r="F58" i="3"/>
  <c r="F75" i="3"/>
  <c r="G75" i="3" s="1"/>
  <c r="F80" i="3"/>
  <c r="G80" i="3" s="1"/>
  <c r="F87" i="3"/>
  <c r="G87" i="3" s="1"/>
  <c r="F68" i="3"/>
  <c r="D57" i="14"/>
  <c r="R47" i="14"/>
  <c r="T47" i="14"/>
  <c r="T40" i="14"/>
  <c r="P40" i="14"/>
  <c r="T38" i="14"/>
  <c r="S48" i="14"/>
  <c r="E57" i="14"/>
  <c r="Q48" i="14"/>
  <c r="T48" i="14"/>
  <c r="U47" i="14"/>
  <c r="G13" i="13"/>
  <c r="G11" i="13"/>
  <c r="H7" i="13"/>
  <c r="G14" i="13"/>
  <c r="G7" i="13"/>
  <c r="G9" i="13"/>
  <c r="H11" i="13"/>
  <c r="H14" i="13"/>
  <c r="H9" i="13"/>
  <c r="G25" i="13"/>
  <c r="G10" i="13"/>
  <c r="H13" i="13"/>
  <c r="G15" i="13"/>
  <c r="G99" i="1"/>
  <c r="G90" i="1"/>
  <c r="G29" i="1"/>
  <c r="G30" i="11"/>
  <c r="H15" i="13" l="1"/>
  <c r="D10" i="3"/>
  <c r="D9" i="3"/>
  <c r="E9" i="3"/>
  <c r="E12" i="3"/>
  <c r="D12" i="3"/>
  <c r="D11" i="3"/>
  <c r="E11" i="3"/>
  <c r="G73" i="3"/>
  <c r="L21" i="3"/>
  <c r="N21" i="3" s="1"/>
  <c r="I26" i="11" s="1"/>
  <c r="G63" i="3"/>
  <c r="L19" i="3"/>
  <c r="N19" i="3" s="1"/>
  <c r="I24" i="11" s="1"/>
  <c r="G68" i="3"/>
  <c r="L20" i="3"/>
  <c r="N20" i="3" s="1"/>
  <c r="I25" i="11" s="1"/>
  <c r="G58" i="3"/>
  <c r="L18" i="3"/>
  <c r="N18" i="3" s="1"/>
  <c r="I23" i="11" s="1"/>
  <c r="G13" i="3"/>
  <c r="L9" i="3"/>
  <c r="N9" i="3" s="1"/>
  <c r="I14" i="11" s="1"/>
  <c r="G88" i="3"/>
  <c r="L24" i="3"/>
  <c r="N24" i="3" s="1"/>
  <c r="I29" i="11" s="1"/>
  <c r="G83" i="3"/>
  <c r="L23" i="3"/>
  <c r="N23" i="3" s="1"/>
  <c r="I28" i="11" s="1"/>
  <c r="G78" i="3"/>
  <c r="L22" i="3"/>
  <c r="N22" i="3" s="1"/>
  <c r="I27" i="11" s="1"/>
  <c r="G33" i="3"/>
  <c r="L13" i="3"/>
  <c r="N13" i="3" s="1"/>
  <c r="I18" i="11" s="1"/>
  <c r="J15" i="16"/>
  <c r="J6" i="16"/>
  <c r="J9" i="16"/>
  <c r="J10" i="16"/>
  <c r="J13" i="16"/>
  <c r="J14" i="16"/>
  <c r="J8" i="16"/>
  <c r="J16" i="16"/>
  <c r="F29" i="3"/>
  <c r="G29" i="3" s="1"/>
  <c r="F56" i="3"/>
  <c r="G56" i="3" s="1"/>
  <c r="P29" i="14"/>
  <c r="S29" i="14"/>
  <c r="U29" i="14"/>
  <c r="T29" i="14"/>
  <c r="V29" i="14"/>
  <c r="R29" i="14"/>
  <c r="Q29" i="14"/>
  <c r="R57" i="14"/>
  <c r="T57" i="14"/>
  <c r="U57" i="14"/>
  <c r="V57" i="14"/>
  <c r="Q57" i="14"/>
  <c r="P57" i="14"/>
  <c r="S57" i="14"/>
  <c r="F47" i="3"/>
  <c r="G47" i="3" s="1"/>
  <c r="F55" i="3"/>
  <c r="G55" i="3" s="1"/>
  <c r="F25" i="3"/>
  <c r="G25" i="3" s="1"/>
  <c r="F40" i="3"/>
  <c r="G40" i="3" s="1"/>
  <c r="G26" i="13"/>
  <c r="H26" i="13"/>
  <c r="K25" i="13" s="1"/>
  <c r="F21" i="3"/>
  <c r="G21" i="3" s="1"/>
  <c r="F51" i="3"/>
  <c r="G51" i="3" s="1"/>
  <c r="F57" i="3"/>
  <c r="G57" i="3" s="1"/>
  <c r="F49" i="3"/>
  <c r="G49" i="3" s="1"/>
  <c r="F32" i="3"/>
  <c r="G32" i="3" s="1"/>
  <c r="F43" i="3"/>
  <c r="F39" i="3"/>
  <c r="G39" i="3" s="1"/>
  <c r="F8" i="3"/>
  <c r="F18" i="3"/>
  <c r="F48" i="3"/>
  <c r="G48" i="3" s="1"/>
  <c r="F10" i="3"/>
  <c r="G10" i="3" s="1"/>
  <c r="F38" i="3"/>
  <c r="F50" i="3"/>
  <c r="G50" i="3" s="1"/>
  <c r="F31" i="3"/>
  <c r="G31" i="3" s="1"/>
  <c r="F54" i="3"/>
  <c r="G54" i="3" s="1"/>
  <c r="F24" i="3"/>
  <c r="G24" i="3" s="1"/>
  <c r="F28" i="3"/>
  <c r="F53" i="3"/>
  <c r="F42" i="3"/>
  <c r="G42" i="3" s="1"/>
  <c r="F23" i="3"/>
  <c r="F30" i="3"/>
  <c r="G30" i="3" s="1"/>
  <c r="F22" i="3"/>
  <c r="G22" i="3" s="1"/>
  <c r="F19" i="3"/>
  <c r="G19" i="3" s="1"/>
  <c r="F27" i="3"/>
  <c r="G27" i="3" s="1"/>
  <c r="F46" i="3"/>
  <c r="G46" i="3" s="1"/>
  <c r="F41" i="3"/>
  <c r="G41" i="3" s="1"/>
  <c r="F44" i="3"/>
  <c r="G44" i="3" s="1"/>
  <c r="F52" i="3"/>
  <c r="G52" i="3" s="1"/>
  <c r="F20" i="3"/>
  <c r="G20" i="3" s="1"/>
  <c r="F26" i="3"/>
  <c r="G26" i="3" s="1"/>
  <c r="F45" i="3"/>
  <c r="G45" i="3" s="1"/>
  <c r="F11" i="3" l="1"/>
  <c r="G11" i="3" s="1"/>
  <c r="F12" i="3"/>
  <c r="G12" i="3" s="1"/>
  <c r="F9" i="3"/>
  <c r="G9" i="3" s="1"/>
  <c r="G53" i="3"/>
  <c r="L17" i="3"/>
  <c r="N17" i="3" s="1"/>
  <c r="I22" i="11" s="1"/>
  <c r="G38" i="3"/>
  <c r="L14" i="3"/>
  <c r="N14" i="3" s="1"/>
  <c r="I19" i="11" s="1"/>
  <c r="G28" i="3"/>
  <c r="L12" i="3"/>
  <c r="N12" i="3" s="1"/>
  <c r="I17" i="11" s="1"/>
  <c r="G43" i="3"/>
  <c r="L15" i="3"/>
  <c r="N15" i="3" s="1"/>
  <c r="I20" i="11" s="1"/>
  <c r="G23" i="3"/>
  <c r="L11" i="3"/>
  <c r="N11" i="3" s="1"/>
  <c r="I16" i="11" s="1"/>
  <c r="G18" i="3"/>
  <c r="L10" i="3"/>
  <c r="N10" i="3" s="1"/>
  <c r="I15" i="11" s="1"/>
  <c r="J25" i="16"/>
  <c r="K24" i="13"/>
  <c r="J25" i="13"/>
  <c r="L25" i="13" s="1"/>
  <c r="J24" i="13"/>
  <c r="H24" i="11"/>
  <c r="H18" i="11"/>
  <c r="L8" i="3" l="1"/>
  <c r="N8" i="3" s="1"/>
  <c r="I13" i="11" s="1"/>
  <c r="K15" i="16"/>
  <c r="L15" i="16" s="1"/>
  <c r="N15" i="16" s="1"/>
  <c r="L24" i="13"/>
  <c r="H25" i="11"/>
  <c r="H28" i="11"/>
  <c r="H22" i="11"/>
  <c r="H20" i="11"/>
  <c r="H21" i="11"/>
  <c r="H23" i="11"/>
  <c r="H26" i="11"/>
  <c r="H19" i="11"/>
  <c r="H16" i="11"/>
  <c r="H14" i="11"/>
  <c r="H27" i="11" l="1"/>
  <c r="H17" i="11"/>
  <c r="H29" i="11"/>
  <c r="H15" i="11"/>
  <c r="G8" i="3" l="1"/>
  <c r="J26" i="11" l="1"/>
  <c r="J16" i="11"/>
  <c r="J29" i="11"/>
  <c r="J15" i="11"/>
  <c r="J17" i="11"/>
  <c r="J28" i="11"/>
  <c r="J24" i="11"/>
  <c r="J18" i="11"/>
  <c r="J19" i="11"/>
  <c r="J22" i="11"/>
  <c r="J25" i="11"/>
  <c r="J27" i="11"/>
  <c r="J23" i="11"/>
  <c r="J21" i="11"/>
  <c r="J20" i="11"/>
  <c r="J14" i="11"/>
  <c r="O15" i="3"/>
  <c r="O17" i="3"/>
  <c r="O9" i="3"/>
  <c r="O11" i="3"/>
  <c r="O8" i="3"/>
  <c r="O22" i="3"/>
  <c r="O14" i="3"/>
  <c r="O23" i="3"/>
  <c r="O20" i="3"/>
  <c r="O12" i="3"/>
  <c r="O24" i="3"/>
  <c r="O13" i="3"/>
  <c r="O21" i="3"/>
  <c r="O19" i="3"/>
  <c r="O18" i="3"/>
  <c r="O10" i="3"/>
  <c r="O16" i="3"/>
  <c r="L14" i="11" l="1"/>
  <c r="M14" i="11"/>
  <c r="M15" i="11"/>
  <c r="L15" i="11"/>
  <c r="M20" i="11"/>
  <c r="L20" i="11"/>
  <c r="L25" i="11"/>
  <c r="M25" i="11"/>
  <c r="L24" i="11"/>
  <c r="M24" i="11"/>
  <c r="L29" i="11"/>
  <c r="M29" i="11"/>
  <c r="L18" i="11"/>
  <c r="M18" i="11"/>
  <c r="M21" i="11"/>
  <c r="L21" i="11"/>
  <c r="M22" i="11"/>
  <c r="L22" i="11"/>
  <c r="M28" i="11"/>
  <c r="L28" i="11"/>
  <c r="L16" i="11"/>
  <c r="M16" i="11"/>
  <c r="M27" i="11"/>
  <c r="L27" i="11"/>
  <c r="J13" i="11"/>
  <c r="I30" i="11"/>
  <c r="M23" i="11"/>
  <c r="L23" i="11"/>
  <c r="M19" i="11"/>
  <c r="L19" i="11"/>
  <c r="L17" i="11"/>
  <c r="M17" i="11"/>
  <c r="M26" i="11"/>
  <c r="L26" i="11"/>
  <c r="O28" i="3"/>
  <c r="O27" i="3"/>
  <c r="M13" i="11" l="1"/>
  <c r="J30" i="11"/>
  <c r="L13" i="11"/>
  <c r="M30" i="11" l="1"/>
  <c r="L30" i="11"/>
  <c r="D30" i="11"/>
  <c r="H13" i="11"/>
  <c r="H30" i="11" l="1"/>
  <c r="K13" i="13" l="1"/>
  <c r="K12" i="13"/>
  <c r="K22" i="13"/>
  <c r="K20" i="13"/>
  <c r="K18" i="13"/>
  <c r="K16" i="13"/>
  <c r="K14" i="13"/>
  <c r="K10" i="13"/>
  <c r="K7" i="13"/>
  <c r="K8" i="13"/>
  <c r="K23" i="13"/>
  <c r="K21" i="13"/>
  <c r="K19" i="13"/>
  <c r="K17" i="13"/>
  <c r="K15" i="13"/>
  <c r="K11" i="13"/>
  <c r="K9" i="13"/>
  <c r="J13" i="13"/>
  <c r="L13" i="13" s="1"/>
  <c r="J12" i="13"/>
  <c r="J22" i="13"/>
  <c r="J20" i="13"/>
  <c r="J18" i="13"/>
  <c r="J16" i="13"/>
  <c r="J14" i="13"/>
  <c r="J10" i="13"/>
  <c r="J7" i="13"/>
  <c r="J8" i="13"/>
  <c r="J23" i="13"/>
  <c r="J21" i="13"/>
  <c r="J19" i="13"/>
  <c r="L19" i="13" s="1"/>
  <c r="J17" i="13"/>
  <c r="J15" i="13"/>
  <c r="J11" i="13"/>
  <c r="J9" i="13"/>
  <c r="L9" i="13" s="1"/>
  <c r="L14" i="13" l="1"/>
  <c r="L22" i="13"/>
  <c r="L17" i="13"/>
  <c r="L8" i="13"/>
  <c r="L10" i="13"/>
  <c r="L20" i="13"/>
  <c r="L15" i="13"/>
  <c r="L23" i="13"/>
  <c r="L7" i="13"/>
  <c r="L18" i="13"/>
  <c r="L12" i="13"/>
  <c r="L11" i="13"/>
  <c r="L21" i="13"/>
  <c r="L16" i="13"/>
</calcChain>
</file>

<file path=xl/sharedStrings.xml><?xml version="1.0" encoding="utf-8"?>
<sst xmlns="http://schemas.openxmlformats.org/spreadsheetml/2006/main" count="993" uniqueCount="256">
  <si>
    <t>Reallocations</t>
  </si>
  <si>
    <t>Variable code</t>
  </si>
  <si>
    <t>Variable name</t>
  </si>
  <si>
    <t>_cons</t>
  </si>
  <si>
    <t>Constant</t>
  </si>
  <si>
    <t>Triangulation weights</t>
  </si>
  <si>
    <t>Company</t>
  </si>
  <si>
    <t>Year</t>
  </si>
  <si>
    <t>ANH</t>
  </si>
  <si>
    <t>NES</t>
  </si>
  <si>
    <t>NWT</t>
  </si>
  <si>
    <t>SRN</t>
  </si>
  <si>
    <t>SVT</t>
  </si>
  <si>
    <t>SWT</t>
  </si>
  <si>
    <t>SWB</t>
  </si>
  <si>
    <t>TMS</t>
  </si>
  <si>
    <t>WSH</t>
  </si>
  <si>
    <t>WSX</t>
  </si>
  <si>
    <t>YKY</t>
  </si>
  <si>
    <t>AFW</t>
  </si>
  <si>
    <t>BRL</t>
  </si>
  <si>
    <t>BWH</t>
  </si>
  <si>
    <t>DVW</t>
  </si>
  <si>
    <t>PRT</t>
  </si>
  <si>
    <t>SES</t>
  </si>
  <si>
    <t>SEW</t>
  </si>
  <si>
    <t>SSC</t>
  </si>
  <si>
    <t>SVE</t>
  </si>
  <si>
    <t>HDD</t>
  </si>
  <si>
    <t>Code</t>
  </si>
  <si>
    <t>Data</t>
  </si>
  <si>
    <t>Efficiency challenge</t>
  </si>
  <si>
    <t>Historical</t>
  </si>
  <si>
    <t>Forecast</t>
  </si>
  <si>
    <t>Random effects</t>
  </si>
  <si>
    <t>Econometric models - estimated coefficients</t>
  </si>
  <si>
    <t>Forecast cost drivers</t>
  </si>
  <si>
    <t xml:space="preserve"> - use for setting allowance</t>
  </si>
  <si>
    <t xml:space="preserve">Model weights </t>
  </si>
  <si>
    <t>Total</t>
  </si>
  <si>
    <t>Actual costs</t>
  </si>
  <si>
    <t>Triangulated modelled costs</t>
  </si>
  <si>
    <t>Modelled costs</t>
  </si>
  <si>
    <t>Forward looking efficiency score</t>
  </si>
  <si>
    <t>Median</t>
  </si>
  <si>
    <t>Upper quartile</t>
  </si>
  <si>
    <t>Assessor's name</t>
  </si>
  <si>
    <t>Peer review (initials, date)</t>
  </si>
  <si>
    <t>BoN code</t>
  </si>
  <si>
    <t>Enhancement line</t>
  </si>
  <si>
    <t>Control</t>
  </si>
  <si>
    <t>Wholesale water</t>
  </si>
  <si>
    <t>Cost allowance for AMP7 (£m)</t>
  </si>
  <si>
    <t>Capex in business plan - wholesale water</t>
  </si>
  <si>
    <t>Capex reallocated out to other lines</t>
  </si>
  <si>
    <t>Capex reallocated in to this line</t>
  </si>
  <si>
    <t>Net Capex reallocated</t>
  </si>
  <si>
    <t>Capex allowed - wholesale water</t>
  </si>
  <si>
    <t>Proportion of water resources</t>
  </si>
  <si>
    <t>Capex allowed - water resources</t>
  </si>
  <si>
    <t>Capex allowed - network plus</t>
  </si>
  <si>
    <t>Global controls</t>
  </si>
  <si>
    <t xml:space="preserve"> - In this sheet we set model weights and efficiency challenge</t>
  </si>
  <si>
    <t>Data for AMP7</t>
  </si>
  <si>
    <t xml:space="preserve">Unit cost weights </t>
  </si>
  <si>
    <t>Unit cost view</t>
  </si>
  <si>
    <t>Mean or Median?</t>
  </si>
  <si>
    <t>realW3006CAW</t>
  </si>
  <si>
    <t>BN11600</t>
  </si>
  <si>
    <t>Number of lead communication pipes</t>
  </si>
  <si>
    <t>BN1231</t>
  </si>
  <si>
    <t>Number of lead pipes replaced</t>
  </si>
  <si>
    <t>Smoothed Number of lead communication pipes</t>
  </si>
  <si>
    <t>Smoothed Number of lead pipes replaced</t>
  </si>
  <si>
    <t>Meeting lead standards</t>
  </si>
  <si>
    <t>Meeting lead standards with reallocations</t>
  </si>
  <si>
    <t>Meeting lead standardss smoothed</t>
  </si>
  <si>
    <t>re2</t>
  </si>
  <si>
    <t>re1</t>
  </si>
  <si>
    <t>Dependent variable: Meeting lead standard costs (3-year smoothed)</t>
  </si>
  <si>
    <t>Meeting lead standard costs</t>
  </si>
  <si>
    <t>leadcommpipes</t>
  </si>
  <si>
    <t>Number of lead communication pipes replaced for water quality</t>
  </si>
  <si>
    <t xml:space="preserve">Allowance for meeting lead standard costs </t>
  </si>
  <si>
    <t>Historical 
modelled costs (£m)</t>
  </si>
  <si>
    <t>Forecast 
modelled costs (£m)</t>
  </si>
  <si>
    <t>Triangulated modelled costs (£m)</t>
  </si>
  <si>
    <t>Industry unit cost</t>
  </si>
  <si>
    <t xml:space="preserve">Allowed costs - Meeting lead standards </t>
  </si>
  <si>
    <t>Ofwat's forecast of cost drivers for enhancement</t>
  </si>
  <si>
    <t>nr, Number of lead communication pipes replaced for water quality</t>
  </si>
  <si>
    <t>Company forecast</t>
  </si>
  <si>
    <t>Final Decision</t>
  </si>
  <si>
    <t>2011-12</t>
  </si>
  <si>
    <t>2012-13</t>
  </si>
  <si>
    <t>2013-14</t>
  </si>
  <si>
    <t>2014-15</t>
  </si>
  <si>
    <t>2015-16</t>
  </si>
  <si>
    <t>2016-17</t>
  </si>
  <si>
    <t>2017-18</t>
  </si>
  <si>
    <t>2018-19</t>
  </si>
  <si>
    <t>2019-20</t>
  </si>
  <si>
    <t>2020-21</t>
  </si>
  <si>
    <t>2021-22</t>
  </si>
  <si>
    <t>2022-23</t>
  </si>
  <si>
    <t>2023-24</t>
  </si>
  <si>
    <t>2024-25</t>
  </si>
  <si>
    <t>Industry</t>
  </si>
  <si>
    <t>Forecast: time trend</t>
  </si>
  <si>
    <t>Final decision</t>
  </si>
  <si>
    <t>Hard coded decision</t>
  </si>
  <si>
    <t>Check</t>
  </si>
  <si>
    <t>Time trend</t>
  </si>
  <si>
    <t>nr, Number of lead communication pipes</t>
  </si>
  <si>
    <t>Ofwat's forecasts</t>
  </si>
  <si>
    <t>Company's forecasts</t>
  </si>
  <si>
    <t>Financial year</t>
  </si>
  <si>
    <t>Financial year ending in</t>
  </si>
  <si>
    <t>Peer review (initials, date and QA log ref.)</t>
  </si>
  <si>
    <t>Assessment</t>
  </si>
  <si>
    <t>Assessment gates</t>
  </si>
  <si>
    <t>References</t>
  </si>
  <si>
    <t>Need for investment</t>
  </si>
  <si>
    <t>Need for adjustment</t>
  </si>
  <si>
    <t>Management control</t>
  </si>
  <si>
    <t>Best option for customers</t>
  </si>
  <si>
    <t>Robustness and efficiency of costs</t>
  </si>
  <si>
    <t>Customer protection</t>
  </si>
  <si>
    <t>Affordability</t>
  </si>
  <si>
    <t>Board assurance</t>
  </si>
  <si>
    <t>Overall assessment result</t>
  </si>
  <si>
    <t>leadstandardcosts</t>
  </si>
  <si>
    <t>reallocations</t>
  </si>
  <si>
    <t>leadcosts</t>
  </si>
  <si>
    <t>leadcostssmoothed</t>
  </si>
  <si>
    <t>leadpipesreplaced</t>
  </si>
  <si>
    <t>leadcommpipessmoothed</t>
  </si>
  <si>
    <t>leadpipesreplacedsmoothed</t>
  </si>
  <si>
    <t>Theme</t>
  </si>
  <si>
    <t>Health impact</t>
  </si>
  <si>
    <t>+no safe standard for lead</t>
  </si>
  <si>
    <t>+ young people particularly those under 6 yrs old have shown increased behavioural problems and lower IQ.</t>
  </si>
  <si>
    <t>+ Known adverse health effects of excessive long-term exposure to lead, with children under 6 yrs old and expectant mothers being particularly vulnerable, p53</t>
  </si>
  <si>
    <t>Customer Support</t>
  </si>
  <si>
    <t>+ multiple references in App1 Customer insight (sample 400 props) with 61% support, 26% willing to pay to do more and 8% invest less.</t>
  </si>
  <si>
    <t>+ Reference to customers becoming anxious when aware of risks</t>
  </si>
  <si>
    <t>+ SR6: Towards a lead free Wales in ranked 10th out of 14 priorities</t>
  </si>
  <si>
    <t>Scale of problem</t>
  </si>
  <si>
    <t>+ European Commission consulting on tightening std from 10 to 5ug/l …. Which could take effect from 2030.</t>
  </si>
  <si>
    <t>+ estimated 25% of homes in Wales have lead pipes</t>
  </si>
  <si>
    <t>Treatment</t>
  </si>
  <si>
    <t>+ achieving 99.5 to 100% at 10ug/l</t>
  </si>
  <si>
    <t>+ estimate 98% at 5ug/l and 71.5% at 0ug/l</t>
  </si>
  <si>
    <t>+dose PO4 at 41 WTW, and achieve 99% compliance of 10ug/l PCV</t>
  </si>
  <si>
    <t>+ 95% of customers received PO4 dosed potable water in 2017.</t>
  </si>
  <si>
    <t>DWI</t>
  </si>
  <si>
    <t>+ no letter on file</t>
  </si>
  <si>
    <t>+ letter of support, 30th May 18, referencing replacement of CP and SP if sample indicates &gt;5ug/l and low income area eligible for the Welsh Government Arbed housing improvement scheme that tackles fuel poverty.</t>
  </si>
  <si>
    <t>Strategies</t>
  </si>
  <si>
    <t>+ Customer protection measures and WQ surveys</t>
  </si>
  <si>
    <t>+ Long term planning including supply pipe survey and mapping and research</t>
  </si>
  <si>
    <t>+ free SP replacement &gt;5ug/l, expect 7,000 SP props in AMP7</t>
  </si>
  <si>
    <t>+ linking partners, Welsh Gov Arbed scheme, Project Cartref (removal of lead pipes of targeted props under leakage scheme)</t>
  </si>
  <si>
    <t>+ supporting WaterSafe scheme to prevent the use of lead solder during plumbing works and WRAS.</t>
  </si>
  <si>
    <t>Innovation</t>
  </si>
  <si>
    <t>+ replacement estimate is £2k</t>
  </si>
  <si>
    <t>+ get plumbers involved</t>
  </si>
  <si>
    <t>+ better information (GIS, relining trials, targeting)</t>
  </si>
  <si>
    <t>+ sampling improvements (easier/more reliable)</t>
  </si>
  <si>
    <t>+ enhanced PO4 process optimisation</t>
  </si>
  <si>
    <t>+ working with KOBUS pipe puller to reduce cost of SP replacement from av £3.5k to £1.5k per prop.</t>
  </si>
  <si>
    <t>+ investigating extracting PO4 from WWTW’s</t>
  </si>
  <si>
    <t>PC</t>
  </si>
  <si>
    <t>+ A3: Number of lead pipes replaced</t>
  </si>
  <si>
    <t>+ Wt8: Lead supply pipes replaced</t>
  </si>
  <si>
    <t>Additional expenditure</t>
  </si>
  <si>
    <t>+ £2.93m</t>
  </si>
  <si>
    <t>+ WSH state further £20m, but WS2 L6 Meeting Lead standards totals £15.047m for the AMP7 period</t>
  </si>
  <si>
    <t>Historical and Forecast</t>
  </si>
  <si>
    <t>average cp's replaced/y</t>
  </si>
  <si>
    <t>% replaced/y</t>
  </si>
  <si>
    <t>potential cp replacements for WSH For AMP 7</t>
  </si>
  <si>
    <t>Comment</t>
  </si>
  <si>
    <t xml:space="preserve">Background Comparison </t>
  </si>
  <si>
    <t>Potential forecast replacements based on Industry averages</t>
  </si>
  <si>
    <t>7.1 Assessment of the plan against Welsh Governments SPS WSH
7.3 PR19 Board agenda, decisions and challenges</t>
  </si>
  <si>
    <t>Line A6-B45: Meeting lead standards</t>
  </si>
  <si>
    <t>Capital - operating expenditure to meet lead standards. This includes expenditure to deal with the conditioning of water before entering distribution to reduce plumbosolvency, expenditure on replacing lead communication pipes owned by the company and any other lead related work including investigations.</t>
  </si>
  <si>
    <t>Blind years: There are no costs reported in this line for the blind years</t>
  </si>
  <si>
    <t>Forecast years: The basis of this programme is to improve the Quality of water delivered to customers and focuses on improvements to the levels of lead by replacing service pipes as well as dis-infection by-products. This will include a Research and Development programme which will develop solutions to improve water treatment for new or existing substances which provides a challenge to our existing Water Treatment processes. The programme of work is detailed in the 5.8F Water Quality investment case and the investments within lines 6 and 13 summarised in Table 2 below.</t>
  </si>
  <si>
    <t>The spend allocated here will improve water quality and where the service pipe results in regular interruptions to a single properties supply or reduces pressure there will be a secondary benefit by improving service in these areas.</t>
  </si>
  <si>
    <t>The investments included in this line will improve the water quality but is judged not to be part of the AoW programme of work.</t>
  </si>
  <si>
    <t>Project Name</t>
  </si>
  <si>
    <t>Budget Post-Efficiency unless stated</t>
  </si>
  <si>
    <t>WS2 Table Lines</t>
  </si>
  <si>
    <t>Disinfection by-products R &amp; D</t>
  </si>
  <si>
    <t>£0.686m</t>
  </si>
  <si>
    <t>A13</t>
  </si>
  <si>
    <t>Disinfection by-products Alaw WTW improvements</t>
  </si>
  <si>
    <t>£0.713m</t>
  </si>
  <si>
    <t>Replacement of supply pipes for an additional 3,500 customers</t>
  </si>
  <si>
    <t>£10.013m</t>
  </si>
  <si>
    <t>A6</t>
  </si>
  <si>
    <t>Replacement of lead supply pipes for disadvantaged customers</t>
  </si>
  <si>
    <t>£5.034m</t>
  </si>
  <si>
    <t>Total Quality Programme post efficiency challenge</t>
  </si>
  <si>
    <t>£16.446m</t>
  </si>
  <si>
    <t>Table 2 – Summary of the Lines A6 &amp; A13 Investment Programme</t>
  </si>
  <si>
    <t>Welsh Water – Wholesale Water Service Table Commentaries</t>
  </si>
  <si>
    <t>Cover sheet</t>
  </si>
  <si>
    <t>The assessor and QA</t>
  </si>
  <si>
    <t>Enhancement line BoN code</t>
  </si>
  <si>
    <t>Enhancement line description</t>
  </si>
  <si>
    <t>Capex carried through deep dive AMP7  (£m)</t>
  </si>
  <si>
    <t>Pass</t>
  </si>
  <si>
    <t>Partial pass</t>
  </si>
  <si>
    <t>Ofwat view of allowance for AMP7 (£m)</t>
  </si>
  <si>
    <t xml:space="preserve">Average nr of Lead cp's </t>
  </si>
  <si>
    <t xml:space="preserve"> proactive replacement in hot spot areas and at schools 460 pipes £1,490k</t>
  </si>
  <si>
    <t>opportunistic CP replacement (nr not found assume 200 based on £0.4m divided by £2k estimate)</t>
  </si>
  <si>
    <t>To reflect tighter target and developing strategy</t>
  </si>
  <si>
    <t>Number of allowed replacements of 5,154 multiplied by the benchmark unit cost of £2,000 = £10.308m. See the Analysis box for details.</t>
  </si>
  <si>
    <t>Allowance model</t>
  </si>
  <si>
    <t>Allowance deep dive</t>
  </si>
  <si>
    <t>W3006CAW</t>
  </si>
  <si>
    <t>Capex after reallocations</t>
  </si>
  <si>
    <t>Modelled Costs</t>
  </si>
  <si>
    <t>£m 2017-18 prices</t>
  </si>
  <si>
    <t>PM</t>
  </si>
  <si>
    <t/>
  </si>
  <si>
    <t>SS</t>
  </si>
  <si>
    <t>Not assessed</t>
  </si>
  <si>
    <t>2.2 PR19 Water Network Plus Business Plan WSH, Strategic Response 6: Towards a lead-free Wales, p53 to 59
supply pipe replacement target of 7,000 for AMP7 is referenced p8, 56 and 57. p56 comment mentions and/or communication pipes</t>
  </si>
  <si>
    <t>HDD highlighted the Lead challenge as a CAC whereas WSH did not and included the investment in the standard Enhancement line for meeting Lead standards. It is questionable why the HDD and WSH are adopting slightly different strategies for a common Welsh Government customer base.  This could help focus adoption of effective strategies in the future if WSH and HDD share the results and effectiveness of the strategies.  These should inform DWI thinking and English companies should the DWI adopt the lower 5ug/l standard ahead of PR24.</t>
  </si>
  <si>
    <t>We have identified that WSH are working with KOBUS pipe puller to reduce cost of SP replacement from av £3.5k to £1.5k per prop and investigating extracting PO4 from WWTW’s, though no detail or further cost implications are evident.</t>
  </si>
  <si>
    <t>No reference made to Well Being in this assessment document
Reference is made in the November 2017 section regarding Measures of Success need to cover all customer priorities, Welsh Water 2050 commitments and Welsh Government’s Well-being Goals.</t>
  </si>
  <si>
    <t>2.2 PR19 Water Network Plus Business Plan WSH, Strategic Response 6: Towards a lead-free Wales, p53 to 59</t>
  </si>
  <si>
    <t xml:space="preserve">We note that customers become anxious when aware of risks, SR6: Towards a lead free Wales in ranked 10th out of 14 priorities, </t>
  </si>
  <si>
    <t>We have identified the PC Wt8: Lead supply pipes replaced, which has an over and underperformance revenue ODI.</t>
  </si>
  <si>
    <t>Costs in £m 2018-18 prices</t>
  </si>
  <si>
    <t>Total meeting lead standards costs with reallocations - historical period (2011-12 to 2017-18)</t>
  </si>
  <si>
    <t>Meeting lead standard costs with reallocations - AMP7 period (2020-21 to 2024-25)</t>
  </si>
  <si>
    <t xml:space="preserve">Number of lead communication pipes replaced for water quality - historical period (2011-12 to 2017-18) </t>
  </si>
  <si>
    <t>Number of lead communication pipes replaced for water quality - AMP7 period (2020-21 to 2024-25)</t>
  </si>
  <si>
    <t>Unit cost - historical period, £/ pipe</t>
  </si>
  <si>
    <t>Unit cost - Forecast period, £/pipe</t>
  </si>
  <si>
    <t>AF 24/01/19</t>
  </si>
  <si>
    <t>Further analysis</t>
  </si>
  <si>
    <t xml:space="preserve">WSH estimate 7,000 for the period we could allow half based on industry averages, but this is to meet 10ug/l </t>
  </si>
  <si>
    <t>Notes</t>
  </si>
  <si>
    <t>Final allowed replacement number</t>
  </si>
  <si>
    <t>We have a stata file: lead standards.do which we use use for determining our model coefficients</t>
  </si>
  <si>
    <t xml:space="preserve">We have identified that WSH dose PO4 at 41 WTW, and achieve 99% compliance of 10ug/l PCV and 95% of customers received PO4 dosed potable water in 2017. </t>
  </si>
  <si>
    <t>Using industry av WSH replacements/y</t>
  </si>
  <si>
    <t>Welsh Water has developed a strategy and forecast expenditure in WS2 L6 Meeting lead standards to 'play our part in delivering the well-being goals set out in the Welsh Governments Well-being of Future Generations Act 2015' to reduce lead exposure as low as reasonably practicable. This entails the following strategies:
- Offering free lead pipe replacements for props with high lead levels (7,000 supply pipe and/or comms pipe AMP7 forecast)
- Linking with other partners' schemes like Welsh Government Arbed scheme to identify lead piping; and
- Supporting the WaterSafe scheme to prevent the use of lead solder during plumbing works
The Water Strategy for Wales (2015) the Welsh Government states that it aims to keep exposure to lead as low as reasonably practicable. However, at the end of that paragraph, the action arising from this goal is for the Welsh Government to work with the Drinking Water Inspectorate, water companies and others to investigate best practice and options for addressing the risk of lead leaching into water supplies. They also say that the Government will work with the DWI to keep the relevant drinking water quality legislation under review and where necessary, amend it. 
It is worth mentioning that the current water quality regulations for water undertakers whose areas are wholly or mainly in Wales (the Water Supply (Water Quality) Regulations 2018) were only made this year, that is, after the 2015 Water Strategy and the commitment to amend legislation where necessary.  These regulations still include the 10 μg/litre limit for lead, so that is the legal limit.  
The Well-being of Future Generations (Wales) Act 2015, that HDD also mentions, does not directly apply to water companies, as HDD recognises (relevant undertakers are not among the public bodies listed in the Act) and is a very high level piece of legislation that sets a number of goals, such as a healthier Wales, but does not mention particular issues that may affect these goals, as lead in drinking water or what the limit should be.
The Strategic Priorities and Objectives Statement (SPS) to Ofwat, issued under section 2B WIA91, state that Ofwat must work with the Drinking Water Inspectorate to regulate companies to encourage and incentivise them to maintain the current high standard of public drinking water quality for the long-term. This should include customer acceptability as well as wholesomeness. Again, this is not very specific and does not necessarily imply tightening the existing lead legal standards.
We have identified that the European Directive on Drinking Water is under revision and the proposal being discussed includes a reduction of the lead limit to 5 μg/litre. However it has not yet been approved and the draft proposal includes a 10 year transitioning period after the Directive comes into force. With the Brexit scenario it is also not certain that this will affect UK water undertakers (England and Wales).
We note the DWI letter of support, 30th May 18, referencing replacement of CP and SP if sample indicates &gt;5ug/l and low income area eligible for the Welsh Government Arbed housing improvement scheme that tackles fuel poverty.</t>
  </si>
  <si>
    <t>Deep dive sheet - WSH Lead standards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</si>
</sst>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_);_(* \(#,##0.00\);_(* &quot;-&quot;??_);_(@_)"/>
    <numFmt numFmtId="165" formatCode="_-* #,##0.0_-;\-* #,##0.0_-;_-* &quot;-&quot;??_-;_-@_-"/>
    <numFmt numFmtId="166" formatCode="#,##0.000000"/>
    <numFmt numFmtId="167" formatCode="#,##0.0_ ;\-#,##0.0\ "/>
    <numFmt numFmtId="168" formatCode="_-* #,##0_-;\-* #,##0_-;_-* &quot;-&quot;??_-;_-@_-"/>
    <numFmt numFmtId="169" formatCode="0.0"/>
    <numFmt numFmtId="170" formatCode="_(* #,##0_);_(* \(#,##0\);_(* &quot;-&quot;??_);_(@_)"/>
    <numFmt numFmtId="171" formatCode="0.000"/>
    <numFmt numFmtId="172" formatCode="#,##0.0000"/>
    <numFmt numFmtId="173" formatCode="0.000%"/>
    <numFmt numFmtId="174" formatCode="#,##0.00000"/>
    <numFmt numFmtId="175" formatCode="0.00000"/>
    <numFmt numFmtId="176" formatCode="0.0000%"/>
    <numFmt numFmtId="177" formatCode="_-* #,##0.000_-;\-* #,##0.000_-;_-* &quot;-&quot;??_-;_-@_-"/>
  </numFmts>
  <fonts count="31" x14ac:knownFonts="1">
    <font>
      <sz val="11"/>
      <color theme="1"/>
      <name val="Arial"/>
      <family val="2"/>
    </font>
    <font>
      <sz val="11"/>
      <color theme="1"/>
      <name val="Arial"/>
      <family val="2"/>
    </font>
    <font>
      <b/>
      <sz val="10"/>
      <color theme="1"/>
      <name val="Calibri"/>
      <family val="2"/>
      <scheme val="minor"/>
    </font>
    <font>
      <sz val="10"/>
      <color theme="1"/>
      <name val="Calibri"/>
      <family val="2"/>
      <scheme val="minor"/>
    </font>
    <font>
      <sz val="10"/>
      <color theme="3"/>
      <name val="Calibri"/>
      <family val="2"/>
      <scheme val="minor"/>
    </font>
    <font>
      <i/>
      <sz val="11"/>
      <color rgb="FF7F7F7F"/>
      <name val="Arial"/>
      <family val="2"/>
    </font>
    <font>
      <sz val="11"/>
      <color theme="1"/>
      <name val="Calibri"/>
      <family val="2"/>
      <scheme val="minor"/>
    </font>
    <font>
      <b/>
      <sz val="14"/>
      <color theme="1"/>
      <name val="Calibri"/>
      <family val="2"/>
      <scheme val="minor"/>
    </font>
    <font>
      <sz val="10"/>
      <color rgb="FFFF0000"/>
      <name val="Calibri"/>
      <family val="2"/>
      <scheme val="minor"/>
    </font>
    <font>
      <b/>
      <sz val="10"/>
      <color rgb="FFFF0000"/>
      <name val="Calibri"/>
      <family val="2"/>
      <scheme val="minor"/>
    </font>
    <font>
      <sz val="11"/>
      <name val="Calibri"/>
      <family val="2"/>
      <scheme val="minor"/>
    </font>
    <font>
      <b/>
      <sz val="8"/>
      <name val="Calibri"/>
      <family val="2"/>
      <scheme val="minor"/>
    </font>
    <font>
      <sz val="8"/>
      <color theme="1"/>
      <name val="Calibri"/>
      <family val="2"/>
      <scheme val="minor"/>
    </font>
    <font>
      <sz val="10"/>
      <name val="Calibri"/>
      <family val="2"/>
      <scheme val="minor"/>
    </font>
    <font>
      <b/>
      <sz val="10"/>
      <name val="Calibri"/>
      <family val="2"/>
      <scheme val="minor"/>
    </font>
    <font>
      <b/>
      <sz val="8"/>
      <color theme="0"/>
      <name val="Calibri"/>
      <family val="2"/>
      <scheme val="minor"/>
    </font>
    <font>
      <sz val="12"/>
      <color rgb="FF002060"/>
      <name val="Calibri"/>
      <family val="2"/>
      <scheme val="minor"/>
    </font>
    <font>
      <i/>
      <sz val="10"/>
      <color theme="1"/>
      <name val="Calibri"/>
      <family val="2"/>
      <scheme val="minor"/>
    </font>
    <font>
      <b/>
      <i/>
      <sz val="10"/>
      <color theme="1"/>
      <name val="Calibri"/>
      <family val="2"/>
      <scheme val="minor"/>
    </font>
    <font>
      <b/>
      <sz val="10"/>
      <color theme="3"/>
      <name val="Calibri"/>
      <family val="2"/>
      <scheme val="minor"/>
    </font>
    <font>
      <sz val="14"/>
      <color theme="1"/>
      <name val="Calibri"/>
      <family val="2"/>
      <scheme val="minor"/>
    </font>
    <font>
      <sz val="10"/>
      <name val="Arial"/>
      <family val="2"/>
    </font>
    <font>
      <sz val="14"/>
      <color theme="3"/>
      <name val="Calibri"/>
      <family val="2"/>
      <scheme val="minor"/>
    </font>
    <font>
      <sz val="12"/>
      <color theme="3"/>
      <name val="Calibri"/>
      <family val="2"/>
      <scheme val="minor"/>
    </font>
    <font>
      <i/>
      <sz val="10"/>
      <color rgb="FF7F7F7F"/>
      <name val="Calibri"/>
      <family val="2"/>
      <scheme val="minor"/>
    </font>
    <font>
      <b/>
      <sz val="11"/>
      <color theme="1"/>
      <name val="Calibri"/>
      <family val="2"/>
      <scheme val="minor"/>
    </font>
    <font>
      <sz val="11"/>
      <color rgb="FFFF0000"/>
      <name val="Calibri"/>
      <family val="2"/>
      <scheme val="minor"/>
    </font>
    <font>
      <sz val="9.5"/>
      <color theme="6" tint="-0.249977111117893"/>
      <name val="Calibri"/>
      <family val="2"/>
      <scheme val="minor"/>
    </font>
    <font>
      <b/>
      <sz val="12"/>
      <color theme="3"/>
      <name val="Calibri"/>
      <family val="2"/>
      <scheme val="minor"/>
    </font>
    <font>
      <b/>
      <sz val="16"/>
      <name val="Calibri"/>
      <family val="2"/>
      <scheme val="minor"/>
    </font>
    <font>
      <b/>
      <sz val="14"/>
      <color theme="0"/>
      <name val="Calibri"/>
      <family val="2"/>
      <scheme val="minor"/>
    </font>
  </fonts>
  <fills count="1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5"/>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9"/>
        <bgColor indexed="64"/>
      </patternFill>
    </fill>
    <fill>
      <patternFill patternType="solid">
        <fgColor theme="0" tint="-0.14999847407452621"/>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ck">
        <color theme="3"/>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13">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5" fillId="0" borderId="0" applyNumberFormat="0" applyFill="0" applyBorder="0" applyAlignment="0" applyProtection="0"/>
    <xf numFmtId="0" fontId="6" fillId="0" borderId="0"/>
    <xf numFmtId="0" fontId="1" fillId="0" borderId="0"/>
    <xf numFmtId="0" fontId="1" fillId="0" borderId="0"/>
    <xf numFmtId="0" fontId="1"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21" fillId="0" borderId="0"/>
  </cellStyleXfs>
  <cellXfs count="242">
    <xf numFmtId="0" fontId="0" fillId="0" borderId="0" xfId="0"/>
    <xf numFmtId="0" fontId="3" fillId="0" borderId="0" xfId="0" applyFont="1"/>
    <xf numFmtId="0" fontId="3" fillId="0" borderId="3" xfId="0" applyFont="1" applyBorder="1"/>
    <xf numFmtId="165" fontId="3" fillId="0" borderId="3" xfId="1" applyNumberFormat="1" applyFont="1" applyBorder="1"/>
    <xf numFmtId="9" fontId="3" fillId="0" borderId="3" xfId="0" applyNumberFormat="1" applyFont="1" applyBorder="1"/>
    <xf numFmtId="0" fontId="2" fillId="0" borderId="0" xfId="0" applyFont="1"/>
    <xf numFmtId="0" fontId="3" fillId="0" borderId="0" xfId="0" applyFont="1" applyFill="1"/>
    <xf numFmtId="0" fontId="2" fillId="0" borderId="0" xfId="0" applyFont="1" applyFill="1"/>
    <xf numFmtId="0" fontId="2" fillId="2" borderId="3" xfId="0" applyFont="1" applyFill="1" applyBorder="1" applyAlignment="1">
      <alignment wrapText="1"/>
    </xf>
    <xf numFmtId="0" fontId="3" fillId="2" borderId="3" xfId="0" applyFont="1" applyFill="1" applyBorder="1"/>
    <xf numFmtId="0" fontId="4" fillId="0" borderId="0" xfId="0" applyFont="1"/>
    <xf numFmtId="0" fontId="3" fillId="0" borderId="3" xfId="0" applyFont="1" applyBorder="1" applyAlignment="1">
      <alignment horizontal="centerContinuous"/>
    </xf>
    <xf numFmtId="0" fontId="2" fillId="3" borderId="3" xfId="0" applyFont="1" applyFill="1" applyBorder="1" applyAlignment="1">
      <alignment horizontal="centerContinuous" wrapText="1"/>
    </xf>
    <xf numFmtId="0" fontId="2" fillId="0" borderId="1" xfId="0" applyFont="1" applyBorder="1"/>
    <xf numFmtId="0" fontId="2" fillId="0" borderId="2" xfId="0" applyFont="1" applyBorder="1"/>
    <xf numFmtId="164" fontId="2" fillId="0" borderId="4" xfId="1" applyFont="1" applyBorder="1"/>
    <xf numFmtId="0" fontId="7" fillId="7" borderId="0" xfId="0" applyFont="1" applyFill="1"/>
    <xf numFmtId="164" fontId="3" fillId="0" borderId="3" xfId="0" applyNumberFormat="1" applyFont="1" applyBorder="1"/>
    <xf numFmtId="0" fontId="3" fillId="0" borderId="0" xfId="0" quotePrefix="1" applyFont="1"/>
    <xf numFmtId="0" fontId="2" fillId="2" borderId="3" xfId="0" applyFont="1" applyFill="1" applyBorder="1" applyAlignment="1">
      <alignment vertical="center" wrapText="1"/>
    </xf>
    <xf numFmtId="0" fontId="2" fillId="3" borderId="3" xfId="0" applyFont="1" applyFill="1" applyBorder="1" applyAlignment="1">
      <alignment horizontal="left" vertical="center" wrapText="1"/>
    </xf>
    <xf numFmtId="0" fontId="3" fillId="0" borderId="0" xfId="0" applyFont="1" applyAlignment="1">
      <alignment vertical="center"/>
    </xf>
    <xf numFmtId="0" fontId="3" fillId="0" borderId="0" xfId="7" applyFont="1"/>
    <xf numFmtId="0" fontId="3" fillId="0" borderId="3" xfId="8" applyFont="1" applyFill="1" applyBorder="1"/>
    <xf numFmtId="0" fontId="3" fillId="0" borderId="3" xfId="7" applyFont="1" applyBorder="1" applyAlignment="1">
      <alignment horizontal="centerContinuous"/>
    </xf>
    <xf numFmtId="0" fontId="2" fillId="0" borderId="3" xfId="7" applyFont="1" applyBorder="1" applyAlignment="1">
      <alignment horizontal="centerContinuous"/>
    </xf>
    <xf numFmtId="0" fontId="2" fillId="0" borderId="0" xfId="8" applyFont="1" applyFill="1"/>
    <xf numFmtId="0" fontId="3" fillId="0" borderId="0" xfId="8" applyFont="1" applyFill="1"/>
    <xf numFmtId="0" fontId="2" fillId="0" borderId="0" xfId="7" applyFont="1" applyFill="1" applyAlignment="1">
      <alignment horizontal="left" vertical="top" wrapText="1"/>
    </xf>
    <xf numFmtId="0" fontId="3" fillId="0" borderId="3" xfId="7" applyFont="1" applyBorder="1" applyAlignment="1">
      <alignment horizontal="left" vertical="center" wrapText="1"/>
    </xf>
    <xf numFmtId="0" fontId="3" fillId="0" borderId="3" xfId="8" applyFont="1" applyFill="1" applyBorder="1" applyAlignment="1">
      <alignment wrapText="1"/>
    </xf>
    <xf numFmtId="0" fontId="2" fillId="0" borderId="3" xfId="0" applyFont="1" applyBorder="1" applyAlignment="1">
      <alignment vertical="center" wrapText="1"/>
    </xf>
    <xf numFmtId="0" fontId="2" fillId="0" borderId="0" xfId="0" applyFont="1" applyBorder="1" applyAlignment="1"/>
    <xf numFmtId="0" fontId="2" fillId="0" borderId="0" xfId="0" applyFont="1" applyBorder="1" applyAlignment="1">
      <alignment wrapText="1"/>
    </xf>
    <xf numFmtId="0" fontId="2" fillId="5" borderId="3" xfId="0" applyFont="1" applyFill="1" applyBorder="1" applyAlignment="1">
      <alignment horizontal="left" vertical="center" wrapText="1"/>
    </xf>
    <xf numFmtId="0" fontId="2" fillId="5" borderId="3" xfId="0" quotePrefix="1" applyFont="1" applyFill="1" applyBorder="1" applyAlignment="1">
      <alignment horizontal="left" vertical="center" wrapText="1"/>
    </xf>
    <xf numFmtId="0" fontId="2" fillId="3" borderId="3" xfId="0" applyFont="1" applyFill="1" applyBorder="1" applyAlignment="1">
      <alignment vertical="center" wrapText="1"/>
    </xf>
    <xf numFmtId="0" fontId="2" fillId="4" borderId="6" xfId="0" applyFont="1" applyFill="1" applyBorder="1" applyAlignment="1">
      <alignment vertical="center" wrapText="1"/>
    </xf>
    <xf numFmtId="3" fontId="3" fillId="0" borderId="3" xfId="0" applyNumberFormat="1" applyFont="1" applyBorder="1"/>
    <xf numFmtId="3" fontId="3" fillId="0" borderId="0" xfId="0" applyNumberFormat="1" applyFont="1"/>
    <xf numFmtId="0" fontId="9" fillId="0" borderId="0" xfId="0" applyFont="1" applyFill="1"/>
    <xf numFmtId="169" fontId="3" fillId="0" borderId="3" xfId="1" applyNumberFormat="1" applyFont="1" applyFill="1" applyBorder="1"/>
    <xf numFmtId="169" fontId="3" fillId="0" borderId="3" xfId="1" applyNumberFormat="1" applyFont="1" applyBorder="1"/>
    <xf numFmtId="0" fontId="8" fillId="0" borderId="0" xfId="0" applyFont="1"/>
    <xf numFmtId="0" fontId="8" fillId="0" borderId="0" xfId="0" applyFont="1" applyAlignment="1">
      <alignment vertical="center"/>
    </xf>
    <xf numFmtId="0" fontId="2" fillId="2" borderId="1" xfId="0" applyFont="1" applyFill="1" applyBorder="1" applyAlignment="1">
      <alignment vertical="center" wrapText="1"/>
    </xf>
    <xf numFmtId="0" fontId="2" fillId="0" borderId="0" xfId="0" applyFont="1" applyAlignment="1">
      <alignment vertical="center"/>
    </xf>
    <xf numFmtId="0" fontId="3" fillId="0" borderId="3" xfId="0" applyFont="1" applyBorder="1" applyAlignment="1">
      <alignment horizontal="centerContinuous" vertical="center" wrapText="1"/>
    </xf>
    <xf numFmtId="3" fontId="3" fillId="10" borderId="3" xfId="0" applyNumberFormat="1" applyFont="1" applyFill="1" applyBorder="1"/>
    <xf numFmtId="3" fontId="2" fillId="0" borderId="3" xfId="0" applyNumberFormat="1" applyFont="1" applyBorder="1" applyAlignment="1">
      <alignment horizontal="center"/>
    </xf>
    <xf numFmtId="0" fontId="10" fillId="11" borderId="0" xfId="5" applyFont="1" applyFill="1" applyAlignment="1">
      <alignment vertical="center"/>
    </xf>
    <xf numFmtId="0" fontId="11" fillId="11" borderId="9" xfId="5" applyFont="1" applyFill="1" applyBorder="1" applyAlignment="1">
      <alignment vertical="center"/>
    </xf>
    <xf numFmtId="0" fontId="3" fillId="0" borderId="0" xfId="5" applyFont="1"/>
    <xf numFmtId="0" fontId="12" fillId="0" borderId="0" xfId="5" applyFont="1"/>
    <xf numFmtId="0" fontId="3" fillId="5" borderId="10" xfId="5" applyFont="1" applyFill="1" applyBorder="1" applyAlignment="1">
      <alignment horizontal="centerContinuous"/>
    </xf>
    <xf numFmtId="0" fontId="3" fillId="5" borderId="11" xfId="5" applyFont="1" applyFill="1" applyBorder="1" applyAlignment="1">
      <alignment horizontal="centerContinuous"/>
    </xf>
    <xf numFmtId="0" fontId="3" fillId="6" borderId="10" xfId="5" applyFont="1" applyFill="1" applyBorder="1" applyAlignment="1">
      <alignment horizontal="centerContinuous"/>
    </xf>
    <xf numFmtId="0" fontId="3" fillId="6" borderId="11" xfId="5" applyFont="1" applyFill="1" applyBorder="1" applyAlignment="1">
      <alignment horizontal="centerContinuous"/>
    </xf>
    <xf numFmtId="0" fontId="2" fillId="3" borderId="1" xfId="5" applyFont="1" applyFill="1" applyBorder="1" applyAlignment="1">
      <alignment horizontal="centerContinuous"/>
    </xf>
    <xf numFmtId="0" fontId="2" fillId="3" borderId="2" xfId="5" applyFont="1" applyFill="1" applyBorder="1" applyAlignment="1">
      <alignment horizontal="centerContinuous"/>
    </xf>
    <xf numFmtId="0" fontId="2" fillId="3" borderId="4" xfId="5" applyFont="1" applyFill="1" applyBorder="1" applyAlignment="1">
      <alignment horizontal="centerContinuous"/>
    </xf>
    <xf numFmtId="0" fontId="2" fillId="5" borderId="3" xfId="5" applyFont="1" applyFill="1" applyBorder="1" applyAlignment="1">
      <alignment horizontal="center"/>
    </xf>
    <xf numFmtId="3" fontId="2" fillId="12" borderId="3" xfId="5" applyNumberFormat="1" applyFont="1" applyFill="1" applyBorder="1" applyAlignment="1">
      <alignment horizontal="center"/>
    </xf>
    <xf numFmtId="0" fontId="2" fillId="6" borderId="3" xfId="5" applyFont="1" applyFill="1" applyBorder="1" applyAlignment="1">
      <alignment horizontal="center"/>
    </xf>
    <xf numFmtId="0" fontId="2" fillId="3" borderId="8" xfId="5" applyFont="1" applyFill="1" applyBorder="1" applyAlignment="1">
      <alignment horizontal="center"/>
    </xf>
    <xf numFmtId="0" fontId="3" fillId="5" borderId="3" xfId="5" applyFont="1" applyFill="1" applyBorder="1" applyAlignment="1">
      <alignment horizontal="center"/>
    </xf>
    <xf numFmtId="170" fontId="3" fillId="12" borderId="3" xfId="9" applyNumberFormat="1" applyFont="1" applyFill="1" applyBorder="1"/>
    <xf numFmtId="170" fontId="3" fillId="6" borderId="3" xfId="9" applyNumberFormat="1" applyFont="1" applyFill="1" applyBorder="1"/>
    <xf numFmtId="0" fontId="3" fillId="13" borderId="3" xfId="5" applyFont="1" applyFill="1" applyBorder="1" applyAlignment="1">
      <alignment horizontal="center"/>
    </xf>
    <xf numFmtId="170" fontId="3" fillId="13" borderId="3" xfId="9" applyNumberFormat="1" applyFont="1" applyFill="1" applyBorder="1"/>
    <xf numFmtId="171" fontId="3" fillId="0" borderId="3" xfId="5" applyNumberFormat="1" applyFont="1" applyBorder="1" applyAlignment="1">
      <alignment vertical="center" wrapText="1"/>
    </xf>
    <xf numFmtId="169" fontId="2" fillId="0" borderId="3" xfId="5" applyNumberFormat="1" applyFont="1" applyBorder="1" applyAlignment="1">
      <alignment vertical="center" wrapText="1"/>
    </xf>
    <xf numFmtId="170" fontId="2" fillId="12" borderId="3" xfId="9" applyNumberFormat="1" applyFont="1" applyFill="1" applyBorder="1"/>
    <xf numFmtId="170" fontId="2" fillId="6" borderId="3" xfId="9" applyNumberFormat="1" applyFont="1" applyFill="1" applyBorder="1"/>
    <xf numFmtId="3" fontId="14" fillId="3" borderId="1" xfId="9" applyNumberFormat="1" applyFont="1" applyFill="1" applyBorder="1" applyAlignment="1">
      <alignment vertical="center"/>
    </xf>
    <xf numFmtId="3" fontId="14" fillId="3" borderId="3" xfId="9" applyNumberFormat="1" applyFont="1" applyFill="1" applyBorder="1" applyAlignment="1">
      <alignment vertical="center"/>
    </xf>
    <xf numFmtId="0" fontId="15" fillId="14" borderId="0" xfId="5" applyFont="1" applyFill="1"/>
    <xf numFmtId="0" fontId="16" fillId="0" borderId="0" xfId="5" applyFont="1" applyFill="1"/>
    <xf numFmtId="3" fontId="12" fillId="0" borderId="0" xfId="5" applyNumberFormat="1" applyFont="1" applyFill="1"/>
    <xf numFmtId="3" fontId="2" fillId="5" borderId="1" xfId="5" applyNumberFormat="1" applyFont="1" applyFill="1" applyBorder="1" applyAlignment="1">
      <alignment horizontal="centerContinuous"/>
    </xf>
    <xf numFmtId="0" fontId="2" fillId="12" borderId="1" xfId="5" applyFont="1" applyFill="1" applyBorder="1" applyAlignment="1">
      <alignment horizontal="centerContinuous"/>
    </xf>
    <xf numFmtId="0" fontId="3" fillId="12" borderId="2" xfId="5" applyFont="1" applyFill="1" applyBorder="1" applyAlignment="1">
      <alignment horizontal="centerContinuous"/>
    </xf>
    <xf numFmtId="0" fontId="3" fillId="12" borderId="4" xfId="5" applyFont="1" applyFill="1" applyBorder="1" applyAlignment="1">
      <alignment horizontal="centerContinuous"/>
    </xf>
    <xf numFmtId="0" fontId="2" fillId="6" borderId="12" xfId="5" applyFont="1" applyFill="1" applyBorder="1" applyAlignment="1">
      <alignment horizontal="centerContinuous"/>
    </xf>
    <xf numFmtId="3" fontId="3" fillId="0" borderId="0" xfId="5" applyNumberFormat="1" applyFont="1"/>
    <xf numFmtId="0" fontId="3" fillId="0" borderId="3" xfId="5" applyFont="1" applyBorder="1" applyAlignment="1">
      <alignment horizontal="right" vertical="center" wrapText="1"/>
    </xf>
    <xf numFmtId="0" fontId="17" fillId="0" borderId="3" xfId="5" applyFont="1" applyBorder="1" applyAlignment="1">
      <alignment horizontal="right"/>
    </xf>
    <xf numFmtId="0" fontId="18" fillId="5" borderId="3" xfId="5" applyFont="1" applyFill="1" applyBorder="1" applyAlignment="1">
      <alignment horizontal="center"/>
    </xf>
    <xf numFmtId="0" fontId="18" fillId="12" borderId="3" xfId="5" applyFont="1" applyFill="1" applyBorder="1" applyAlignment="1">
      <alignment horizontal="center"/>
    </xf>
    <xf numFmtId="0" fontId="18" fillId="6" borderId="3" xfId="5" applyFont="1" applyFill="1" applyBorder="1" applyAlignment="1">
      <alignment horizontal="center"/>
    </xf>
    <xf numFmtId="2" fontId="3" fillId="3" borderId="3" xfId="9" applyNumberFormat="1" applyFont="1" applyFill="1" applyBorder="1"/>
    <xf numFmtId="0" fontId="3" fillId="6" borderId="3" xfId="5" applyFont="1" applyFill="1" applyBorder="1" applyAlignment="1">
      <alignment horizontal="center"/>
    </xf>
    <xf numFmtId="0" fontId="13" fillId="6" borderId="3" xfId="5" applyFont="1" applyFill="1" applyBorder="1" applyAlignment="1">
      <alignment horizontal="center"/>
    </xf>
    <xf numFmtId="0" fontId="3" fillId="0" borderId="3" xfId="5" applyFont="1" applyBorder="1" applyAlignment="1">
      <alignment horizontal="center" wrapText="1"/>
    </xf>
    <xf numFmtId="172" fontId="12" fillId="0" borderId="0" xfId="5" applyNumberFormat="1" applyFont="1" applyFill="1"/>
    <xf numFmtId="173" fontId="12" fillId="0" borderId="0" xfId="10" applyNumberFormat="1" applyFont="1" applyFill="1"/>
    <xf numFmtId="174" fontId="12" fillId="0" borderId="0" xfId="5" applyNumberFormat="1" applyFont="1" applyFill="1"/>
    <xf numFmtId="10" fontId="12" fillId="0" borderId="0" xfId="10" applyNumberFormat="1" applyFont="1" applyFill="1"/>
    <xf numFmtId="0" fontId="2" fillId="0" borderId="0" xfId="5" applyFont="1" applyFill="1" applyBorder="1" applyAlignment="1">
      <alignment vertical="center" wrapText="1"/>
    </xf>
    <xf numFmtId="1" fontId="3" fillId="12" borderId="3" xfId="9" applyNumberFormat="1" applyFont="1" applyFill="1" applyBorder="1"/>
    <xf numFmtId="1" fontId="3" fillId="6" borderId="3" xfId="9" applyNumberFormat="1" applyFont="1" applyFill="1" applyBorder="1"/>
    <xf numFmtId="1" fontId="3" fillId="3" borderId="3" xfId="9" applyNumberFormat="1" applyFont="1" applyFill="1" applyBorder="1"/>
    <xf numFmtId="1" fontId="3" fillId="13" borderId="3" xfId="9" applyNumberFormat="1" applyFont="1" applyFill="1" applyBorder="1"/>
    <xf numFmtId="1" fontId="2" fillId="5" borderId="3" xfId="5" applyNumberFormat="1" applyFont="1" applyFill="1" applyBorder="1" applyAlignment="1">
      <alignment horizontal="center"/>
    </xf>
    <xf numFmtId="3" fontId="14" fillId="6" borderId="1" xfId="9" applyNumberFormat="1" applyFont="1" applyFill="1" applyBorder="1" applyAlignment="1">
      <alignment vertical="center"/>
    </xf>
    <xf numFmtId="1" fontId="14" fillId="3" borderId="1" xfId="9" applyNumberFormat="1" applyFont="1" applyFill="1" applyBorder="1" applyAlignment="1">
      <alignment vertical="center"/>
    </xf>
    <xf numFmtId="1" fontId="14" fillId="3" borderId="3" xfId="9" applyNumberFormat="1" applyFont="1" applyFill="1" applyBorder="1" applyAlignment="1">
      <alignment vertical="center"/>
    </xf>
    <xf numFmtId="3" fontId="3" fillId="5" borderId="3" xfId="5" applyNumberFormat="1" applyFont="1" applyFill="1" applyBorder="1" applyAlignment="1">
      <alignment horizontal="center"/>
    </xf>
    <xf numFmtId="3" fontId="3" fillId="13" borderId="3" xfId="5" applyNumberFormat="1" applyFont="1" applyFill="1" applyBorder="1" applyAlignment="1">
      <alignment horizontal="center"/>
    </xf>
    <xf numFmtId="0" fontId="2" fillId="0" borderId="2" xfId="0" applyFont="1" applyBorder="1" applyAlignment="1">
      <alignment horizontal="centerContinuous" vertical="center"/>
    </xf>
    <xf numFmtId="168" fontId="3" fillId="0" borderId="3" xfId="1" applyNumberFormat="1" applyFont="1" applyBorder="1" applyAlignment="1">
      <alignment vertical="center"/>
    </xf>
    <xf numFmtId="0" fontId="2" fillId="0" borderId="1" xfId="0" applyFont="1" applyBorder="1" applyAlignment="1">
      <alignment vertical="center" wrapText="1"/>
    </xf>
    <xf numFmtId="0" fontId="2" fillId="0" borderId="3" xfId="0" applyFont="1" applyBorder="1" applyAlignment="1">
      <alignment horizontal="centerContinuous" vertical="center"/>
    </xf>
    <xf numFmtId="169" fontId="2" fillId="0" borderId="0" xfId="5" applyNumberFormat="1" applyFont="1" applyBorder="1" applyAlignment="1">
      <alignment vertical="center" wrapText="1"/>
    </xf>
    <xf numFmtId="1" fontId="2" fillId="5" borderId="0" xfId="5" applyNumberFormat="1" applyFont="1" applyFill="1" applyBorder="1" applyAlignment="1">
      <alignment horizontal="center"/>
    </xf>
    <xf numFmtId="170" fontId="2" fillId="12" borderId="0" xfId="9" applyNumberFormat="1" applyFont="1" applyFill="1" applyBorder="1"/>
    <xf numFmtId="3" fontId="14" fillId="6" borderId="0" xfId="9" applyNumberFormat="1" applyFont="1" applyFill="1" applyBorder="1" applyAlignment="1">
      <alignment vertical="center"/>
    </xf>
    <xf numFmtId="1" fontId="14" fillId="3" borderId="0" xfId="9" applyNumberFormat="1" applyFont="1" applyFill="1" applyBorder="1" applyAlignment="1">
      <alignment vertical="center"/>
    </xf>
    <xf numFmtId="0" fontId="3" fillId="6" borderId="0" xfId="5" applyFont="1" applyFill="1" applyBorder="1" applyAlignment="1">
      <alignment horizontal="center"/>
    </xf>
    <xf numFmtId="0" fontId="13" fillId="6" borderId="0" xfId="5" applyFont="1" applyFill="1" applyBorder="1" applyAlignment="1">
      <alignment horizontal="center"/>
    </xf>
    <xf numFmtId="0" fontId="3" fillId="0" borderId="0" xfId="5" applyFont="1" applyBorder="1" applyAlignment="1">
      <alignment horizontal="center" wrapText="1"/>
    </xf>
    <xf numFmtId="3" fontId="3" fillId="0" borderId="3" xfId="1" applyNumberFormat="1" applyFont="1" applyBorder="1" applyAlignment="1">
      <alignment vertical="center"/>
    </xf>
    <xf numFmtId="0" fontId="19" fillId="0" borderId="3" xfId="0" applyFont="1" applyFill="1" applyBorder="1" applyAlignment="1">
      <alignment horizontal="centerContinuous" vertical="center"/>
    </xf>
    <xf numFmtId="0" fontId="3" fillId="0" borderId="3" xfId="0" applyFont="1" applyBorder="1" applyAlignment="1">
      <alignment horizontal="centerContinuous" vertical="center"/>
    </xf>
    <xf numFmtId="9" fontId="3" fillId="6" borderId="3" xfId="3" applyFont="1" applyFill="1" applyBorder="1" applyAlignment="1">
      <alignment horizontal="center" vertical="center" wrapText="1"/>
    </xf>
    <xf numFmtId="0" fontId="6" fillId="0" borderId="0" xfId="0" applyFont="1"/>
    <xf numFmtId="0" fontId="8" fillId="0" borderId="0" xfId="0" applyFont="1" applyFill="1"/>
    <xf numFmtId="0" fontId="3" fillId="0" borderId="3" xfId="6" applyFont="1" applyBorder="1" applyAlignment="1">
      <alignment horizontal="center"/>
    </xf>
    <xf numFmtId="167" fontId="3" fillId="0" borderId="3" xfId="1" applyNumberFormat="1" applyFont="1" applyBorder="1"/>
    <xf numFmtId="167" fontId="3" fillId="3" borderId="3" xfId="1" applyNumberFormat="1" applyFont="1" applyFill="1" applyBorder="1"/>
    <xf numFmtId="0" fontId="2" fillId="0" borderId="3" xfId="6" applyFont="1" applyBorder="1"/>
    <xf numFmtId="167" fontId="14" fillId="0" borderId="3" xfId="1" applyNumberFormat="1" applyFont="1" applyBorder="1"/>
    <xf numFmtId="167" fontId="2" fillId="3" borderId="3" xfId="1" applyNumberFormat="1" applyFont="1" applyFill="1" applyBorder="1"/>
    <xf numFmtId="0" fontId="20" fillId="0" borderId="0" xfId="0" applyFont="1"/>
    <xf numFmtId="0" fontId="7" fillId="7" borderId="0" xfId="11" applyFont="1" applyFill="1" applyBorder="1"/>
    <xf numFmtId="0" fontId="6" fillId="7" borderId="0" xfId="0" applyFont="1" applyFill="1" applyBorder="1"/>
    <xf numFmtId="0" fontId="3" fillId="0" borderId="3" xfId="0" applyFont="1" applyBorder="1" applyAlignment="1">
      <alignment horizontal="left"/>
    </xf>
    <xf numFmtId="0" fontId="2" fillId="3" borderId="3" xfId="0" applyFont="1" applyFill="1" applyBorder="1" applyAlignment="1">
      <alignment horizontal="left" wrapText="1"/>
    </xf>
    <xf numFmtId="168" fontId="3" fillId="0" borderId="0" xfId="0" applyNumberFormat="1" applyFont="1"/>
    <xf numFmtId="169" fontId="3" fillId="0" borderId="0" xfId="0" applyNumberFormat="1" applyFont="1" applyFill="1"/>
    <xf numFmtId="177" fontId="3" fillId="0" borderId="3" xfId="9" applyNumberFormat="1" applyFont="1" applyBorder="1"/>
    <xf numFmtId="177" fontId="3" fillId="0" borderId="3" xfId="9" applyNumberFormat="1" applyFont="1" applyFill="1" applyBorder="1"/>
    <xf numFmtId="0" fontId="7" fillId="0" borderId="0" xfId="0" applyFont="1"/>
    <xf numFmtId="0" fontId="22" fillId="0" borderId="0" xfId="0" applyFont="1" applyAlignment="1">
      <alignment vertical="center"/>
    </xf>
    <xf numFmtId="0" fontId="23" fillId="0" borderId="0" xfId="0" applyFont="1" applyAlignment="1">
      <alignment vertical="center"/>
    </xf>
    <xf numFmtId="0" fontId="2" fillId="16" borderId="3" xfId="0" applyFont="1" applyFill="1" applyBorder="1" applyAlignment="1">
      <alignment vertical="top" wrapText="1"/>
    </xf>
    <xf numFmtId="0" fontId="3" fillId="0" borderId="3" xfId="0" applyFont="1" applyFill="1" applyBorder="1"/>
    <xf numFmtId="0" fontId="3" fillId="8" borderId="3" xfId="0" applyFont="1" applyFill="1" applyBorder="1" applyAlignment="1">
      <alignment horizontal="left"/>
    </xf>
    <xf numFmtId="0" fontId="3" fillId="0" borderId="3" xfId="0" applyFont="1" applyBorder="1" applyAlignment="1"/>
    <xf numFmtId="0" fontId="3" fillId="0" borderId="0" xfId="0" applyFont="1" applyBorder="1" applyAlignment="1"/>
    <xf numFmtId="14" fontId="3" fillId="0" borderId="3" xfId="0" applyNumberFormat="1" applyFont="1" applyBorder="1"/>
    <xf numFmtId="0" fontId="3" fillId="0" borderId="0" xfId="0" applyFont="1" applyBorder="1"/>
    <xf numFmtId="0" fontId="3" fillId="0" borderId="0" xfId="0" applyFont="1" applyBorder="1" applyAlignment="1" applyProtection="1">
      <alignment horizontal="left"/>
      <protection locked="0"/>
    </xf>
    <xf numFmtId="0" fontId="24" fillId="0" borderId="0" xfId="4" applyFont="1"/>
    <xf numFmtId="14" fontId="3" fillId="0" borderId="0" xfId="0" applyNumberFormat="1" applyFont="1" applyBorder="1" applyAlignment="1" applyProtection="1">
      <alignment horizontal="left"/>
      <protection locked="0"/>
    </xf>
    <xf numFmtId="0" fontId="3" fillId="0" borderId="5" xfId="0" applyFont="1" applyBorder="1" applyAlignment="1">
      <alignment vertical="top"/>
    </xf>
    <xf numFmtId="0" fontId="3" fillId="0" borderId="5" xfId="0" applyFont="1" applyBorder="1" applyAlignment="1"/>
    <xf numFmtId="167" fontId="3" fillId="0" borderId="0" xfId="0" applyNumberFormat="1" applyFont="1"/>
    <xf numFmtId="0" fontId="25" fillId="0" borderId="0" xfId="0" applyFont="1"/>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6" fillId="0" borderId="3" xfId="0" applyFont="1" applyBorder="1"/>
    <xf numFmtId="0" fontId="6" fillId="0" borderId="18" xfId="0" applyFont="1" applyBorder="1" applyAlignment="1">
      <alignment vertical="center" wrapText="1"/>
    </xf>
    <xf numFmtId="0" fontId="3" fillId="0" borderId="3" xfId="0" applyFont="1" applyBorder="1" applyAlignment="1">
      <alignment wrapText="1"/>
    </xf>
    <xf numFmtId="0" fontId="6" fillId="0" borderId="17" xfId="0" applyFont="1" applyBorder="1" applyAlignment="1">
      <alignment vertical="center" wrapText="1"/>
    </xf>
    <xf numFmtId="1" fontId="3" fillId="0" borderId="3" xfId="0" applyNumberFormat="1" applyFont="1" applyBorder="1"/>
    <xf numFmtId="10" fontId="3" fillId="0" borderId="3" xfId="3" applyNumberFormat="1" applyFont="1" applyBorder="1"/>
    <xf numFmtId="0" fontId="6" fillId="0" borderId="15" xfId="0" applyFont="1" applyBorder="1" applyAlignment="1">
      <alignment vertical="center" wrapText="1"/>
    </xf>
    <xf numFmtId="1" fontId="8" fillId="0" borderId="3" xfId="0" applyNumberFormat="1" applyFont="1" applyBorder="1"/>
    <xf numFmtId="0" fontId="6" fillId="0" borderId="18" xfId="0" applyFont="1" applyBorder="1" applyAlignment="1">
      <alignment vertical="top" wrapText="1"/>
    </xf>
    <xf numFmtId="0" fontId="6" fillId="0" borderId="17" xfId="0" applyFont="1" applyBorder="1" applyAlignment="1">
      <alignment vertical="top" wrapText="1"/>
    </xf>
    <xf numFmtId="176" fontId="8" fillId="0" borderId="3" xfId="0" applyNumberFormat="1" applyFont="1" applyBorder="1"/>
    <xf numFmtId="0" fontId="25" fillId="0" borderId="3" xfId="0" applyFont="1" applyBorder="1"/>
    <xf numFmtId="0" fontId="25" fillId="0" borderId="3" xfId="0" applyFont="1" applyBorder="1" applyAlignment="1">
      <alignment horizontal="center" wrapText="1"/>
    </xf>
    <xf numFmtId="0" fontId="6" fillId="0" borderId="3" xfId="0" applyFont="1" applyBorder="1" applyAlignment="1">
      <alignment wrapText="1"/>
    </xf>
    <xf numFmtId="0" fontId="6" fillId="0" borderId="3" xfId="0" applyFont="1" applyBorder="1" applyAlignment="1">
      <alignment horizontal="center" wrapText="1"/>
    </xf>
    <xf numFmtId="0" fontId="26" fillId="0" borderId="0" xfId="0" applyFont="1"/>
    <xf numFmtId="0" fontId="6" fillId="0" borderId="3" xfId="0" applyFont="1" applyBorder="1" applyAlignment="1">
      <alignment horizontal="center"/>
    </xf>
    <xf numFmtId="0" fontId="6" fillId="0" borderId="0" xfId="0" applyFont="1" applyAlignment="1"/>
    <xf numFmtId="0" fontId="13" fillId="0" borderId="0" xfId="0" applyFont="1"/>
    <xf numFmtId="0" fontId="7" fillId="15" borderId="0" xfId="11" applyFont="1" applyFill="1" applyAlignment="1">
      <alignment vertical="center"/>
    </xf>
    <xf numFmtId="0" fontId="7" fillId="15" borderId="0" xfId="11" applyFont="1" applyFill="1" applyAlignment="1">
      <alignment vertical="center" wrapText="1"/>
    </xf>
    <xf numFmtId="0" fontId="14" fillId="0" borderId="0" xfId="0" applyFont="1"/>
    <xf numFmtId="0" fontId="13" fillId="0" borderId="0" xfId="5" applyFont="1"/>
    <xf numFmtId="0" fontId="13" fillId="0" borderId="0" xfId="0" applyFont="1" applyFill="1"/>
    <xf numFmtId="0" fontId="7" fillId="0" borderId="0" xfId="11" applyFont="1" applyFill="1" applyAlignment="1">
      <alignment vertical="center"/>
    </xf>
    <xf numFmtId="0" fontId="7" fillId="0" borderId="0" xfId="11" applyFont="1" applyFill="1" applyAlignment="1">
      <alignment vertical="center" wrapText="1"/>
    </xf>
    <xf numFmtId="0" fontId="14" fillId="0" borderId="0" xfId="0" applyFont="1" applyFill="1"/>
    <xf numFmtId="0" fontId="13" fillId="0" borderId="0" xfId="5" applyFont="1" applyFill="1"/>
    <xf numFmtId="0" fontId="7" fillId="0" borderId="0" xfId="11" applyFont="1" applyAlignment="1">
      <alignment vertical="center"/>
    </xf>
    <xf numFmtId="0" fontId="7" fillId="0" borderId="0" xfId="11" applyFont="1" applyAlignment="1">
      <alignment vertical="center" wrapText="1"/>
    </xf>
    <xf numFmtId="0" fontId="3" fillId="0" borderId="0" xfId="0" applyFont="1" applyAlignment="1">
      <alignment wrapText="1"/>
    </xf>
    <xf numFmtId="0" fontId="3" fillId="0" borderId="3" xfId="0" applyFont="1" applyBorder="1" applyAlignment="1" applyProtection="1">
      <alignment horizontal="left"/>
      <protection locked="0"/>
    </xf>
    <xf numFmtId="0" fontId="3" fillId="0" borderId="0" xfId="0" applyFont="1" applyAlignment="1">
      <alignment horizontal="left"/>
    </xf>
    <xf numFmtId="14" fontId="3" fillId="0" borderId="8" xfId="0" applyNumberFormat="1" applyFont="1" applyBorder="1" applyAlignment="1" applyProtection="1">
      <protection locked="0"/>
    </xf>
    <xf numFmtId="0" fontId="3" fillId="0" borderId="3" xfId="0" applyFont="1" applyBorder="1" applyAlignment="1">
      <alignment vertical="top"/>
    </xf>
    <xf numFmtId="0" fontId="3" fillId="0" borderId="8" xfId="0" applyFont="1" applyBorder="1" applyAlignment="1">
      <alignment horizontal="left" wrapText="1"/>
    </xf>
    <xf numFmtId="0" fontId="3" fillId="0" borderId="0" xfId="0" applyFont="1" applyAlignment="1">
      <alignment horizontal="left" wrapText="1"/>
    </xf>
    <xf numFmtId="0" fontId="3" fillId="0" borderId="0" xfId="0" applyFont="1" applyBorder="1" applyAlignment="1">
      <alignment vertical="top"/>
    </xf>
    <xf numFmtId="0" fontId="6" fillId="8" borderId="0" xfId="0" applyFont="1" applyFill="1" applyAlignment="1">
      <alignment horizontal="right"/>
    </xf>
    <xf numFmtId="14" fontId="27" fillId="0" borderId="0" xfId="0" applyNumberFormat="1" applyFont="1" applyAlignment="1" applyProtection="1">
      <alignment horizontal="left"/>
      <protection locked="0"/>
    </xf>
    <xf numFmtId="14" fontId="27" fillId="0" borderId="0" xfId="0" applyNumberFormat="1" applyFont="1" applyAlignment="1" applyProtection="1">
      <alignment horizontal="left" wrapText="1"/>
      <protection locked="0"/>
    </xf>
    <xf numFmtId="0" fontId="18" fillId="0" borderId="0" xfId="0" applyFont="1" applyAlignment="1">
      <alignment horizontal="left" indent="1"/>
    </xf>
    <xf numFmtId="0" fontId="2" fillId="0" borderId="0" xfId="0" applyFont="1" applyAlignment="1">
      <alignment wrapText="1"/>
    </xf>
    <xf numFmtId="0" fontId="13" fillId="0" borderId="3" xfId="0" applyFont="1" applyBorder="1" applyAlignment="1">
      <alignment vertical="top"/>
    </xf>
    <xf numFmtId="0" fontId="3" fillId="0" borderId="3" xfId="0" applyFont="1" applyBorder="1" applyAlignment="1">
      <alignment vertical="top" wrapText="1"/>
    </xf>
    <xf numFmtId="0" fontId="3" fillId="0" borderId="3" xfId="0" applyFont="1" applyFill="1" applyBorder="1" applyAlignment="1">
      <alignment vertical="top"/>
    </xf>
    <xf numFmtId="0" fontId="3" fillId="0" borderId="0" xfId="0" applyFont="1" applyAlignment="1">
      <alignment horizontal="right" wrapText="1"/>
    </xf>
    <xf numFmtId="175" fontId="3" fillId="0" borderId="0" xfId="0" applyNumberFormat="1" applyFont="1"/>
    <xf numFmtId="0" fontId="3" fillId="6" borderId="3" xfId="0" applyFont="1" applyFill="1" applyBorder="1" applyAlignment="1">
      <alignment horizontal="center" vertical="center" wrapText="1"/>
    </xf>
    <xf numFmtId="2" fontId="3" fillId="0" borderId="3" xfId="1" applyNumberFormat="1" applyFont="1" applyBorder="1" applyAlignment="1">
      <alignment vertical="center" wrapText="1"/>
    </xf>
    <xf numFmtId="0" fontId="28" fillId="0" borderId="0" xfId="0" applyFont="1" applyFill="1" applyBorder="1"/>
    <xf numFmtId="0" fontId="3" fillId="2" borderId="3" xfId="0" applyFont="1" applyFill="1" applyBorder="1" applyAlignment="1">
      <alignment vertical="center"/>
    </xf>
    <xf numFmtId="0" fontId="29" fillId="11" borderId="9" xfId="5" applyFont="1" applyFill="1" applyBorder="1" applyAlignment="1">
      <alignment vertical="center"/>
    </xf>
    <xf numFmtId="0" fontId="6" fillId="0" borderId="0" xfId="5" applyFont="1"/>
    <xf numFmtId="0" fontId="30" fillId="14" borderId="0" xfId="5" applyFont="1" applyFill="1" applyAlignment="1">
      <alignment horizontal="left"/>
    </xf>
    <xf numFmtId="0" fontId="6" fillId="14" borderId="0" xfId="5" applyFont="1" applyFill="1"/>
    <xf numFmtId="0" fontId="6" fillId="9" borderId="0" xfId="5" applyFont="1" applyFill="1"/>
    <xf numFmtId="0" fontId="28" fillId="0" borderId="0" xfId="7" applyFont="1"/>
    <xf numFmtId="0" fontId="2" fillId="0" borderId="3" xfId="7" applyFont="1" applyBorder="1"/>
    <xf numFmtId="166" fontId="3" fillId="0" borderId="3" xfId="7" applyNumberFormat="1" applyFont="1" applyFill="1" applyBorder="1" applyAlignment="1">
      <alignment vertical="center"/>
    </xf>
    <xf numFmtId="0" fontId="3" fillId="0" borderId="3" xfId="0" applyFont="1" applyFill="1" applyBorder="1" applyAlignment="1">
      <alignment vertical="center"/>
    </xf>
    <xf numFmtId="0" fontId="3" fillId="16" borderId="3" xfId="0" applyFont="1" applyFill="1" applyBorder="1" applyAlignment="1">
      <alignment vertical="top" wrapText="1"/>
    </xf>
    <xf numFmtId="2" fontId="3" fillId="0" borderId="3" xfId="1" applyNumberFormat="1" applyFont="1" applyFill="1" applyBorder="1"/>
    <xf numFmtId="2" fontId="3" fillId="0" borderId="3" xfId="0" applyNumberFormat="1" applyFont="1" applyFill="1" applyBorder="1"/>
    <xf numFmtId="3" fontId="3" fillId="0" borderId="3" xfId="1" applyNumberFormat="1" applyFont="1" applyFill="1" applyBorder="1"/>
    <xf numFmtId="0" fontId="13" fillId="0" borderId="3" xfId="0" applyFont="1" applyBorder="1" applyAlignment="1" applyProtection="1">
      <alignment horizontal="left"/>
      <protection locked="0"/>
    </xf>
    <xf numFmtId="14" fontId="13" fillId="0" borderId="3" xfId="0" applyNumberFormat="1" applyFont="1" applyBorder="1" applyAlignment="1" applyProtection="1">
      <alignment horizontal="left"/>
      <protection locked="0"/>
    </xf>
    <xf numFmtId="171" fontId="3" fillId="0" borderId="3" xfId="0" applyNumberFormat="1" applyFont="1" applyBorder="1"/>
    <xf numFmtId="170" fontId="6" fillId="0" borderId="3" xfId="1" applyNumberFormat="1" applyFont="1" applyBorder="1"/>
    <xf numFmtId="0" fontId="3" fillId="0" borderId="1" xfId="8" applyFont="1" applyFill="1" applyBorder="1" applyAlignment="1">
      <alignment horizontal="center" vertical="top" wrapText="1"/>
    </xf>
    <xf numFmtId="0" fontId="3" fillId="0" borderId="4" xfId="8" applyFont="1" applyFill="1" applyBorder="1" applyAlignment="1">
      <alignment horizontal="center" vertical="top" wrapText="1"/>
    </xf>
    <xf numFmtId="0" fontId="2" fillId="6" borderId="3" xfId="5" applyFont="1" applyFill="1" applyBorder="1" applyAlignment="1">
      <alignment horizontal="center" vertical="center" wrapText="1"/>
    </xf>
    <xf numFmtId="0" fontId="2" fillId="0" borderId="3" xfId="0" applyFont="1" applyBorder="1" applyAlignment="1">
      <alignment horizontal="center" vertical="center" wrapText="1"/>
    </xf>
    <xf numFmtId="0" fontId="6"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3" borderId="3" xfId="0" applyFont="1" applyFill="1" applyBorder="1" applyAlignment="1">
      <alignment horizontal="center" vertical="center" wrapText="1"/>
    </xf>
    <xf numFmtId="0" fontId="6" fillId="0" borderId="19" xfId="0" applyFont="1" applyBorder="1" applyAlignment="1">
      <alignment vertical="center" wrapText="1"/>
    </xf>
    <xf numFmtId="0" fontId="6" fillId="0" borderId="16" xfId="0" applyFont="1" applyBorder="1" applyAlignment="1">
      <alignment vertical="center" wrapText="1"/>
    </xf>
    <xf numFmtId="0" fontId="6" fillId="0" borderId="15" xfId="0" applyFont="1" applyBorder="1" applyAlignment="1">
      <alignment vertical="center" wrapText="1"/>
    </xf>
  </cellXfs>
  <cellStyles count="13">
    <cellStyle name="Comma" xfId="1" builtinId="3"/>
    <cellStyle name="Comma 2" xfId="9"/>
    <cellStyle name="Explanatory Text" xfId="4" builtinId="53"/>
    <cellStyle name="Normal" xfId="0" builtinId="0"/>
    <cellStyle name="Normal 2" xfId="5"/>
    <cellStyle name="Normal 2 2" xfId="12"/>
    <cellStyle name="Normal 2 2 2" xfId="11"/>
    <cellStyle name="Normal 5 2 2" xfId="6"/>
    <cellStyle name="Normal 6" xfId="2"/>
    <cellStyle name="Normal 6 3" xfId="8"/>
    <cellStyle name="Normal 7" xfId="7"/>
    <cellStyle name="Percent" xfId="3" builtinId="5"/>
    <cellStyle name="Percent 2" xfId="10"/>
  </cellStyles>
  <dxfs count="19">
    <dxf>
      <font>
        <color rgb="FF006100"/>
      </font>
      <fill>
        <patternFill>
          <bgColor rgb="FFC6EFCE"/>
        </patternFill>
      </fill>
    </dxf>
    <dxf>
      <font>
        <color rgb="FF9C0006"/>
      </font>
      <fill>
        <patternFill>
          <bgColor rgb="FFFFC7CE"/>
        </patternFill>
      </fill>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theme="0"/>
      </font>
    </dxf>
    <dxf>
      <font>
        <color theme="0"/>
      </font>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35718</xdr:colOff>
      <xdr:row>2</xdr:row>
      <xdr:rowOff>35718</xdr:rowOff>
    </xdr:from>
    <xdr:to>
      <xdr:col>10</xdr:col>
      <xdr:colOff>309958</xdr:colOff>
      <xdr:row>18</xdr:row>
      <xdr:rowOff>79772</xdr:rowOff>
    </xdr:to>
    <xdr:sp macro="" textlink="">
      <xdr:nvSpPr>
        <xdr:cNvPr id="3" name="TextBox 2">
          <a:extLst>
            <a:ext uri="{FF2B5EF4-FFF2-40B4-BE49-F238E27FC236}">
              <a16:creationId xmlns="" xmlns:a16="http://schemas.microsoft.com/office/drawing/2014/main" id="{00000000-0008-0000-0000-000002000000}"/>
            </a:ext>
          </a:extLst>
        </xdr:cNvPr>
        <xdr:cNvSpPr txBox="1"/>
      </xdr:nvSpPr>
      <xdr:spPr>
        <a:xfrm>
          <a:off x="208359" y="440531"/>
          <a:ext cx="7120334" cy="2901554"/>
        </a:xfrm>
        <a:prstGeom prst="rect">
          <a:avLst/>
        </a:prstGeom>
        <a:solidFill>
          <a:schemeClr val="bg1">
            <a:lumMod val="8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chemeClr val="dk1"/>
              </a:solidFill>
              <a:effectLst/>
              <a:latin typeface="+mn-lt"/>
              <a:ea typeface="+mn-ea"/>
              <a:cs typeface="+mn-cs"/>
            </a:rPr>
            <a:t>Meeting lead standards enhancement feeder model</a:t>
          </a:r>
          <a:endParaRPr lang="en-GB" sz="1100" b="1" i="0" u="sng" baseline="0">
            <a:solidFill>
              <a:schemeClr val="dk1"/>
            </a:solidFill>
            <a:effectLst/>
            <a:latin typeface="+mn-lt"/>
            <a:ea typeface="+mn-ea"/>
            <a:cs typeface="+mn-cs"/>
          </a:endParaRPr>
        </a:p>
        <a:p>
          <a:endParaRPr lang="en-GB" sz="1000">
            <a:effectLst/>
          </a:endParaRPr>
        </a:p>
        <a:p>
          <a:r>
            <a:rPr lang="en-GB" sz="1100" b="1" baseline="0">
              <a:solidFill>
                <a:schemeClr val="dk1"/>
              </a:solidFill>
              <a:effectLst/>
              <a:latin typeface="+mn-lt"/>
              <a:ea typeface="+mn-ea"/>
              <a:cs typeface="+mn-cs"/>
            </a:rPr>
            <a:t>Objective</a:t>
          </a:r>
          <a:endParaRPr lang="en-GB" sz="1000">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To assess enhancement capex expenditure submitted by companies in their PR19 business plan submissions for</a:t>
          </a:r>
          <a:r>
            <a:rPr lang="en-GB" sz="1100" baseline="0">
              <a:solidFill>
                <a:schemeClr val="dk1"/>
              </a:solidFill>
              <a:effectLst/>
              <a:latin typeface="+mn-lt"/>
              <a:ea typeface="+mn-ea"/>
              <a:cs typeface="+mn-cs"/>
            </a:rPr>
            <a:t> meeting lead standards</a:t>
          </a:r>
          <a:r>
            <a:rPr lang="en-GB" sz="1100">
              <a:solidFill>
                <a:schemeClr val="dk1"/>
              </a:solidFill>
              <a:effectLst/>
              <a:latin typeface="+mn-lt"/>
              <a:ea typeface="+mn-ea"/>
              <a:cs typeface="+mn-cs"/>
            </a:rPr>
            <a:t>. </a:t>
          </a:r>
          <a:endParaRPr lang="en-GB" sz="11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Approach</a:t>
          </a:r>
        </a:p>
        <a:p>
          <a:endParaRPr lang="en-GB" sz="1100" baseline="0">
            <a:solidFill>
              <a:schemeClr val="dk1"/>
            </a:solidFill>
            <a:effectLst/>
            <a:latin typeface="+mn-lt"/>
            <a:ea typeface="+mn-ea"/>
            <a:cs typeface="+mn-cs"/>
          </a:endParaRPr>
        </a:p>
        <a:p>
          <a:r>
            <a:rPr lang="en-GB" sz="1100" b="0" i="0">
              <a:solidFill>
                <a:schemeClr val="dk1"/>
              </a:solidFill>
              <a:effectLst/>
              <a:latin typeface="+mn-lt"/>
              <a:ea typeface="+mn-ea"/>
              <a:cs typeface="+mn-cs"/>
            </a:rPr>
            <a:t>We assess the lead reduction costs using a panel data model where the cost drivers are the number of existing lead communication pipes and the number of lead communication pipes replaced for water quality. We triangulate our cost allowance across two models, one using historical data for the period 2011-12 to 2017-18 and other using forecast data for the period of 2020-21 to 2024-25. Both models are in levels and use smoothed data over a 3-year period. Where companies’ forecasts are below our allowance, we allow the company’s forecast. For companies whose submissions suggest unique and material costs not captured by our model, we carry out a deep dive using the information provided within the companies’ submission.</a:t>
          </a:r>
          <a:endParaRPr lang="en-GB" sz="1100" baseline="0">
            <a:solidFill>
              <a:schemeClr val="dk1"/>
            </a:solidFill>
            <a:effectLst/>
            <a:latin typeface="+mn-lt"/>
            <a:ea typeface="+mn-ea"/>
            <a:cs typeface="+mn-cs"/>
          </a:endParaRPr>
        </a:p>
        <a:p>
          <a:endParaRPr lang="en-GB"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79612</xdr:colOff>
      <xdr:row>25</xdr:row>
      <xdr:rowOff>9366</xdr:rowOff>
    </xdr:from>
    <xdr:to>
      <xdr:col>2</xdr:col>
      <xdr:colOff>6532564</xdr:colOff>
      <xdr:row>45</xdr:row>
      <xdr:rowOff>95248</xdr:rowOff>
    </xdr:to>
    <xdr:sp macro="" textlink="">
      <xdr:nvSpPr>
        <xdr:cNvPr id="6" name="TextBox 5">
          <a:extLst>
            <a:ext uri="{FF2B5EF4-FFF2-40B4-BE49-F238E27FC236}">
              <a16:creationId xmlns="" xmlns:a16="http://schemas.microsoft.com/office/drawing/2014/main" id="{00000000-0008-0000-0400-000005000000}"/>
            </a:ext>
          </a:extLst>
        </xdr:cNvPr>
        <xdr:cNvSpPr txBox="1"/>
      </xdr:nvSpPr>
      <xdr:spPr>
        <a:xfrm>
          <a:off x="222487" y="10963116"/>
          <a:ext cx="10286765" cy="344344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solidFill>
                <a:sysClr val="windowText" lastClr="000000"/>
              </a:solidFill>
            </a:rPr>
            <a:t>1.</a:t>
          </a:r>
          <a:r>
            <a:rPr lang="en-GB" sz="1100" b="0" baseline="0">
              <a:solidFill>
                <a:sysClr val="windowText" lastClr="000000"/>
              </a:solidFill>
            </a:rPr>
            <a:t> WE calculate the allowed number of supply pipes replaced during AMP 7  as </a:t>
          </a:r>
          <a:r>
            <a:rPr lang="en-GB" sz="1100" b="1" baseline="0">
              <a:solidFill>
                <a:sysClr val="windowText" lastClr="000000"/>
              </a:solidFill>
            </a:rPr>
            <a:t>5,154 replacements</a:t>
          </a:r>
          <a:r>
            <a:rPr lang="en-GB" sz="1100" b="0" baseline="0">
              <a:solidFill>
                <a:sysClr val="windowText" lastClr="000000"/>
              </a:solidFill>
            </a:rPr>
            <a:t>, which is calculated as follows: </a:t>
          </a: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ysClr val="windowText" lastClr="000000"/>
              </a:solidFill>
            </a:rPr>
            <a:t>a) Number of replacements should WSH follow the industry's renewal rate =  </a:t>
          </a:r>
          <a:r>
            <a:rPr lang="en-GB" sz="1100" b="1" baseline="0">
              <a:solidFill>
                <a:schemeClr val="dk1"/>
              </a:solidFill>
              <a:effectLst/>
              <a:latin typeface="+mn-lt"/>
              <a:ea typeface="+mn-ea"/>
              <a:cs typeface="+mn-cs"/>
            </a:rPr>
            <a:t>3,436 replacements</a:t>
          </a:r>
          <a:r>
            <a:rPr lang="en-GB" sz="1100" b="0" baseline="0">
              <a:solidFill>
                <a:schemeClr val="dk1"/>
              </a:solidFill>
              <a:effectLst/>
              <a:latin typeface="+mn-lt"/>
              <a:ea typeface="+mn-ea"/>
              <a:cs typeface="+mn-cs"/>
            </a:rPr>
            <a:t> =</a:t>
          </a:r>
          <a:r>
            <a:rPr lang="en-GB" sz="1100" b="0" baseline="0">
              <a:solidFill>
                <a:sysClr val="windowText" lastClr="000000"/>
              </a:solidFill>
            </a:rPr>
            <a:t> Industry annual renewal rate of 0.4043%  * WSH annual average number of existing lead pipes of 169,978 * 5 years of AMP7 period (source: Ofwat calculations, tab 'HDD_WSH evidence')</a:t>
          </a:r>
          <a:endParaRPr lang="en-GB" sz="1100" b="1"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ysClr val="windowText" lastClr="000000"/>
              </a:solidFill>
            </a:rPr>
            <a:t>b) </a:t>
          </a:r>
          <a:r>
            <a:rPr lang="en-GB" sz="1100">
              <a:solidFill>
                <a:schemeClr val="dk1"/>
              </a:solidFill>
              <a:effectLst/>
              <a:latin typeface="+mn-lt"/>
              <a:ea typeface="+mn-ea"/>
              <a:cs typeface="+mn-cs"/>
            </a:rPr>
            <a:t>Uplift the 3,436 replacements by 50% to reflect WSH's tighter target from 10 to 5ug/l, by 50% = </a:t>
          </a:r>
          <a:r>
            <a:rPr lang="en-GB" sz="1100" b="1">
              <a:solidFill>
                <a:schemeClr val="dk1"/>
              </a:solidFill>
              <a:effectLst/>
              <a:latin typeface="+mn-lt"/>
              <a:ea typeface="+mn-ea"/>
              <a:cs typeface="+mn-cs"/>
            </a:rPr>
            <a:t>5,154 replacements</a:t>
          </a:r>
          <a:r>
            <a:rPr lang="en-GB" sz="1100" b="0" baseline="0">
              <a:solidFill>
                <a:schemeClr val="dk1"/>
              </a:solidFill>
              <a:effectLst/>
              <a:latin typeface="+mn-lt"/>
              <a:ea typeface="+mn-ea"/>
              <a:cs typeface="+mn-cs"/>
            </a:rPr>
            <a:t> = </a:t>
          </a:r>
          <a:r>
            <a:rPr lang="en-GB" sz="1100">
              <a:solidFill>
                <a:schemeClr val="dk1"/>
              </a:solidFill>
              <a:effectLst/>
              <a:latin typeface="+mn-lt"/>
              <a:ea typeface="+mn-ea"/>
              <a:cs typeface="+mn-cs"/>
            </a:rPr>
            <a:t>3,436 replacements *1.5</a:t>
          </a:r>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r>
            <a:rPr lang="en-GB" sz="1100" b="0">
              <a:solidFill>
                <a:schemeClr val="dk1"/>
              </a:solidFill>
              <a:effectLst/>
              <a:latin typeface="+mn-lt"/>
              <a:ea typeface="+mn-ea"/>
              <a:cs typeface="+mn-cs"/>
            </a:rPr>
            <a:t>2. We use a benchmark </a:t>
          </a:r>
          <a:r>
            <a:rPr lang="en-GB" sz="1100" b="1">
              <a:solidFill>
                <a:schemeClr val="dk1"/>
              </a:solidFill>
              <a:effectLst/>
              <a:latin typeface="+mn-lt"/>
              <a:ea typeface="+mn-ea"/>
              <a:cs typeface="+mn-cs"/>
            </a:rPr>
            <a:t>cost</a:t>
          </a:r>
          <a:r>
            <a:rPr lang="en-GB" sz="1100" b="1" baseline="0">
              <a:solidFill>
                <a:schemeClr val="dk1"/>
              </a:solidFill>
              <a:effectLst/>
              <a:latin typeface="+mn-lt"/>
              <a:ea typeface="+mn-ea"/>
              <a:cs typeface="+mn-cs"/>
            </a:rPr>
            <a:t>  of replacement of £2,000</a:t>
          </a:r>
          <a:r>
            <a:rPr lang="en-GB" sz="1100" b="0" baseline="0">
              <a:solidFill>
                <a:schemeClr val="dk1"/>
              </a:solidFill>
              <a:effectLst/>
              <a:latin typeface="+mn-lt"/>
              <a:ea typeface="+mn-ea"/>
              <a:cs typeface="+mn-cs"/>
            </a:rPr>
            <a:t>, which is HDD's estimated cost per replacement.   Ofwat's estimates indicates an industry median cost of £1,510 per replacement over the AMP7 period [Source: Ofwat calculations in tab 'modelled unit costs', cell H26]. We use HDD's cost of £2,000. We consider the ~#500 per replacement more that the industry median to be justified </a:t>
          </a:r>
          <a:r>
            <a:rPr lang="en-GB" sz="1100">
              <a:solidFill>
                <a:schemeClr val="dk1"/>
              </a:solidFill>
              <a:effectLst/>
              <a:latin typeface="+mn-lt"/>
              <a:ea typeface="+mn-ea"/>
              <a:cs typeface="+mn-cs"/>
            </a:rPr>
            <a:t>by the tighter target from 10 to 5ug/l that the HDD</a:t>
          </a:r>
          <a:r>
            <a:rPr lang="en-GB" sz="1100" baseline="0">
              <a:solidFill>
                <a:schemeClr val="dk1"/>
              </a:solidFill>
              <a:effectLst/>
              <a:latin typeface="+mn-lt"/>
              <a:ea typeface="+mn-ea"/>
              <a:cs typeface="+mn-cs"/>
            </a:rPr>
            <a:t> and WSH propose to adopt in AMP7. </a:t>
          </a:r>
          <a:r>
            <a:rPr lang="en-GB" sz="1100" b="0" baseline="0">
              <a:solidFill>
                <a:schemeClr val="dk1"/>
              </a:solidFill>
              <a:effectLst/>
              <a:latin typeface="+mn-lt"/>
              <a:ea typeface="+mn-ea"/>
              <a:cs typeface="+mn-cs"/>
            </a:rPr>
            <a:t>a </a:t>
          </a:r>
          <a:r>
            <a:rPr lang="en-GB" sz="1100">
              <a:solidFill>
                <a:schemeClr val="dk1"/>
              </a:solidFill>
              <a:effectLst/>
              <a:latin typeface="+mn-lt"/>
              <a:ea typeface="+mn-ea"/>
              <a:cs typeface="+mn-cs"/>
            </a:rPr>
            <a:t>HDD says in its submission that it has</a:t>
          </a:r>
          <a:r>
            <a:rPr lang="en-GB" sz="1100" baseline="0">
              <a:solidFill>
                <a:schemeClr val="dk1"/>
              </a:solidFill>
              <a:effectLst/>
              <a:latin typeface="+mn-lt"/>
              <a:ea typeface="+mn-ea"/>
              <a:cs typeface="+mn-cs"/>
            </a:rPr>
            <a:t> used </a:t>
          </a:r>
          <a:r>
            <a:rPr lang="en-GB" sz="1100">
              <a:solidFill>
                <a:schemeClr val="dk1"/>
              </a:solidFill>
              <a:effectLst/>
              <a:latin typeface="+mn-lt"/>
              <a:ea typeface="+mn-ea"/>
              <a:cs typeface="+mn-cs"/>
            </a:rPr>
            <a:t>a cost of £2k per replacement for combined comm pipe and supply pipe replacement [source: HDD submission, Appendix 4 - Enhancement business cases and cost adjustment claims, Section 4.3.2 Reducing Lead in Wales cost assessment claim, Section D, Best option for customers, p104].</a:t>
          </a:r>
          <a:r>
            <a:rPr lang="en-GB" sz="1100" baseline="0">
              <a:solidFill>
                <a:schemeClr val="dk1"/>
              </a:solidFill>
              <a:effectLst/>
              <a:latin typeface="+mn-lt"/>
              <a:ea typeface="+mn-ea"/>
              <a:cs typeface="+mn-cs"/>
            </a:rPr>
            <a:t> </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Note that WSH appears to use a cost per replacement of ~</a:t>
          </a:r>
          <a:r>
            <a:rPr lang="en-GB" sz="1100" b="0" baseline="0">
              <a:solidFill>
                <a:schemeClr val="dk1"/>
              </a:solidFill>
              <a:effectLst/>
              <a:latin typeface="+mn-lt"/>
              <a:ea typeface="+mn-ea"/>
              <a:cs typeface="+mn-cs"/>
            </a:rPr>
            <a:t>£2,150 (requested capex of £15m / ~7,000 replacements). Our unit cost analysis cannot confirm this because WSH reports 0 replacements for AMP7 in the Business Plans tables. The reference to 7,000 replacements in AMP7  comes in the BP report [source: 2.2 PR19 Water Network Plus Business Plan WSH, Strategic Response 6: Towards a lead-free Wales, p53 to 59], which does not match the zero number reported in the BP tables.</a:t>
          </a:r>
          <a:endParaRPr lang="en-GB" sz="1100">
            <a:solidFill>
              <a:schemeClr val="dk1"/>
            </a:solidFill>
            <a:effectLst/>
            <a:latin typeface="+mn-lt"/>
            <a:ea typeface="+mn-ea"/>
            <a:cs typeface="+mn-cs"/>
          </a:endParaRPr>
        </a:p>
        <a:p>
          <a:endParaRPr lang="en-GB" sz="1100" b="0">
            <a:solidFill>
              <a:schemeClr val="dk1"/>
            </a:solidFill>
            <a:effectLst/>
            <a:latin typeface="+mn-lt"/>
            <a:ea typeface="+mn-ea"/>
            <a:cs typeface="+mn-cs"/>
          </a:endParaRPr>
        </a:p>
        <a:p>
          <a:r>
            <a:rPr lang="en-GB" sz="1100" b="0">
              <a:solidFill>
                <a:schemeClr val="dk1"/>
              </a:solidFill>
              <a:effectLst/>
              <a:latin typeface="+mn-lt"/>
              <a:ea typeface="+mn-ea"/>
              <a:cs typeface="+mn-cs"/>
            </a:rPr>
            <a:t>3. We estimate the allowance by multiplying the number of allowed</a:t>
          </a:r>
          <a:r>
            <a:rPr lang="en-GB" sz="1100" b="0" baseline="0">
              <a:solidFill>
                <a:schemeClr val="dk1"/>
              </a:solidFill>
              <a:effectLst/>
              <a:latin typeface="+mn-lt"/>
              <a:ea typeface="+mn-ea"/>
              <a:cs typeface="+mn-cs"/>
            </a:rPr>
            <a:t> </a:t>
          </a:r>
          <a:r>
            <a:rPr lang="en-GB" sz="1100" b="0">
              <a:solidFill>
                <a:schemeClr val="dk1"/>
              </a:solidFill>
              <a:effectLst/>
              <a:latin typeface="+mn-lt"/>
              <a:ea typeface="+mn-ea"/>
              <a:cs typeface="+mn-cs"/>
            </a:rPr>
            <a:t>replacements</a:t>
          </a:r>
          <a:r>
            <a:rPr lang="en-GB" sz="1100" b="0" baseline="0">
              <a:solidFill>
                <a:schemeClr val="dk1"/>
              </a:solidFill>
              <a:effectLst/>
              <a:latin typeface="+mn-lt"/>
              <a:ea typeface="+mn-ea"/>
              <a:cs typeface="+mn-cs"/>
            </a:rPr>
            <a:t> of 5,154 by the benchmark unit cost of £2,000 = £10.308m.</a:t>
          </a:r>
          <a:endParaRPr lang="en-GB" sz="1100" b="0">
            <a:solidFill>
              <a:sysClr val="windowText" lastClr="000000"/>
            </a:solidFill>
          </a:endParaRPr>
        </a:p>
      </xdr:txBody>
    </xdr:sp>
    <xdr:clientData/>
  </xdr:twoCellAnchor>
  <xdr:twoCellAnchor>
    <xdr:from>
      <xdr:col>15</xdr:col>
      <xdr:colOff>317182</xdr:colOff>
      <xdr:row>24</xdr:row>
      <xdr:rowOff>153352</xdr:rowOff>
    </xdr:from>
    <xdr:to>
      <xdr:col>19</xdr:col>
      <xdr:colOff>69531</xdr:colOff>
      <xdr:row>39</xdr:row>
      <xdr:rowOff>143351</xdr:rowOff>
    </xdr:to>
    <xdr:sp macro="" textlink="">
      <xdr:nvSpPr>
        <xdr:cNvPr id="7" name="TextBox 6">
          <a:extLst>
            <a:ext uri="{FF2B5EF4-FFF2-40B4-BE49-F238E27FC236}">
              <a16:creationId xmlns="" xmlns:a16="http://schemas.microsoft.com/office/drawing/2014/main" id="{00000000-0008-0000-0400-000005000000}"/>
            </a:ext>
          </a:extLst>
        </xdr:cNvPr>
        <xdr:cNvSpPr txBox="1"/>
      </xdr:nvSpPr>
      <xdr:spPr>
        <a:xfrm>
          <a:off x="14820582" y="6236652"/>
          <a:ext cx="2216149" cy="3037999"/>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[Insert references to evidence]</a:t>
          </a:r>
        </a:p>
        <a:p>
          <a:r>
            <a:rPr lang="en-GB" sz="1100" b="1"/>
            <a:t>Appendix a8</a:t>
          </a:r>
          <a:r>
            <a:rPr lang="en-GB" sz="1100" b="1" baseline="0"/>
            <a:t> securing cost efficiency</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
  <sheetViews>
    <sheetView showGridLines="0" tabSelected="1" workbookViewId="0"/>
  </sheetViews>
  <sheetFormatPr defaultColWidth="9" defaultRowHeight="14.5" x14ac:dyDescent="0.35"/>
  <cols>
    <col min="1" max="16384" width="9" style="125"/>
  </cols>
  <sheetData>
    <row r="1" spans="1:7" ht="18.5" x14ac:dyDescent="0.45">
      <c r="A1" s="134" t="s">
        <v>209</v>
      </c>
      <c r="B1" s="135"/>
      <c r="C1" s="135"/>
      <c r="D1" s="135"/>
      <c r="E1" s="135"/>
      <c r="F1" s="135"/>
      <c r="G1" s="13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249977111117893"/>
  </sheetPr>
  <dimension ref="B2:O46"/>
  <sheetViews>
    <sheetView showGridLines="0" zoomScale="90" zoomScaleNormal="90" workbookViewId="0"/>
  </sheetViews>
  <sheetFormatPr defaultColWidth="9" defaultRowHeight="14.5" x14ac:dyDescent="0.35"/>
  <cols>
    <col min="1" max="1" width="9" style="125"/>
    <col min="2" max="2" width="39.33203125" style="125" customWidth="1"/>
    <col min="3" max="3" width="34.5" style="125" customWidth="1"/>
    <col min="4" max="4" width="42" style="125" customWidth="1"/>
    <col min="5" max="7" width="9" style="125"/>
    <col min="8" max="8" width="15.6640625" style="125" bestFit="1" customWidth="1"/>
    <col min="9" max="9" width="9.1640625" style="125" bestFit="1" customWidth="1"/>
    <col min="10" max="10" width="9" style="125"/>
    <col min="11" max="11" width="13.1640625" style="125" customWidth="1"/>
    <col min="12" max="12" width="13.5" style="125" customWidth="1"/>
    <col min="13" max="13" width="19.6640625" style="125" customWidth="1"/>
    <col min="14" max="14" width="15" style="125" customWidth="1"/>
    <col min="15" max="15" width="28" style="125" customWidth="1"/>
    <col min="16" max="16384" width="9" style="125"/>
  </cols>
  <sheetData>
    <row r="2" spans="2:15" x14ac:dyDescent="0.35">
      <c r="B2" s="158" t="s">
        <v>183</v>
      </c>
      <c r="G2" s="158" t="s">
        <v>184</v>
      </c>
    </row>
    <row r="3" spans="2:15" ht="15" thickBot="1" x14ac:dyDescent="0.4"/>
    <row r="4" spans="2:15" ht="15" thickBot="1" x14ac:dyDescent="0.4">
      <c r="B4" s="159" t="s">
        <v>138</v>
      </c>
      <c r="C4" s="160" t="s">
        <v>28</v>
      </c>
      <c r="D4" s="160" t="s">
        <v>16</v>
      </c>
      <c r="G4" s="161"/>
      <c r="H4" s="2" t="s">
        <v>178</v>
      </c>
      <c r="I4" s="2"/>
      <c r="J4" s="2"/>
      <c r="K4" s="2"/>
      <c r="L4" s="2"/>
      <c r="M4" s="2"/>
    </row>
    <row r="5" spans="2:15" ht="39.5" x14ac:dyDescent="0.35">
      <c r="B5" s="239" t="s">
        <v>139</v>
      </c>
      <c r="C5" s="162" t="s">
        <v>140</v>
      </c>
      <c r="D5" s="239" t="s">
        <v>142</v>
      </c>
      <c r="G5" s="161"/>
      <c r="H5" s="163" t="s">
        <v>217</v>
      </c>
      <c r="I5" s="163" t="s">
        <v>179</v>
      </c>
      <c r="J5" s="163" t="s">
        <v>180</v>
      </c>
      <c r="K5" s="163" t="s">
        <v>253</v>
      </c>
      <c r="L5" s="163" t="s">
        <v>181</v>
      </c>
      <c r="M5" s="163" t="s">
        <v>182</v>
      </c>
      <c r="N5" s="163" t="s">
        <v>250</v>
      </c>
      <c r="O5" s="163" t="s">
        <v>249</v>
      </c>
    </row>
    <row r="6" spans="2:15" ht="44" thickBot="1" x14ac:dyDescent="0.4">
      <c r="B6" s="241"/>
      <c r="C6" s="164" t="s">
        <v>141</v>
      </c>
      <c r="D6" s="241"/>
      <c r="G6" s="70" t="s">
        <v>8</v>
      </c>
      <c r="H6" s="38">
        <f>AVERAGE('Forecast drivers'!B10:O10)</f>
        <v>519081.42857142858</v>
      </c>
      <c r="I6" s="165">
        <f>AVERAGE('Forecast drivers'!B38:O38)</f>
        <v>1670.7142857142858</v>
      </c>
      <c r="J6" s="166">
        <f>I6/H6</f>
        <v>3.2185976876735554E-3</v>
      </c>
      <c r="K6" s="2"/>
      <c r="L6" s="2"/>
      <c r="M6" s="2"/>
      <c r="N6" s="161"/>
      <c r="O6" s="174"/>
    </row>
    <row r="7" spans="2:15" ht="29" x14ac:dyDescent="0.35">
      <c r="B7" s="239" t="s">
        <v>143</v>
      </c>
      <c r="C7" s="239" t="s">
        <v>144</v>
      </c>
      <c r="D7" s="162" t="s">
        <v>145</v>
      </c>
      <c r="G7" s="70" t="s">
        <v>28</v>
      </c>
      <c r="H7" s="38">
        <f>AVERAGE('Forecast drivers'!B11:O11)</f>
        <v>22904.80168235016</v>
      </c>
      <c r="I7" s="165">
        <f>AVERAGE('Forecast drivers'!B39:O39)</f>
        <v>41.625</v>
      </c>
      <c r="J7" s="166">
        <f t="shared" ref="J7:J24" si="0">I7/H7</f>
        <v>1.8173045362831119E-3</v>
      </c>
      <c r="K7" s="2"/>
      <c r="L7" s="2"/>
      <c r="M7" s="2"/>
      <c r="N7" s="161"/>
      <c r="O7" s="174"/>
    </row>
    <row r="8" spans="2:15" ht="29.5" thickBot="1" x14ac:dyDescent="0.4">
      <c r="B8" s="241"/>
      <c r="C8" s="241"/>
      <c r="D8" s="164" t="s">
        <v>146</v>
      </c>
      <c r="G8" s="70" t="s">
        <v>9</v>
      </c>
      <c r="H8" s="38">
        <f>AVERAGE('Forecast drivers'!B12:O12)</f>
        <v>556785.64285714284</v>
      </c>
      <c r="I8" s="165">
        <f>AVERAGE('Forecast drivers'!B40:O40)</f>
        <v>2483.3571428571427</v>
      </c>
      <c r="J8" s="166">
        <f t="shared" si="0"/>
        <v>4.4601673457559136E-3</v>
      </c>
      <c r="K8" s="2"/>
      <c r="L8" s="2"/>
      <c r="M8" s="2"/>
      <c r="N8" s="161"/>
      <c r="O8" s="174"/>
    </row>
    <row r="9" spans="2:15" ht="44" thickBot="1" x14ac:dyDescent="0.4">
      <c r="B9" s="167" t="s">
        <v>147</v>
      </c>
      <c r="C9" s="164" t="s">
        <v>148</v>
      </c>
      <c r="D9" s="164" t="s">
        <v>149</v>
      </c>
      <c r="G9" s="70" t="s">
        <v>10</v>
      </c>
      <c r="H9" s="38">
        <f>AVERAGE('Forecast drivers'!B13:O13)</f>
        <v>526339.85714285716</v>
      </c>
      <c r="I9" s="165">
        <f>AVERAGE('Forecast drivers'!B41:O41)</f>
        <v>2919.7857142857142</v>
      </c>
      <c r="J9" s="166">
        <f t="shared" si="0"/>
        <v>5.5473391852466861E-3</v>
      </c>
      <c r="K9" s="2"/>
      <c r="L9" s="2"/>
      <c r="M9" s="2"/>
      <c r="N9" s="161"/>
      <c r="O9" s="174"/>
    </row>
    <row r="10" spans="2:15" ht="29" x14ac:dyDescent="0.35">
      <c r="B10" s="239" t="s">
        <v>150</v>
      </c>
      <c r="C10" s="162" t="s">
        <v>151</v>
      </c>
      <c r="D10" s="162" t="s">
        <v>153</v>
      </c>
      <c r="G10" s="70" t="s">
        <v>11</v>
      </c>
      <c r="H10" s="38">
        <f>AVERAGE('Forecast drivers'!B14:O14)</f>
        <v>122800.92857142857</v>
      </c>
      <c r="I10" s="165">
        <f>AVERAGE('Forecast drivers'!B42:O42)</f>
        <v>2024.1428571428571</v>
      </c>
      <c r="J10" s="166">
        <f t="shared" si="0"/>
        <v>1.6483123382617513E-2</v>
      </c>
      <c r="K10" s="2"/>
      <c r="L10" s="2"/>
      <c r="M10" s="2"/>
      <c r="N10" s="161"/>
      <c r="O10" s="174"/>
    </row>
    <row r="11" spans="2:15" ht="29.5" thickBot="1" x14ac:dyDescent="0.4">
      <c r="B11" s="241"/>
      <c r="C11" s="164" t="s">
        <v>152</v>
      </c>
      <c r="D11" s="164" t="s">
        <v>154</v>
      </c>
      <c r="G11" s="70" t="s">
        <v>27</v>
      </c>
      <c r="H11" s="38">
        <f>AVERAGE('Forecast drivers'!B15:O15)</f>
        <v>631306.13225157163</v>
      </c>
      <c r="I11" s="165">
        <f>AVERAGE('Forecast drivers'!B43:O43)</f>
        <v>840.25</v>
      </c>
      <c r="J11" s="166">
        <f t="shared" si="0"/>
        <v>1.3309707558252666E-3</v>
      </c>
      <c r="K11" s="2"/>
      <c r="L11" s="2"/>
      <c r="M11" s="2"/>
      <c r="N11" s="161"/>
      <c r="O11" s="174"/>
    </row>
    <row r="12" spans="2:15" ht="73" thickBot="1" x14ac:dyDescent="0.4">
      <c r="B12" s="167" t="s">
        <v>155</v>
      </c>
      <c r="C12" s="164" t="s">
        <v>156</v>
      </c>
      <c r="D12" s="164" t="s">
        <v>157</v>
      </c>
      <c r="G12" s="70" t="s">
        <v>12</v>
      </c>
      <c r="H12" s="38">
        <f>AVERAGE('Forecast drivers'!B16:O16)</f>
        <v>635423.5256280771</v>
      </c>
      <c r="I12" s="165">
        <f>AVERAGE('Forecast drivers'!B44:O44)</f>
        <v>1166.2857142857142</v>
      </c>
      <c r="J12" s="166">
        <f t="shared" si="0"/>
        <v>1.835446229556755E-3</v>
      </c>
      <c r="K12" s="2"/>
      <c r="L12" s="2"/>
      <c r="M12" s="2"/>
      <c r="N12" s="161"/>
      <c r="O12" s="174"/>
    </row>
    <row r="13" spans="2:15" ht="29" x14ac:dyDescent="0.35">
      <c r="B13" s="239" t="s">
        <v>158</v>
      </c>
      <c r="C13" s="162" t="s">
        <v>218</v>
      </c>
      <c r="D13" s="162" t="s">
        <v>161</v>
      </c>
      <c r="G13" s="70" t="s">
        <v>14</v>
      </c>
      <c r="H13" s="38">
        <f>AVERAGE('Forecast drivers'!B17:O17)</f>
        <v>75734.428571428565</v>
      </c>
      <c r="I13" s="165">
        <f>AVERAGE('Forecast drivers'!B45:O45)</f>
        <v>250.53846153846155</v>
      </c>
      <c r="J13" s="166">
        <f t="shared" si="0"/>
        <v>3.3081184642750343E-3</v>
      </c>
      <c r="K13" s="2"/>
      <c r="L13" s="2"/>
      <c r="M13" s="2"/>
      <c r="N13" s="161"/>
      <c r="O13" s="174"/>
    </row>
    <row r="14" spans="2:15" ht="43.5" x14ac:dyDescent="0.35">
      <c r="B14" s="240"/>
      <c r="C14" s="162" t="s">
        <v>219</v>
      </c>
      <c r="D14" s="162" t="s">
        <v>162</v>
      </c>
      <c r="G14" s="70" t="s">
        <v>15</v>
      </c>
      <c r="H14" s="38">
        <f>AVERAGE('Forecast drivers'!B18:O18)</f>
        <v>1192596.5</v>
      </c>
      <c r="I14" s="165">
        <f>AVERAGE('Forecast drivers'!B46:O46)</f>
        <v>8749</v>
      </c>
      <c r="J14" s="166">
        <f t="shared" si="0"/>
        <v>7.3360939764622818E-3</v>
      </c>
      <c r="K14" s="2"/>
      <c r="L14" s="2"/>
      <c r="M14" s="2"/>
      <c r="N14" s="161"/>
      <c r="O14" s="174"/>
    </row>
    <row r="15" spans="2:15" ht="65.5" x14ac:dyDescent="0.35">
      <c r="B15" s="240"/>
      <c r="C15" s="162" t="s">
        <v>159</v>
      </c>
      <c r="D15" s="162" t="s">
        <v>163</v>
      </c>
      <c r="G15" s="70" t="s">
        <v>16</v>
      </c>
      <c r="H15" s="38">
        <f>AVERAGE('Forecast drivers'!B19:O19)</f>
        <v>169977.71428571429</v>
      </c>
      <c r="I15" s="165">
        <f>AVERAGE('Forecast drivers'!B47:O47)</f>
        <v>2</v>
      </c>
      <c r="J15" s="166">
        <f t="shared" si="0"/>
        <v>1.1766248348522999E-5</v>
      </c>
      <c r="K15" s="168">
        <f>H15*J25</f>
        <v>687.16887011724202</v>
      </c>
      <c r="L15" s="168">
        <f>K15*5</f>
        <v>3435.8443505862101</v>
      </c>
      <c r="M15" s="163" t="s">
        <v>248</v>
      </c>
      <c r="N15" s="229">
        <f>L15*1.5</f>
        <v>5153.7665258793149</v>
      </c>
      <c r="O15" s="174" t="s">
        <v>220</v>
      </c>
    </row>
    <row r="16" spans="2:15" ht="29" x14ac:dyDescent="0.35">
      <c r="B16" s="240"/>
      <c r="C16" s="162" t="s">
        <v>160</v>
      </c>
      <c r="D16" s="169"/>
      <c r="G16" s="70" t="s">
        <v>17</v>
      </c>
      <c r="H16" s="38">
        <f>AVERAGE('Forecast drivers'!B20:O20)</f>
        <v>45256.285714285717</v>
      </c>
      <c r="I16" s="165">
        <f>AVERAGE('Forecast drivers'!B48:O48)</f>
        <v>751.92857142857144</v>
      </c>
      <c r="J16" s="166">
        <f t="shared" si="0"/>
        <v>1.6614898009431996E-2</v>
      </c>
      <c r="K16" s="165"/>
      <c r="L16" s="2"/>
      <c r="M16" s="2"/>
      <c r="N16" s="161"/>
      <c r="O16" s="174"/>
    </row>
    <row r="17" spans="2:15" ht="15" thickBot="1" x14ac:dyDescent="0.4">
      <c r="B17" s="241"/>
      <c r="C17" s="164"/>
      <c r="D17" s="170"/>
      <c r="G17" s="70" t="s">
        <v>18</v>
      </c>
      <c r="H17" s="38">
        <f>AVERAGE('Forecast drivers'!B21:O21)</f>
        <v>1276583.2857142857</v>
      </c>
      <c r="I17" s="165">
        <f>AVERAGE('Forecast drivers'!B49:O49)</f>
        <v>3222.9999999999991</v>
      </c>
      <c r="J17" s="166">
        <f t="shared" si="0"/>
        <v>2.52470797328091E-3</v>
      </c>
      <c r="K17" s="165"/>
      <c r="L17" s="2"/>
      <c r="M17" s="2"/>
      <c r="N17" s="161"/>
      <c r="O17" s="174"/>
    </row>
    <row r="18" spans="2:15" ht="29" x14ac:dyDescent="0.35">
      <c r="B18" s="239" t="s">
        <v>164</v>
      </c>
      <c r="C18" s="162" t="s">
        <v>165</v>
      </c>
      <c r="D18" s="162" t="s">
        <v>170</v>
      </c>
      <c r="G18" s="70" t="s">
        <v>19</v>
      </c>
      <c r="H18" s="38">
        <f>AVERAGE('Forecast drivers'!B22:O22)</f>
        <v>317732.2406217808</v>
      </c>
      <c r="I18" s="165">
        <f>AVERAGE('Forecast drivers'!B50:O50)</f>
        <v>2008.7857142857142</v>
      </c>
      <c r="J18" s="166">
        <f t="shared" si="0"/>
        <v>6.3222596182076285E-3</v>
      </c>
      <c r="K18" s="165"/>
      <c r="L18" s="2"/>
      <c r="M18" s="2"/>
      <c r="N18" s="161"/>
      <c r="O18" s="174"/>
    </row>
    <row r="19" spans="2:15" x14ac:dyDescent="0.35">
      <c r="B19" s="240"/>
      <c r="C19" s="162" t="s">
        <v>166</v>
      </c>
      <c r="D19" s="162" t="s">
        <v>171</v>
      </c>
      <c r="G19" s="70" t="s">
        <v>20</v>
      </c>
      <c r="H19" s="38">
        <f>AVERAGE('Forecast drivers'!B23:O23)</f>
        <v>149172</v>
      </c>
      <c r="I19" s="165">
        <f>AVERAGE('Forecast drivers'!B51:O51)</f>
        <v>86.714285714285708</v>
      </c>
      <c r="J19" s="166">
        <f t="shared" si="0"/>
        <v>5.8130403637603374E-4</v>
      </c>
      <c r="K19" s="2"/>
      <c r="L19" s="2"/>
      <c r="M19" s="2"/>
      <c r="N19" s="161"/>
      <c r="O19" s="174"/>
    </row>
    <row r="20" spans="2:15" ht="29" x14ac:dyDescent="0.35">
      <c r="B20" s="240"/>
      <c r="C20" s="162" t="s">
        <v>167</v>
      </c>
      <c r="D20" s="169"/>
      <c r="G20" s="70" t="s">
        <v>22</v>
      </c>
      <c r="H20" s="38">
        <f>AVERAGE('Forecast drivers'!B24:O24)</f>
        <v>30836.188758748027</v>
      </c>
      <c r="I20" s="165">
        <f>AVERAGE('Forecast drivers'!B52:O52)</f>
        <v>46.571428571428569</v>
      </c>
      <c r="J20" s="166">
        <f t="shared" si="0"/>
        <v>1.5102848453739783E-3</v>
      </c>
      <c r="K20" s="2"/>
      <c r="L20" s="2"/>
      <c r="M20" s="2"/>
      <c r="N20" s="161"/>
      <c r="O20" s="174"/>
    </row>
    <row r="21" spans="2:15" ht="29" x14ac:dyDescent="0.35">
      <c r="B21" s="240"/>
      <c r="C21" s="162" t="s">
        <v>168</v>
      </c>
      <c r="D21" s="169"/>
      <c r="G21" s="70" t="s">
        <v>23</v>
      </c>
      <c r="H21" s="38">
        <f>AVERAGE('Forecast drivers'!B25:O25)</f>
        <v>81638.857142857145</v>
      </c>
      <c r="I21" s="165">
        <f>AVERAGE('Forecast drivers'!B53:O53)</f>
        <v>5.7857142857142856</v>
      </c>
      <c r="J21" s="166">
        <f t="shared" si="0"/>
        <v>7.0869613909342892E-5</v>
      </c>
      <c r="K21" s="2"/>
      <c r="L21" s="2"/>
      <c r="M21" s="2"/>
      <c r="N21" s="161"/>
      <c r="O21" s="174"/>
    </row>
    <row r="22" spans="2:15" ht="15" thickBot="1" x14ac:dyDescent="0.4">
      <c r="B22" s="241"/>
      <c r="C22" s="164" t="s">
        <v>169</v>
      </c>
      <c r="D22" s="170"/>
      <c r="G22" s="70" t="s">
        <v>24</v>
      </c>
      <c r="H22" s="38">
        <f>AVERAGE('Forecast drivers'!B26:O26)</f>
        <v>101474.78571428571</v>
      </c>
      <c r="I22" s="165">
        <f>AVERAGE('Forecast drivers'!B54:O54)</f>
        <v>181.64285714285714</v>
      </c>
      <c r="J22" s="166">
        <f t="shared" si="0"/>
        <v>1.7900294724868318E-3</v>
      </c>
      <c r="K22" s="2"/>
      <c r="L22" s="2"/>
      <c r="M22" s="2"/>
      <c r="N22" s="161"/>
      <c r="O22" s="174"/>
    </row>
    <row r="23" spans="2:15" ht="15" thickBot="1" x14ac:dyDescent="0.4">
      <c r="B23" s="167" t="s">
        <v>172</v>
      </c>
      <c r="C23" s="164" t="s">
        <v>173</v>
      </c>
      <c r="D23" s="164" t="s">
        <v>174</v>
      </c>
      <c r="G23" s="70" t="s">
        <v>25</v>
      </c>
      <c r="H23" s="38">
        <f>AVERAGE('Forecast drivers'!B27:O27)</f>
        <v>30602.820522943777</v>
      </c>
      <c r="I23" s="165">
        <f>AVERAGE('Forecast drivers'!B55:O55)</f>
        <v>16.071428571428573</v>
      </c>
      <c r="J23" s="166">
        <f t="shared" si="0"/>
        <v>5.2516167780611528E-4</v>
      </c>
      <c r="K23" s="2"/>
      <c r="L23" s="2"/>
      <c r="M23" s="2"/>
      <c r="N23" s="161"/>
      <c r="O23" s="174"/>
    </row>
    <row r="24" spans="2:15" ht="29.5" thickBot="1" x14ac:dyDescent="0.4">
      <c r="B24" s="167" t="s">
        <v>175</v>
      </c>
      <c r="C24" s="164" t="s">
        <v>176</v>
      </c>
      <c r="D24" s="164" t="s">
        <v>177</v>
      </c>
      <c r="G24" s="70" t="s">
        <v>26</v>
      </c>
      <c r="H24" s="38">
        <f>AVERAGE('Forecast drivers'!B28:O28)</f>
        <v>152720.8676333199</v>
      </c>
      <c r="I24" s="165">
        <f>AVERAGE('Forecast drivers'!B56:O56)</f>
        <v>232.57142857142858</v>
      </c>
      <c r="J24" s="166">
        <f t="shared" si="0"/>
        <v>1.5228529812299683E-3</v>
      </c>
      <c r="K24" s="2"/>
      <c r="L24" s="2"/>
      <c r="M24" s="2"/>
      <c r="N24" s="161"/>
      <c r="O24" s="174"/>
    </row>
    <row r="25" spans="2:15" x14ac:dyDescent="0.35">
      <c r="G25" s="71" t="s">
        <v>107</v>
      </c>
      <c r="H25" s="2"/>
      <c r="I25" s="2"/>
      <c r="J25" s="171">
        <f>AVERAGE(J6:J24)</f>
        <v>4.0426997915867071E-3</v>
      </c>
      <c r="K25" s="2"/>
      <c r="L25" s="2"/>
      <c r="M25" s="2"/>
      <c r="N25" s="161"/>
      <c r="O25" s="174"/>
    </row>
    <row r="30" spans="2:15" x14ac:dyDescent="0.35">
      <c r="B30" s="158" t="s">
        <v>208</v>
      </c>
    </row>
    <row r="32" spans="2:15" x14ac:dyDescent="0.35">
      <c r="B32" s="158" t="s">
        <v>186</v>
      </c>
    </row>
    <row r="33" spans="2:6" x14ac:dyDescent="0.35">
      <c r="B33" s="125" t="s">
        <v>187</v>
      </c>
    </row>
    <row r="34" spans="2:6" x14ac:dyDescent="0.35">
      <c r="B34" s="125" t="s">
        <v>188</v>
      </c>
    </row>
    <row r="35" spans="2:6" x14ac:dyDescent="0.35">
      <c r="B35" s="125" t="s">
        <v>189</v>
      </c>
    </row>
    <row r="36" spans="2:6" x14ac:dyDescent="0.35">
      <c r="B36" s="125" t="s">
        <v>190</v>
      </c>
    </row>
    <row r="37" spans="2:6" x14ac:dyDescent="0.35">
      <c r="B37" s="125" t="s">
        <v>191</v>
      </c>
    </row>
    <row r="40" spans="2:6" x14ac:dyDescent="0.35">
      <c r="B40" s="172" t="s">
        <v>192</v>
      </c>
      <c r="C40" s="173" t="s">
        <v>193</v>
      </c>
      <c r="D40" s="173" t="s">
        <v>194</v>
      </c>
    </row>
    <row r="41" spans="2:6" x14ac:dyDescent="0.35">
      <c r="B41" s="174" t="s">
        <v>195</v>
      </c>
      <c r="C41" s="175" t="s">
        <v>196</v>
      </c>
      <c r="D41" s="175" t="s">
        <v>197</v>
      </c>
    </row>
    <row r="42" spans="2:6" ht="29" x14ac:dyDescent="0.35">
      <c r="B42" s="174" t="s">
        <v>198</v>
      </c>
      <c r="C42" s="175" t="s">
        <v>199</v>
      </c>
      <c r="D42" s="175" t="s">
        <v>197</v>
      </c>
    </row>
    <row r="43" spans="2:6" ht="29" x14ac:dyDescent="0.35">
      <c r="B43" s="174" t="s">
        <v>200</v>
      </c>
      <c r="C43" s="175" t="s">
        <v>201</v>
      </c>
      <c r="D43" s="175" t="s">
        <v>202</v>
      </c>
      <c r="F43" s="176"/>
    </row>
    <row r="44" spans="2:6" ht="29" x14ac:dyDescent="0.35">
      <c r="B44" s="174" t="s">
        <v>203</v>
      </c>
      <c r="C44" s="175" t="s">
        <v>204</v>
      </c>
      <c r="D44" s="175" t="s">
        <v>202</v>
      </c>
      <c r="F44" s="176"/>
    </row>
    <row r="45" spans="2:6" x14ac:dyDescent="0.35">
      <c r="B45" s="174" t="s">
        <v>205</v>
      </c>
      <c r="C45" s="175" t="s">
        <v>206</v>
      </c>
      <c r="D45" s="177"/>
    </row>
    <row r="46" spans="2:6" x14ac:dyDescent="0.35">
      <c r="B46" s="178" t="s">
        <v>207</v>
      </c>
    </row>
  </sheetData>
  <mergeCells count="7">
    <mergeCell ref="B18:B22"/>
    <mergeCell ref="B5:B6"/>
    <mergeCell ref="D5:D6"/>
    <mergeCell ref="B7:B8"/>
    <mergeCell ref="C7:C8"/>
    <mergeCell ref="B10:B11"/>
    <mergeCell ref="B13:B17"/>
  </mergeCells>
  <conditionalFormatting sqref="G6:G25">
    <cfRule type="cellIs" dxfId="2"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34"/>
  <sheetViews>
    <sheetView showGridLines="0" workbookViewId="0"/>
  </sheetViews>
  <sheetFormatPr defaultColWidth="9" defaultRowHeight="13" x14ac:dyDescent="0.3"/>
  <cols>
    <col min="1" max="1" width="3.1640625" style="1" customWidth="1"/>
    <col min="2" max="2" width="2.6640625" style="1" customWidth="1"/>
    <col min="3" max="3" width="13.5" style="1" customWidth="1"/>
    <col min="4" max="4" width="16.1640625" style="1" customWidth="1"/>
    <col min="5" max="5" width="13.1640625" style="1" customWidth="1"/>
    <col min="6" max="6" width="11.33203125" style="1" customWidth="1"/>
    <col min="7" max="8" width="12.1640625" style="1" customWidth="1"/>
    <col min="9" max="9" width="12.6640625" style="1" customWidth="1"/>
    <col min="10" max="10" width="10.83203125" style="1" bestFit="1" customWidth="1"/>
    <col min="11" max="11" width="10.83203125" style="1" customWidth="1"/>
    <col min="12" max="12" width="10.6640625" style="1" bestFit="1" customWidth="1"/>
    <col min="13" max="13" width="12" style="1" customWidth="1"/>
    <col min="14" max="16384" width="9" style="1"/>
  </cols>
  <sheetData>
    <row r="1" spans="1:13" s="133" customFormat="1" ht="18.5" x14ac:dyDescent="0.45">
      <c r="A1" s="16"/>
      <c r="B1" s="16" t="s">
        <v>88</v>
      </c>
      <c r="C1" s="16"/>
      <c r="D1" s="16"/>
      <c r="E1" s="16"/>
      <c r="F1" s="16"/>
    </row>
    <row r="3" spans="1:13" x14ac:dyDescent="0.3">
      <c r="C3" s="147" t="s">
        <v>46</v>
      </c>
      <c r="D3" s="148" t="s">
        <v>230</v>
      </c>
      <c r="E3" s="149"/>
      <c r="F3" s="149"/>
      <c r="G3" s="149"/>
      <c r="H3" s="149"/>
      <c r="I3" s="149"/>
    </row>
    <row r="4" spans="1:13" x14ac:dyDescent="0.3">
      <c r="C4" s="147" t="s">
        <v>47</v>
      </c>
      <c r="D4" s="148" t="s">
        <v>228</v>
      </c>
      <c r="E4" s="149"/>
      <c r="F4" s="149"/>
      <c r="G4" s="149"/>
      <c r="H4" s="149"/>
      <c r="I4" s="149"/>
    </row>
    <row r="5" spans="1:13" x14ac:dyDescent="0.3">
      <c r="C5" s="147" t="s">
        <v>48</v>
      </c>
      <c r="D5" s="150" t="s">
        <v>224</v>
      </c>
      <c r="E5" s="151"/>
      <c r="F5" s="151"/>
      <c r="G5" s="151"/>
      <c r="H5" s="151"/>
      <c r="I5" s="152"/>
      <c r="J5" s="153"/>
      <c r="K5" s="153"/>
    </row>
    <row r="6" spans="1:13" x14ac:dyDescent="0.3">
      <c r="C6" s="147" t="s">
        <v>49</v>
      </c>
      <c r="D6" s="150" t="s">
        <v>74</v>
      </c>
      <c r="E6" s="151"/>
      <c r="F6" s="151"/>
      <c r="G6" s="151"/>
      <c r="H6" s="151"/>
      <c r="I6" s="154"/>
    </row>
    <row r="7" spans="1:13" x14ac:dyDescent="0.3">
      <c r="C7" s="155" t="s">
        <v>50</v>
      </c>
      <c r="D7" s="156" t="s">
        <v>51</v>
      </c>
      <c r="E7" s="149"/>
      <c r="F7" s="149"/>
      <c r="G7" s="149"/>
      <c r="H7" s="149"/>
      <c r="I7" s="149"/>
    </row>
    <row r="10" spans="1:13" x14ac:dyDescent="0.3">
      <c r="B10" s="5" t="s">
        <v>52</v>
      </c>
    </row>
    <row r="11" spans="1:13" x14ac:dyDescent="0.3">
      <c r="B11" s="153"/>
      <c r="C11" s="153"/>
      <c r="D11" s="153"/>
      <c r="G11" s="153"/>
      <c r="H11" s="153"/>
      <c r="I11" s="153"/>
      <c r="J11" s="6"/>
      <c r="K11" s="153"/>
    </row>
    <row r="12" spans="1:13" ht="52" x14ac:dyDescent="0.3">
      <c r="C12" s="34" t="s">
        <v>6</v>
      </c>
      <c r="D12" s="34" t="s">
        <v>53</v>
      </c>
      <c r="E12" s="34" t="s">
        <v>54</v>
      </c>
      <c r="F12" s="34" t="s">
        <v>55</v>
      </c>
      <c r="G12" s="34" t="s">
        <v>56</v>
      </c>
      <c r="H12" s="34" t="s">
        <v>225</v>
      </c>
      <c r="I12" s="35" t="s">
        <v>226</v>
      </c>
      <c r="J12" s="20" t="s">
        <v>57</v>
      </c>
      <c r="K12" s="34" t="s">
        <v>58</v>
      </c>
      <c r="L12" s="34" t="s">
        <v>59</v>
      </c>
      <c r="M12" s="34" t="s">
        <v>60</v>
      </c>
    </row>
    <row r="13" spans="1:13" x14ac:dyDescent="0.3">
      <c r="B13" s="127">
        <v>1</v>
      </c>
      <c r="C13" s="2" t="s">
        <v>8</v>
      </c>
      <c r="D13" s="128">
        <f>SUMIFS(Data!$D$8:$D$301,Data!$B$8:$B$301,$C13,Data!$C$8:$C$301,"&gt;2020")</f>
        <v>25.02268858621186</v>
      </c>
      <c r="E13" s="140">
        <v>0</v>
      </c>
      <c r="F13" s="140">
        <v>0</v>
      </c>
      <c r="G13" s="141">
        <f>F13-E13</f>
        <v>0</v>
      </c>
      <c r="H13" s="128">
        <f>G13+D13</f>
        <v>25.02268858621186</v>
      </c>
      <c r="I13" s="128">
        <f>VLOOKUP(C13,'Modelled costs'!$J$8:$N$24,5,FALSE)</f>
        <v>9.9697154000000001</v>
      </c>
      <c r="J13" s="129">
        <f>I13</f>
        <v>9.9697154000000001</v>
      </c>
      <c r="K13" s="128">
        <v>0</v>
      </c>
      <c r="L13" s="128">
        <f>$J13*$K13</f>
        <v>0</v>
      </c>
      <c r="M13" s="128">
        <f>$J13*(1-$K13)</f>
        <v>9.9697154000000001</v>
      </c>
    </row>
    <row r="14" spans="1:13" x14ac:dyDescent="0.3">
      <c r="B14" s="127">
        <v>2</v>
      </c>
      <c r="C14" s="2" t="s">
        <v>28</v>
      </c>
      <c r="D14" s="128">
        <f>SUMIFS(Data!$D$8:$D$301,Data!$B$8:$B$301,$C14,Data!$C$8:$C$301,"&gt;2020")</f>
        <v>2.9299999999999997</v>
      </c>
      <c r="E14" s="140">
        <v>0</v>
      </c>
      <c r="F14" s="140">
        <v>0</v>
      </c>
      <c r="G14" s="141">
        <f t="shared" ref="G14:G29" si="0">F14-E14</f>
        <v>0</v>
      </c>
      <c r="H14" s="128">
        <f t="shared" ref="H14:H29" si="1">G14+D14</f>
        <v>2.9299999999999997</v>
      </c>
      <c r="I14" s="128">
        <f>VLOOKUP(C14,'Modelled costs'!$J$8:$N$24,5,FALSE)</f>
        <v>1.1059190394305904</v>
      </c>
      <c r="J14" s="129">
        <f t="shared" ref="J14:J29" si="2">MIN(H14,I14)</f>
        <v>1.1059190394305904</v>
      </c>
      <c r="K14" s="128">
        <v>0</v>
      </c>
      <c r="L14" s="128">
        <f t="shared" ref="L14:L29" si="3">$J14*$K14</f>
        <v>0</v>
      </c>
      <c r="M14" s="128">
        <f t="shared" ref="M14:M29" si="4">$J14*(1-$K14)</f>
        <v>1.1059190394305904</v>
      </c>
    </row>
    <row r="15" spans="1:13" x14ac:dyDescent="0.3">
      <c r="B15" s="127">
        <v>3</v>
      </c>
      <c r="C15" s="2" t="s">
        <v>9</v>
      </c>
      <c r="D15" s="128">
        <f>SUMIFS(Data!$D$8:$D$301,Data!$B$8:$B$301,$C15,Data!$C$8:$C$301,"&gt;2020")</f>
        <v>4.0030000000000001</v>
      </c>
      <c r="E15" s="140">
        <v>0</v>
      </c>
      <c r="F15" s="140">
        <v>0</v>
      </c>
      <c r="G15" s="141">
        <f t="shared" si="0"/>
        <v>0</v>
      </c>
      <c r="H15" s="128">
        <f t="shared" si="1"/>
        <v>4.0030000000000001</v>
      </c>
      <c r="I15" s="128">
        <f>VLOOKUP(C15,'Modelled costs'!$J$8:$N$24,5,FALSE)</f>
        <v>11.695388900000001</v>
      </c>
      <c r="J15" s="129">
        <f t="shared" si="2"/>
        <v>4.0030000000000001</v>
      </c>
      <c r="K15" s="128">
        <v>0</v>
      </c>
      <c r="L15" s="128">
        <f t="shared" si="3"/>
        <v>0</v>
      </c>
      <c r="M15" s="128">
        <f t="shared" si="4"/>
        <v>4.0030000000000001</v>
      </c>
    </row>
    <row r="16" spans="1:13" x14ac:dyDescent="0.3">
      <c r="B16" s="127">
        <v>4</v>
      </c>
      <c r="C16" s="2" t="s">
        <v>10</v>
      </c>
      <c r="D16" s="128">
        <f>SUMIFS(Data!$D$8:$D$301,Data!$B$8:$B$301,$C16,Data!$C$8:$C$301,"&gt;2020")</f>
        <v>0</v>
      </c>
      <c r="E16" s="140">
        <v>0</v>
      </c>
      <c r="F16" s="140">
        <v>0</v>
      </c>
      <c r="G16" s="141">
        <f t="shared" si="0"/>
        <v>0</v>
      </c>
      <c r="H16" s="128">
        <f t="shared" si="1"/>
        <v>0</v>
      </c>
      <c r="I16" s="128">
        <f>VLOOKUP(C16,'Modelled costs'!$J$8:$N$24,5,FALSE)</f>
        <v>17.798147350000001</v>
      </c>
      <c r="J16" s="129">
        <f t="shared" si="2"/>
        <v>0</v>
      </c>
      <c r="K16" s="128">
        <v>0</v>
      </c>
      <c r="L16" s="128">
        <f t="shared" si="3"/>
        <v>0</v>
      </c>
      <c r="M16" s="128">
        <f t="shared" si="4"/>
        <v>0</v>
      </c>
    </row>
    <row r="17" spans="2:13" x14ac:dyDescent="0.3">
      <c r="B17" s="127">
        <v>5</v>
      </c>
      <c r="C17" s="2" t="s">
        <v>11</v>
      </c>
      <c r="D17" s="128">
        <f>SUMIFS(Data!$D$8:$D$301,Data!$B$8:$B$301,$C17,Data!$C$8:$C$301,"&gt;2020")</f>
        <v>19.847999999999999</v>
      </c>
      <c r="E17" s="140">
        <v>0</v>
      </c>
      <c r="F17" s="140">
        <v>0</v>
      </c>
      <c r="G17" s="141">
        <f t="shared" si="0"/>
        <v>0</v>
      </c>
      <c r="H17" s="128">
        <f t="shared" si="1"/>
        <v>19.847999999999999</v>
      </c>
      <c r="I17" s="128">
        <f>VLOOKUP(C17,'Modelled costs'!$J$8:$N$24,5,FALSE)</f>
        <v>13.499367729999999</v>
      </c>
      <c r="J17" s="129">
        <f t="shared" si="2"/>
        <v>13.499367729999999</v>
      </c>
      <c r="K17" s="128">
        <v>0</v>
      </c>
      <c r="L17" s="128">
        <f t="shared" si="3"/>
        <v>0</v>
      </c>
      <c r="M17" s="128">
        <f t="shared" si="4"/>
        <v>13.499367729999999</v>
      </c>
    </row>
    <row r="18" spans="2:13" x14ac:dyDescent="0.3">
      <c r="B18" s="127">
        <v>6</v>
      </c>
      <c r="C18" s="2" t="s">
        <v>27</v>
      </c>
      <c r="D18" s="128">
        <f>SUMIFS(Data!$D$8:$D$301,Data!$B$8:$B$301,$C18,Data!$C$8:$C$301,"&gt;2020")</f>
        <v>16.379000000000001</v>
      </c>
      <c r="E18" s="140">
        <v>0</v>
      </c>
      <c r="F18" s="140">
        <v>0</v>
      </c>
      <c r="G18" s="141">
        <f t="shared" si="0"/>
        <v>0</v>
      </c>
      <c r="H18" s="128">
        <f t="shared" si="1"/>
        <v>16.379000000000001</v>
      </c>
      <c r="I18" s="128">
        <f>VLOOKUP(C18,'Modelled costs'!$J$8:$N$24,5,FALSE)</f>
        <v>11.097579103280406</v>
      </c>
      <c r="J18" s="129">
        <f t="shared" si="2"/>
        <v>11.097579103280406</v>
      </c>
      <c r="K18" s="128">
        <v>0</v>
      </c>
      <c r="L18" s="128">
        <f t="shared" si="3"/>
        <v>0</v>
      </c>
      <c r="M18" s="128">
        <f t="shared" si="4"/>
        <v>11.097579103280406</v>
      </c>
    </row>
    <row r="19" spans="2:13" x14ac:dyDescent="0.3">
      <c r="B19" s="127">
        <v>7</v>
      </c>
      <c r="C19" s="2" t="s">
        <v>14</v>
      </c>
      <c r="D19" s="128">
        <f>SUMIFS(Data!$D$8:$D$301,Data!$B$8:$B$301,$C19,Data!$C$8:$C$301,"&gt;2020")</f>
        <v>4</v>
      </c>
      <c r="E19" s="140">
        <v>0</v>
      </c>
      <c r="F19" s="140">
        <v>0</v>
      </c>
      <c r="G19" s="141">
        <f t="shared" si="0"/>
        <v>0</v>
      </c>
      <c r="H19" s="128">
        <f t="shared" si="1"/>
        <v>4</v>
      </c>
      <c r="I19" s="128">
        <f>VLOOKUP(C19,'Modelled costs'!$J$8:$N$24,5,FALSE)</f>
        <v>2.7846778999999997</v>
      </c>
      <c r="J19" s="129">
        <f t="shared" si="2"/>
        <v>2.7846778999999997</v>
      </c>
      <c r="K19" s="128">
        <v>0</v>
      </c>
      <c r="L19" s="128">
        <f t="shared" si="3"/>
        <v>0</v>
      </c>
      <c r="M19" s="128">
        <f t="shared" si="4"/>
        <v>2.7846778999999997</v>
      </c>
    </row>
    <row r="20" spans="2:13" x14ac:dyDescent="0.3">
      <c r="B20" s="127">
        <v>8</v>
      </c>
      <c r="C20" s="2" t="s">
        <v>15</v>
      </c>
      <c r="D20" s="128">
        <f>SUMIFS(Data!$D$8:$D$301,Data!$B$8:$B$301,$C20,Data!$C$8:$C$301,"&gt;2020")</f>
        <v>76.420038670099999</v>
      </c>
      <c r="E20" s="140">
        <v>0</v>
      </c>
      <c r="F20" s="140">
        <v>0</v>
      </c>
      <c r="G20" s="141">
        <f t="shared" si="0"/>
        <v>0</v>
      </c>
      <c r="H20" s="128">
        <f t="shared" si="1"/>
        <v>76.420038670099999</v>
      </c>
      <c r="I20" s="128">
        <f>VLOOKUP(C20,'Modelled costs'!$J$8:$N$24,5,FALSE)</f>
        <v>37.685891600000005</v>
      </c>
      <c r="J20" s="129">
        <f t="shared" si="2"/>
        <v>37.685891600000005</v>
      </c>
      <c r="K20" s="128">
        <v>0</v>
      </c>
      <c r="L20" s="128">
        <f t="shared" si="3"/>
        <v>0</v>
      </c>
      <c r="M20" s="128">
        <f t="shared" si="4"/>
        <v>37.685891600000005</v>
      </c>
    </row>
    <row r="21" spans="2:13" x14ac:dyDescent="0.3">
      <c r="B21" s="127">
        <v>9</v>
      </c>
      <c r="C21" s="2" t="s">
        <v>16</v>
      </c>
      <c r="D21" s="128">
        <f>SUMIFS(Data!$D$8:$D$301,Data!$B$8:$B$301,$C21,Data!$C$8:$C$301,"&gt;2020")</f>
        <v>15.047000000000001</v>
      </c>
      <c r="E21" s="140">
        <v>0</v>
      </c>
      <c r="F21" s="140">
        <v>0</v>
      </c>
      <c r="G21" s="141">
        <f t="shared" si="0"/>
        <v>0</v>
      </c>
      <c r="H21" s="128">
        <f t="shared" si="1"/>
        <v>15.047000000000001</v>
      </c>
      <c r="I21" s="128">
        <f>VLOOKUP(C21,'Modelled costs'!$J$8:$N$24,5,FALSE)</f>
        <v>10.308</v>
      </c>
      <c r="J21" s="129">
        <f t="shared" si="2"/>
        <v>10.308</v>
      </c>
      <c r="K21" s="128">
        <v>0</v>
      </c>
      <c r="L21" s="128">
        <f t="shared" si="3"/>
        <v>0</v>
      </c>
      <c r="M21" s="128">
        <f t="shared" si="4"/>
        <v>10.308</v>
      </c>
    </row>
    <row r="22" spans="2:13" x14ac:dyDescent="0.3">
      <c r="B22" s="127">
        <v>10</v>
      </c>
      <c r="C22" s="2" t="s">
        <v>17</v>
      </c>
      <c r="D22" s="128">
        <f>SUMIFS(Data!$D$8:$D$301,Data!$B$8:$B$301,$C22,Data!$C$8:$C$301,"&gt;2020")</f>
        <v>5.5797403846153806</v>
      </c>
      <c r="E22" s="140">
        <v>0</v>
      </c>
      <c r="F22" s="140">
        <v>0</v>
      </c>
      <c r="G22" s="141">
        <f t="shared" si="0"/>
        <v>0</v>
      </c>
      <c r="H22" s="128">
        <f t="shared" si="1"/>
        <v>5.5797403846153806</v>
      </c>
      <c r="I22" s="128">
        <f>VLOOKUP(C22,'Modelled costs'!$J$8:$N$24,5,FALSE)</f>
        <v>4.8380570499999997</v>
      </c>
      <c r="J22" s="129">
        <f t="shared" si="2"/>
        <v>4.8380570499999997</v>
      </c>
      <c r="K22" s="128">
        <v>0</v>
      </c>
      <c r="L22" s="128">
        <f t="shared" si="3"/>
        <v>0</v>
      </c>
      <c r="M22" s="128">
        <f t="shared" si="4"/>
        <v>4.8380570499999997</v>
      </c>
    </row>
    <row r="23" spans="2:13" x14ac:dyDescent="0.3">
      <c r="B23" s="127">
        <v>11</v>
      </c>
      <c r="C23" s="2" t="s">
        <v>18</v>
      </c>
      <c r="D23" s="128">
        <f>SUMIFS(Data!$D$8:$D$301,Data!$B$8:$B$301,$C23,Data!$C$8:$C$301,"&gt;2020")</f>
        <v>12.343</v>
      </c>
      <c r="E23" s="140">
        <v>0</v>
      </c>
      <c r="F23" s="140">
        <v>0</v>
      </c>
      <c r="G23" s="141">
        <f t="shared" si="0"/>
        <v>0</v>
      </c>
      <c r="H23" s="128">
        <f t="shared" si="1"/>
        <v>12.343</v>
      </c>
      <c r="I23" s="128">
        <f>VLOOKUP(C23,'Modelled costs'!$J$8:$N$24,5,FALSE)</f>
        <v>21.481644370000001</v>
      </c>
      <c r="J23" s="129">
        <f t="shared" si="2"/>
        <v>12.343</v>
      </c>
      <c r="K23" s="128">
        <v>0</v>
      </c>
      <c r="L23" s="128">
        <f t="shared" si="3"/>
        <v>0</v>
      </c>
      <c r="M23" s="128">
        <f t="shared" si="4"/>
        <v>12.343</v>
      </c>
    </row>
    <row r="24" spans="2:13" x14ac:dyDescent="0.3">
      <c r="B24" s="127">
        <v>12</v>
      </c>
      <c r="C24" s="2" t="s">
        <v>19</v>
      </c>
      <c r="D24" s="128">
        <f>SUMIFS(Data!$D$8:$D$301,Data!$B$8:$B$301,$C24,Data!$C$8:$C$301,"&gt;2020")</f>
        <v>9.1997560000000007</v>
      </c>
      <c r="E24" s="140">
        <v>0</v>
      </c>
      <c r="F24" s="140">
        <v>0</v>
      </c>
      <c r="G24" s="141">
        <f t="shared" si="0"/>
        <v>0</v>
      </c>
      <c r="H24" s="128">
        <f t="shared" si="1"/>
        <v>9.1997560000000007</v>
      </c>
      <c r="I24" s="128">
        <f>VLOOKUP(C24,'Modelled costs'!$J$8:$N$24,5,FALSE)</f>
        <v>8.4151148599999992</v>
      </c>
      <c r="J24" s="129">
        <f t="shared" si="2"/>
        <v>8.4151148599999992</v>
      </c>
      <c r="K24" s="128">
        <v>0</v>
      </c>
      <c r="L24" s="128">
        <f t="shared" si="3"/>
        <v>0</v>
      </c>
      <c r="M24" s="128">
        <f t="shared" si="4"/>
        <v>8.4151148599999992</v>
      </c>
    </row>
    <row r="25" spans="2:13" x14ac:dyDescent="0.3">
      <c r="B25" s="127">
        <v>13</v>
      </c>
      <c r="C25" s="2" t="s">
        <v>20</v>
      </c>
      <c r="D25" s="128">
        <f>SUMIFS(Data!$D$8:$D$301,Data!$B$8:$B$301,$C25,Data!$C$8:$C$301,"&gt;2020")</f>
        <v>0.32500000000000001</v>
      </c>
      <c r="E25" s="140">
        <v>0</v>
      </c>
      <c r="F25" s="140">
        <v>0</v>
      </c>
      <c r="G25" s="141">
        <f t="shared" si="0"/>
        <v>0</v>
      </c>
      <c r="H25" s="128">
        <f t="shared" si="1"/>
        <v>0.32500000000000001</v>
      </c>
      <c r="I25" s="128">
        <f>VLOOKUP(C25,'Modelled costs'!$J$8:$N$24,5,FALSE)</f>
        <v>2.9278663199999997</v>
      </c>
      <c r="J25" s="129">
        <f t="shared" si="2"/>
        <v>0.32500000000000001</v>
      </c>
      <c r="K25" s="128">
        <v>0</v>
      </c>
      <c r="L25" s="128">
        <f t="shared" si="3"/>
        <v>0</v>
      </c>
      <c r="M25" s="128">
        <f t="shared" si="4"/>
        <v>0.32500000000000001</v>
      </c>
    </row>
    <row r="26" spans="2:13" x14ac:dyDescent="0.3">
      <c r="B26" s="127">
        <v>14</v>
      </c>
      <c r="C26" s="2" t="s">
        <v>23</v>
      </c>
      <c r="D26" s="128">
        <f>SUMIFS(Data!$D$8:$D$301,Data!$B$8:$B$301,$C26,Data!$C$8:$C$301,"&gt;2020")</f>
        <v>0.25</v>
      </c>
      <c r="E26" s="140">
        <v>0</v>
      </c>
      <c r="F26" s="140">
        <v>0</v>
      </c>
      <c r="G26" s="141">
        <f t="shared" si="0"/>
        <v>0</v>
      </c>
      <c r="H26" s="128">
        <f t="shared" si="1"/>
        <v>0.25</v>
      </c>
      <c r="I26" s="128">
        <f>VLOOKUP(C26,'Modelled costs'!$J$8:$N$24,5,FALSE)</f>
        <v>1.7784250999999998</v>
      </c>
      <c r="J26" s="129">
        <f t="shared" si="2"/>
        <v>0.25</v>
      </c>
      <c r="K26" s="128">
        <v>0</v>
      </c>
      <c r="L26" s="128">
        <f t="shared" si="3"/>
        <v>0</v>
      </c>
      <c r="M26" s="128">
        <f t="shared" si="4"/>
        <v>0.25</v>
      </c>
    </row>
    <row r="27" spans="2:13" x14ac:dyDescent="0.3">
      <c r="B27" s="127">
        <v>15</v>
      </c>
      <c r="C27" s="2" t="s">
        <v>24</v>
      </c>
      <c r="D27" s="128">
        <f>SUMIFS(Data!$D$8:$D$301,Data!$B$8:$B$301,$C27,Data!$C$8:$C$301,"&gt;2020")</f>
        <v>1.7199999999999998</v>
      </c>
      <c r="E27" s="140">
        <v>0</v>
      </c>
      <c r="F27" s="140">
        <v>0</v>
      </c>
      <c r="G27" s="141">
        <f t="shared" si="0"/>
        <v>0</v>
      </c>
      <c r="H27" s="128">
        <f t="shared" si="1"/>
        <v>1.7199999999999998</v>
      </c>
      <c r="I27" s="128">
        <f>VLOOKUP(C27,'Modelled costs'!$J$8:$N$24,5,FALSE)</f>
        <v>2.6259368800000003</v>
      </c>
      <c r="J27" s="129">
        <f t="shared" si="2"/>
        <v>1.7199999999999998</v>
      </c>
      <c r="K27" s="128">
        <v>0</v>
      </c>
      <c r="L27" s="128">
        <f t="shared" si="3"/>
        <v>0</v>
      </c>
      <c r="M27" s="128">
        <f t="shared" si="4"/>
        <v>1.7199999999999998</v>
      </c>
    </row>
    <row r="28" spans="2:13" x14ac:dyDescent="0.3">
      <c r="B28" s="127">
        <v>16</v>
      </c>
      <c r="C28" s="2" t="s">
        <v>25</v>
      </c>
      <c r="D28" s="128">
        <f>SUMIFS(Data!$D$8:$D$301,Data!$B$8:$B$301,$C28,Data!$C$8:$C$301,"&gt;2020")</f>
        <v>0</v>
      </c>
      <c r="E28" s="140">
        <v>0</v>
      </c>
      <c r="F28" s="140">
        <v>0</v>
      </c>
      <c r="G28" s="141">
        <f t="shared" si="0"/>
        <v>0</v>
      </c>
      <c r="H28" s="128">
        <f t="shared" si="1"/>
        <v>0</v>
      </c>
      <c r="I28" s="128">
        <f>VLOOKUP(C28,'Modelled costs'!$J$8:$N$24,5,FALSE)</f>
        <v>1.1550131365229717</v>
      </c>
      <c r="J28" s="129">
        <f t="shared" si="2"/>
        <v>0</v>
      </c>
      <c r="K28" s="128">
        <v>0</v>
      </c>
      <c r="L28" s="128">
        <f t="shared" si="3"/>
        <v>0</v>
      </c>
      <c r="M28" s="128">
        <f t="shared" si="4"/>
        <v>0</v>
      </c>
    </row>
    <row r="29" spans="2:13" x14ac:dyDescent="0.3">
      <c r="B29" s="127">
        <v>17</v>
      </c>
      <c r="C29" s="2" t="s">
        <v>26</v>
      </c>
      <c r="D29" s="128">
        <f>SUMIFS(Data!$D$8:$D$301,Data!$B$8:$B$301,$C29,Data!$C$8:$C$301,"&gt;2020")</f>
        <v>3.5008017769795963</v>
      </c>
      <c r="E29" s="140">
        <v>0</v>
      </c>
      <c r="F29" s="140">
        <v>0</v>
      </c>
      <c r="G29" s="141">
        <f t="shared" si="0"/>
        <v>0</v>
      </c>
      <c r="H29" s="128">
        <f t="shared" si="1"/>
        <v>3.5008017769795963</v>
      </c>
      <c r="I29" s="128">
        <f>VLOOKUP(C29,'Modelled costs'!$J$8:$N$24,5,FALSE)</f>
        <v>3.4018464999999996</v>
      </c>
      <c r="J29" s="129">
        <f t="shared" si="2"/>
        <v>3.4018464999999996</v>
      </c>
      <c r="K29" s="128">
        <v>0</v>
      </c>
      <c r="L29" s="128">
        <f t="shared" si="3"/>
        <v>0</v>
      </c>
      <c r="M29" s="128">
        <f t="shared" si="4"/>
        <v>3.4018464999999996</v>
      </c>
    </row>
    <row r="30" spans="2:13" x14ac:dyDescent="0.3">
      <c r="C30" s="130" t="s">
        <v>39</v>
      </c>
      <c r="D30" s="131">
        <f t="shared" ref="D30:I30" si="5">SUM(D13:D29)</f>
        <v>196.56802541790682</v>
      </c>
      <c r="E30" s="131">
        <f>SUM(E13:E29)</f>
        <v>0</v>
      </c>
      <c r="F30" s="131">
        <f t="shared" si="5"/>
        <v>0</v>
      </c>
      <c r="G30" s="131">
        <f t="shared" si="5"/>
        <v>0</v>
      </c>
      <c r="H30" s="131">
        <f>SUM(H13:H29)</f>
        <v>196.56802541790682</v>
      </c>
      <c r="I30" s="131">
        <f t="shared" si="5"/>
        <v>162.56859123923397</v>
      </c>
      <c r="J30" s="132">
        <f>SUM(J13:J29)</f>
        <v>121.747169182711</v>
      </c>
      <c r="K30" s="131"/>
      <c r="L30" s="131">
        <f>SUM(L13:L29)</f>
        <v>0</v>
      </c>
      <c r="M30" s="131">
        <f>SUM(M13:M29)</f>
        <v>121.747169182711</v>
      </c>
    </row>
    <row r="34" spans="4:13" x14ac:dyDescent="0.3">
      <c r="D34" s="157"/>
      <c r="E34" s="157"/>
      <c r="F34" s="157"/>
      <c r="G34" s="157"/>
      <c r="H34" s="157"/>
      <c r="I34" s="157"/>
      <c r="J34" s="157"/>
      <c r="K34" s="157"/>
      <c r="L34" s="157"/>
      <c r="M34" s="157"/>
    </row>
  </sheetData>
  <conditionalFormatting sqref="G13:G29">
    <cfRule type="cellIs" dxfId="1" priority="1" operator="lessThan">
      <formula>0</formula>
    </cfRule>
    <cfRule type="cellIs" dxfId="0" priority="2" operator="greaterThan">
      <formula>0</formula>
    </cfRule>
  </conditionalFormatting>
  <dataValidations count="1">
    <dataValidation type="list" allowBlank="1" showInputMessage="1" showErrorMessage="1" sqref="D7:I7">
      <formula1>"Wholesale water, Wholesale wastewater"</formula1>
    </dataValidation>
  </dataValidations>
  <pageMargins left="0.7" right="0.7" top="0.75" bottom="0.75" header="0.3" footer="0.3"/>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24"/>
  <sheetViews>
    <sheetView showGridLines="0" workbookViewId="0"/>
  </sheetViews>
  <sheetFormatPr defaultColWidth="9" defaultRowHeight="13" x14ac:dyDescent="0.3"/>
  <cols>
    <col min="1" max="1" width="2.6640625" style="1" customWidth="1"/>
    <col min="2" max="2" width="13.1640625" style="1" customWidth="1"/>
    <col min="3" max="16384" width="9" style="1"/>
  </cols>
  <sheetData>
    <row r="1" spans="1:3" ht="18.5" x14ac:dyDescent="0.45">
      <c r="A1" s="142" t="s">
        <v>61</v>
      </c>
    </row>
    <row r="2" spans="1:3" x14ac:dyDescent="0.3">
      <c r="A2" s="18" t="s">
        <v>62</v>
      </c>
    </row>
    <row r="6" spans="1:3" x14ac:dyDescent="0.3">
      <c r="B6" s="7" t="s">
        <v>38</v>
      </c>
    </row>
    <row r="8" spans="1:3" x14ac:dyDescent="0.3">
      <c r="B8" s="11" t="s">
        <v>32</v>
      </c>
      <c r="C8" s="11" t="s">
        <v>33</v>
      </c>
    </row>
    <row r="9" spans="1:3" x14ac:dyDescent="0.3">
      <c r="B9" s="4">
        <v>0.5</v>
      </c>
      <c r="C9" s="4">
        <v>0.5</v>
      </c>
    </row>
    <row r="12" spans="1:3" x14ac:dyDescent="0.3">
      <c r="B12" s="5" t="s">
        <v>31</v>
      </c>
    </row>
    <row r="14" spans="1:3" x14ac:dyDescent="0.3">
      <c r="B14" s="17">
        <v>1</v>
      </c>
    </row>
    <row r="17" spans="2:3" x14ac:dyDescent="0.3">
      <c r="B17" s="7" t="s">
        <v>64</v>
      </c>
    </row>
    <row r="19" spans="2:3" x14ac:dyDescent="0.3">
      <c r="B19" s="11" t="s">
        <v>32</v>
      </c>
      <c r="C19" s="11" t="s">
        <v>33</v>
      </c>
    </row>
    <row r="20" spans="2:3" x14ac:dyDescent="0.3">
      <c r="B20" s="4">
        <v>0.5</v>
      </c>
      <c r="C20" s="4">
        <v>0.5</v>
      </c>
    </row>
    <row r="22" spans="2:3" x14ac:dyDescent="0.3">
      <c r="B22" s="5" t="s">
        <v>65</v>
      </c>
    </row>
    <row r="24" spans="2:3" x14ac:dyDescent="0.3">
      <c r="B24" s="2" t="s">
        <v>66</v>
      </c>
      <c r="C24" s="2" t="s">
        <v>44</v>
      </c>
    </row>
  </sheetData>
  <dataValidations count="1">
    <dataValidation type="list" allowBlank="1" showInputMessage="1" showErrorMessage="1" sqref="C24">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01"/>
  <sheetViews>
    <sheetView showGridLines="0" workbookViewId="0"/>
  </sheetViews>
  <sheetFormatPr defaultColWidth="9" defaultRowHeight="13" x14ac:dyDescent="0.3"/>
  <cols>
    <col min="1" max="3" width="9" style="1"/>
    <col min="4" max="4" width="16" style="6" customWidth="1"/>
    <col min="5" max="5" width="13" style="6" customWidth="1"/>
    <col min="6" max="6" width="14.83203125" style="6" customWidth="1"/>
    <col min="7" max="7" width="13.1640625" style="6" customWidth="1"/>
    <col min="8" max="8" width="14" style="6" customWidth="1"/>
    <col min="9" max="10" width="12.83203125" style="1" customWidth="1"/>
    <col min="11" max="11" width="13.1640625" style="1" customWidth="1"/>
    <col min="12" max="16384" width="9" style="1"/>
  </cols>
  <sheetData>
    <row r="1" spans="1:11" ht="18.5" x14ac:dyDescent="0.3">
      <c r="A1" s="143" t="s">
        <v>30</v>
      </c>
      <c r="B1" s="21"/>
      <c r="C1" s="21"/>
      <c r="D1" s="40"/>
    </row>
    <row r="2" spans="1:11" ht="15.5" x14ac:dyDescent="0.3">
      <c r="A2" s="144" t="s">
        <v>227</v>
      </c>
    </row>
    <row r="3" spans="1:11" x14ac:dyDescent="0.3">
      <c r="A3" s="21"/>
      <c r="D3" s="1"/>
      <c r="E3" s="1"/>
      <c r="F3" s="1"/>
      <c r="G3" s="1"/>
      <c r="H3" s="1"/>
    </row>
    <row r="4" spans="1:11" x14ac:dyDescent="0.3">
      <c r="A4" s="21"/>
      <c r="D4" s="1"/>
      <c r="E4" s="1"/>
      <c r="F4" s="1"/>
      <c r="G4" s="1"/>
      <c r="H4" s="1"/>
    </row>
    <row r="5" spans="1:11" x14ac:dyDescent="0.3">
      <c r="A5" s="21"/>
      <c r="D5" s="6" t="s">
        <v>67</v>
      </c>
      <c r="E5" s="7"/>
      <c r="F5" s="7"/>
      <c r="G5" s="7"/>
      <c r="H5" s="6" t="s">
        <v>68</v>
      </c>
      <c r="I5" s="1" t="s">
        <v>70</v>
      </c>
    </row>
    <row r="6" spans="1:11" s="21" customFormat="1" ht="27.75" customHeight="1" x14ac:dyDescent="0.3">
      <c r="A6" s="145"/>
      <c r="B6" s="145"/>
      <c r="C6" s="145"/>
      <c r="D6" s="222" t="s">
        <v>131</v>
      </c>
      <c r="E6" s="222" t="s">
        <v>132</v>
      </c>
      <c r="F6" s="222" t="s">
        <v>133</v>
      </c>
      <c r="G6" s="222" t="s">
        <v>134</v>
      </c>
      <c r="H6" s="222" t="s">
        <v>81</v>
      </c>
      <c r="I6" s="222" t="s">
        <v>135</v>
      </c>
      <c r="J6" s="222" t="s">
        <v>136</v>
      </c>
      <c r="K6" s="222" t="s">
        <v>137</v>
      </c>
    </row>
    <row r="7" spans="1:11" s="21" customFormat="1" ht="52.5" customHeight="1" x14ac:dyDescent="0.3">
      <c r="A7" s="145" t="s">
        <v>29</v>
      </c>
      <c r="B7" s="145" t="s">
        <v>6</v>
      </c>
      <c r="C7" s="145" t="s">
        <v>7</v>
      </c>
      <c r="D7" s="145" t="s">
        <v>74</v>
      </c>
      <c r="E7" s="145" t="s">
        <v>0</v>
      </c>
      <c r="F7" s="145" t="s">
        <v>75</v>
      </c>
      <c r="G7" s="145" t="s">
        <v>76</v>
      </c>
      <c r="H7" s="145" t="s">
        <v>69</v>
      </c>
      <c r="I7" s="145" t="s">
        <v>71</v>
      </c>
      <c r="J7" s="145" t="s">
        <v>72</v>
      </c>
      <c r="K7" s="145" t="s">
        <v>73</v>
      </c>
    </row>
    <row r="8" spans="1:11" x14ac:dyDescent="0.3">
      <c r="A8" s="221" t="str">
        <f t="shared" ref="A8:A39" si="0">(B8&amp;RIGHT(C8,2))</f>
        <v>ANH12</v>
      </c>
      <c r="B8" s="146" t="s">
        <v>8</v>
      </c>
      <c r="C8" s="221">
        <v>2012</v>
      </c>
      <c r="D8" s="223">
        <v>1.6614335617152951</v>
      </c>
      <c r="E8" s="223"/>
      <c r="F8" s="223">
        <f t="shared" ref="F8:F39" si="1">D8+E8</f>
        <v>1.6614335617152951</v>
      </c>
      <c r="G8" s="224"/>
      <c r="H8" s="225">
        <v>535574</v>
      </c>
      <c r="I8" s="225">
        <v>1325</v>
      </c>
      <c r="J8" s="225"/>
      <c r="K8" s="225"/>
    </row>
    <row r="9" spans="1:11" x14ac:dyDescent="0.3">
      <c r="A9" s="221" t="str">
        <f t="shared" si="0"/>
        <v>ANH13</v>
      </c>
      <c r="B9" s="146" t="s">
        <v>8</v>
      </c>
      <c r="C9" s="221">
        <v>2013</v>
      </c>
      <c r="D9" s="223">
        <v>2.9913400119675586</v>
      </c>
      <c r="E9" s="223"/>
      <c r="F9" s="223">
        <f t="shared" si="1"/>
        <v>2.9913400119675586</v>
      </c>
      <c r="G9" s="224"/>
      <c r="H9" s="225">
        <v>531072</v>
      </c>
      <c r="I9" s="225">
        <v>4291</v>
      </c>
      <c r="J9" s="225"/>
      <c r="K9" s="225"/>
    </row>
    <row r="10" spans="1:11" x14ac:dyDescent="0.3">
      <c r="A10" s="221" t="str">
        <f t="shared" si="0"/>
        <v>ANH14</v>
      </c>
      <c r="B10" s="146" t="s">
        <v>8</v>
      </c>
      <c r="C10" s="221">
        <v>2014</v>
      </c>
      <c r="D10" s="223">
        <v>2.0702200956556789</v>
      </c>
      <c r="E10" s="223"/>
      <c r="F10" s="223">
        <f t="shared" si="1"/>
        <v>2.0702200956556789</v>
      </c>
      <c r="G10" s="224">
        <f>IF(OR(F8="",F9="",F10=""),"",AVERAGE(F8:F10))</f>
        <v>2.2409978897795111</v>
      </c>
      <c r="H10" s="225">
        <v>528026</v>
      </c>
      <c r="I10" s="225">
        <v>2701</v>
      </c>
      <c r="J10" s="225">
        <f>IFERROR(IF(OR(H8="",H9="",H10=""),"",AVERAGE(H8:H10)),"")</f>
        <v>531557.33333333337</v>
      </c>
      <c r="K10" s="225">
        <f>IFERROR(IF(OR(I8="",I9="",I10=""),"",AVERAGE(I8:I10)),"")</f>
        <v>2772.3333333333335</v>
      </c>
    </row>
    <row r="11" spans="1:11" x14ac:dyDescent="0.3">
      <c r="A11" s="221" t="str">
        <f t="shared" si="0"/>
        <v>ANH15</v>
      </c>
      <c r="B11" s="146" t="s">
        <v>8</v>
      </c>
      <c r="C11" s="221">
        <v>2015</v>
      </c>
      <c r="D11" s="223">
        <v>2.963770415303836</v>
      </c>
      <c r="E11" s="223"/>
      <c r="F11" s="223">
        <f t="shared" si="1"/>
        <v>2.963770415303836</v>
      </c>
      <c r="G11" s="224">
        <f t="shared" ref="G11:G21" si="2">IF(OR(F9="",F10="",F11=""),"",AVERAGE(F9:F11))</f>
        <v>2.6751101743090246</v>
      </c>
      <c r="H11" s="225">
        <v>523920</v>
      </c>
      <c r="I11" s="225">
        <v>3852</v>
      </c>
      <c r="J11" s="225">
        <f t="shared" ref="J11:J21" si="3">IFERROR(IF(OR(H9="",H10="",H11=""),"",AVERAGE(H9:H11)),"")</f>
        <v>527672.66666666663</v>
      </c>
      <c r="K11" s="225">
        <f t="shared" ref="K11:K21" si="4">IFERROR(IF(OR(I9="",I10="",I11=""),"",AVERAGE(I9:I11)),"")</f>
        <v>3614.6666666666665</v>
      </c>
    </row>
    <row r="12" spans="1:11" x14ac:dyDescent="0.3">
      <c r="A12" s="221" t="str">
        <f t="shared" si="0"/>
        <v>ANH16</v>
      </c>
      <c r="B12" s="146" t="s">
        <v>8</v>
      </c>
      <c r="C12" s="221">
        <v>2016</v>
      </c>
      <c r="D12" s="223">
        <v>3.3631584406780357</v>
      </c>
      <c r="E12" s="223"/>
      <c r="F12" s="223">
        <f t="shared" si="1"/>
        <v>3.3631584406780357</v>
      </c>
      <c r="G12" s="224">
        <f t="shared" si="2"/>
        <v>2.7990496505458502</v>
      </c>
      <c r="H12" s="225">
        <v>519751</v>
      </c>
      <c r="I12" s="225">
        <v>2672</v>
      </c>
      <c r="J12" s="225">
        <f t="shared" si="3"/>
        <v>523899</v>
      </c>
      <c r="K12" s="225">
        <f t="shared" si="4"/>
        <v>3075</v>
      </c>
    </row>
    <row r="13" spans="1:11" x14ac:dyDescent="0.3">
      <c r="A13" s="221" t="str">
        <f t="shared" si="0"/>
        <v>ANH17</v>
      </c>
      <c r="B13" s="146" t="s">
        <v>8</v>
      </c>
      <c r="C13" s="221">
        <v>2017</v>
      </c>
      <c r="D13" s="223">
        <v>3.8618940969981121</v>
      </c>
      <c r="E13" s="223"/>
      <c r="F13" s="223">
        <f t="shared" si="1"/>
        <v>3.8618940969981121</v>
      </c>
      <c r="G13" s="224">
        <f t="shared" si="2"/>
        <v>3.3962743176599943</v>
      </c>
      <c r="H13" s="225">
        <v>517721</v>
      </c>
      <c r="I13" s="225">
        <v>1973</v>
      </c>
      <c r="J13" s="225">
        <f t="shared" si="3"/>
        <v>520464</v>
      </c>
      <c r="K13" s="225">
        <f t="shared" si="4"/>
        <v>2832.3333333333335</v>
      </c>
    </row>
    <row r="14" spans="1:11" x14ac:dyDescent="0.3">
      <c r="A14" s="221" t="str">
        <f t="shared" si="0"/>
        <v>ANH18</v>
      </c>
      <c r="B14" s="146" t="s">
        <v>8</v>
      </c>
      <c r="C14" s="221">
        <v>2018</v>
      </c>
      <c r="D14" s="223">
        <v>1.0879335801603001</v>
      </c>
      <c r="E14" s="223"/>
      <c r="F14" s="223">
        <f t="shared" si="1"/>
        <v>1.0879335801603001</v>
      </c>
      <c r="G14" s="224">
        <f t="shared" si="2"/>
        <v>2.7709953726121497</v>
      </c>
      <c r="H14" s="225">
        <v>516924</v>
      </c>
      <c r="I14" s="225">
        <v>702</v>
      </c>
      <c r="J14" s="225">
        <f t="shared" si="3"/>
        <v>518132</v>
      </c>
      <c r="K14" s="225">
        <f t="shared" si="4"/>
        <v>1782.3333333333333</v>
      </c>
    </row>
    <row r="15" spans="1:11" x14ac:dyDescent="0.3">
      <c r="A15" s="221" t="str">
        <f t="shared" si="0"/>
        <v>ANH19</v>
      </c>
      <c r="B15" s="146" t="s">
        <v>8</v>
      </c>
      <c r="C15" s="221">
        <v>2019</v>
      </c>
      <c r="D15" s="223">
        <v>2.6702662477662304</v>
      </c>
      <c r="E15" s="223"/>
      <c r="F15" s="223">
        <f t="shared" si="1"/>
        <v>2.6702662477662304</v>
      </c>
      <c r="G15" s="224">
        <f>IF(OR(F13="",F14="",F15=""),"",AVERAGE(F13:F15))</f>
        <v>2.540031308308214</v>
      </c>
      <c r="H15" s="225">
        <v>516612</v>
      </c>
      <c r="I15" s="225">
        <v>312</v>
      </c>
      <c r="J15" s="225">
        <f t="shared" si="3"/>
        <v>517085.66666666669</v>
      </c>
      <c r="K15" s="225">
        <f t="shared" si="4"/>
        <v>995.66666666666663</v>
      </c>
    </row>
    <row r="16" spans="1:11" x14ac:dyDescent="0.3">
      <c r="A16" s="221" t="str">
        <f t="shared" si="0"/>
        <v>ANH20</v>
      </c>
      <c r="B16" s="146" t="s">
        <v>8</v>
      </c>
      <c r="C16" s="221">
        <v>2020</v>
      </c>
      <c r="D16" s="223">
        <v>1.5726373083896283</v>
      </c>
      <c r="E16" s="223"/>
      <c r="F16" s="223">
        <f t="shared" si="1"/>
        <v>1.5726373083896283</v>
      </c>
      <c r="G16" s="224">
        <f t="shared" si="2"/>
        <v>1.7769457121053864</v>
      </c>
      <c r="H16" s="225">
        <v>516300</v>
      </c>
      <c r="I16" s="225">
        <v>312</v>
      </c>
      <c r="J16" s="225">
        <f t="shared" si="3"/>
        <v>516612</v>
      </c>
      <c r="K16" s="225">
        <f t="shared" si="4"/>
        <v>442</v>
      </c>
    </row>
    <row r="17" spans="1:11" x14ac:dyDescent="0.3">
      <c r="A17" s="221" t="str">
        <f t="shared" si="0"/>
        <v>ANH21</v>
      </c>
      <c r="B17" s="146" t="s">
        <v>8</v>
      </c>
      <c r="C17" s="221">
        <v>2021</v>
      </c>
      <c r="D17" s="223">
        <v>3.2497955266693799</v>
      </c>
      <c r="E17" s="223">
        <v>0</v>
      </c>
      <c r="F17" s="223">
        <f t="shared" si="1"/>
        <v>3.2497955266693799</v>
      </c>
      <c r="G17" s="224">
        <f t="shared" si="2"/>
        <v>2.4975663609417462</v>
      </c>
      <c r="H17" s="225">
        <v>515450</v>
      </c>
      <c r="I17" s="225">
        <v>550</v>
      </c>
      <c r="J17" s="225">
        <f t="shared" si="3"/>
        <v>516120.66666666669</v>
      </c>
      <c r="K17" s="225">
        <f t="shared" si="4"/>
        <v>391.33333333333331</v>
      </c>
    </row>
    <row r="18" spans="1:11" x14ac:dyDescent="0.3">
      <c r="A18" s="221" t="str">
        <f t="shared" si="0"/>
        <v>ANH22</v>
      </c>
      <c r="B18" s="146" t="s">
        <v>8</v>
      </c>
      <c r="C18" s="221">
        <v>2022</v>
      </c>
      <c r="D18" s="223">
        <v>6.6898079786078704</v>
      </c>
      <c r="E18" s="223">
        <v>0</v>
      </c>
      <c r="F18" s="223">
        <f t="shared" si="1"/>
        <v>6.6898079786078704</v>
      </c>
      <c r="G18" s="224">
        <f t="shared" si="2"/>
        <v>3.8374136045556262</v>
      </c>
      <c r="H18" s="225">
        <v>513760</v>
      </c>
      <c r="I18" s="225">
        <v>1350</v>
      </c>
      <c r="J18" s="225">
        <f t="shared" si="3"/>
        <v>515170</v>
      </c>
      <c r="K18" s="225">
        <f t="shared" si="4"/>
        <v>737.33333333333337</v>
      </c>
    </row>
    <row r="19" spans="1:11" x14ac:dyDescent="0.3">
      <c r="A19" s="221" t="str">
        <f t="shared" si="0"/>
        <v>ANH23</v>
      </c>
      <c r="B19" s="146" t="s">
        <v>8</v>
      </c>
      <c r="C19" s="221">
        <v>2023</v>
      </c>
      <c r="D19" s="223">
        <v>6.3770212987924904</v>
      </c>
      <c r="E19" s="223">
        <v>0</v>
      </c>
      <c r="F19" s="223">
        <f t="shared" si="1"/>
        <v>6.3770212987924904</v>
      </c>
      <c r="G19" s="224">
        <f t="shared" si="2"/>
        <v>5.4388749346899132</v>
      </c>
      <c r="H19" s="225">
        <v>512080</v>
      </c>
      <c r="I19" s="225">
        <v>1350</v>
      </c>
      <c r="J19" s="225">
        <f t="shared" si="3"/>
        <v>513763.33333333331</v>
      </c>
      <c r="K19" s="225">
        <f t="shared" si="4"/>
        <v>1083.3333333333333</v>
      </c>
    </row>
    <row r="20" spans="1:11" x14ac:dyDescent="0.3">
      <c r="A20" s="221" t="str">
        <f t="shared" si="0"/>
        <v>ANH24</v>
      </c>
      <c r="B20" s="146" t="s">
        <v>8</v>
      </c>
      <c r="C20" s="221">
        <v>2024</v>
      </c>
      <c r="D20" s="223">
        <v>5.8031847006035404</v>
      </c>
      <c r="E20" s="223">
        <v>0</v>
      </c>
      <c r="F20" s="223">
        <f t="shared" si="1"/>
        <v>5.8031847006035404</v>
      </c>
      <c r="G20" s="224">
        <f t="shared" si="2"/>
        <v>6.2900046593346337</v>
      </c>
      <c r="H20" s="225">
        <v>510400</v>
      </c>
      <c r="I20" s="225">
        <v>1350</v>
      </c>
      <c r="J20" s="225">
        <f t="shared" si="3"/>
        <v>512080</v>
      </c>
      <c r="K20" s="225">
        <f t="shared" si="4"/>
        <v>1350</v>
      </c>
    </row>
    <row r="21" spans="1:11" x14ac:dyDescent="0.3">
      <c r="A21" s="221" t="str">
        <f t="shared" si="0"/>
        <v>ANH25</v>
      </c>
      <c r="B21" s="146" t="s">
        <v>8</v>
      </c>
      <c r="C21" s="221">
        <v>2025</v>
      </c>
      <c r="D21" s="223">
        <v>2.9028790815385799</v>
      </c>
      <c r="E21" s="223">
        <v>0</v>
      </c>
      <c r="F21" s="223">
        <f t="shared" si="1"/>
        <v>2.9028790815385799</v>
      </c>
      <c r="G21" s="224">
        <f t="shared" si="2"/>
        <v>5.0276950269782033</v>
      </c>
      <c r="H21" s="225">
        <v>509550</v>
      </c>
      <c r="I21" s="225">
        <v>650</v>
      </c>
      <c r="J21" s="225">
        <f t="shared" si="3"/>
        <v>510676.66666666669</v>
      </c>
      <c r="K21" s="225">
        <f t="shared" si="4"/>
        <v>1116.6666666666667</v>
      </c>
    </row>
    <row r="22" spans="1:11" x14ac:dyDescent="0.3">
      <c r="A22" s="221" t="str">
        <f t="shared" si="0"/>
        <v>NES12</v>
      </c>
      <c r="B22" s="146" t="s">
        <v>9</v>
      </c>
      <c r="C22" s="221">
        <v>2012</v>
      </c>
      <c r="D22" s="223">
        <v>3.0621300698064848</v>
      </c>
      <c r="E22" s="223"/>
      <c r="F22" s="223">
        <f t="shared" si="1"/>
        <v>3.0621300698064848</v>
      </c>
      <c r="G22" s="224"/>
      <c r="H22" s="225">
        <v>618409</v>
      </c>
      <c r="I22" s="225">
        <v>10465</v>
      </c>
      <c r="J22" s="225"/>
      <c r="K22" s="225"/>
    </row>
    <row r="23" spans="1:11" x14ac:dyDescent="0.3">
      <c r="A23" s="221" t="str">
        <f t="shared" si="0"/>
        <v>NES13</v>
      </c>
      <c r="B23" s="146" t="s">
        <v>9</v>
      </c>
      <c r="C23" s="221">
        <v>2013</v>
      </c>
      <c r="D23" s="223">
        <v>2.1753318377911994</v>
      </c>
      <c r="E23" s="223"/>
      <c r="F23" s="223">
        <f t="shared" si="1"/>
        <v>2.1753318377911994</v>
      </c>
      <c r="G23" s="224"/>
      <c r="H23" s="225">
        <v>606617</v>
      </c>
      <c r="I23" s="225">
        <v>6099</v>
      </c>
      <c r="J23" s="225"/>
      <c r="K23" s="225"/>
    </row>
    <row r="24" spans="1:11" x14ac:dyDescent="0.3">
      <c r="A24" s="221" t="str">
        <f t="shared" si="0"/>
        <v>NES14</v>
      </c>
      <c r="B24" s="146" t="s">
        <v>9</v>
      </c>
      <c r="C24" s="221">
        <v>2014</v>
      </c>
      <c r="D24" s="223">
        <v>0.77581169709262987</v>
      </c>
      <c r="E24" s="223"/>
      <c r="F24" s="223">
        <f t="shared" si="1"/>
        <v>0.77581169709262987</v>
      </c>
      <c r="G24" s="224">
        <f t="shared" ref="G24:G35" si="5">IF(OR(F22="",F23="",F24=""),"",AVERAGE(F22:F24))</f>
        <v>2.0044245348967711</v>
      </c>
      <c r="H24" s="225">
        <v>602471</v>
      </c>
      <c r="I24" s="225">
        <v>1235</v>
      </c>
      <c r="J24" s="225">
        <f t="shared" ref="J24:J35" si="6">IFERROR(IF(OR(H22="",H23="",H24=""),"",AVERAGE(H22:H24)),"")</f>
        <v>609165.66666666663</v>
      </c>
      <c r="K24" s="225">
        <f t="shared" ref="K24:K35" si="7">IFERROR(IF(OR(I22="",I23="",I24=""),"",AVERAGE(I22:I24)),"")</f>
        <v>5933</v>
      </c>
    </row>
    <row r="25" spans="1:11" x14ac:dyDescent="0.3">
      <c r="A25" s="221" t="str">
        <f t="shared" si="0"/>
        <v>NES15</v>
      </c>
      <c r="B25" s="146" t="s">
        <v>9</v>
      </c>
      <c r="C25" s="221">
        <v>2015</v>
      </c>
      <c r="D25" s="223">
        <v>0.73466349126765274</v>
      </c>
      <c r="E25" s="223"/>
      <c r="F25" s="223">
        <f t="shared" si="1"/>
        <v>0.73466349126765274</v>
      </c>
      <c r="G25" s="224">
        <f t="shared" si="5"/>
        <v>1.2286023420504939</v>
      </c>
      <c r="H25" s="225">
        <v>596336</v>
      </c>
      <c r="I25" s="225">
        <v>1092</v>
      </c>
      <c r="J25" s="225">
        <f t="shared" si="6"/>
        <v>601808</v>
      </c>
      <c r="K25" s="225">
        <f t="shared" si="7"/>
        <v>2808.6666666666665</v>
      </c>
    </row>
    <row r="26" spans="1:11" x14ac:dyDescent="0.3">
      <c r="A26" s="221" t="str">
        <f t="shared" si="0"/>
        <v>NES16</v>
      </c>
      <c r="B26" s="146" t="s">
        <v>9</v>
      </c>
      <c r="C26" s="221">
        <v>2016</v>
      </c>
      <c r="D26" s="223">
        <v>3.9671695507487512</v>
      </c>
      <c r="E26" s="223"/>
      <c r="F26" s="223">
        <f t="shared" si="1"/>
        <v>3.9671695507487512</v>
      </c>
      <c r="G26" s="224">
        <f t="shared" si="5"/>
        <v>1.825881579703011</v>
      </c>
      <c r="H26" s="225">
        <v>564013</v>
      </c>
      <c r="I26" s="225">
        <v>1272</v>
      </c>
      <c r="J26" s="225">
        <f t="shared" si="6"/>
        <v>587606.66666666663</v>
      </c>
      <c r="K26" s="225">
        <f t="shared" si="7"/>
        <v>1199.6666666666667</v>
      </c>
    </row>
    <row r="27" spans="1:11" x14ac:dyDescent="0.3">
      <c r="A27" s="221" t="str">
        <f t="shared" si="0"/>
        <v>NES17</v>
      </c>
      <c r="B27" s="146" t="s">
        <v>9</v>
      </c>
      <c r="C27" s="221">
        <v>2017</v>
      </c>
      <c r="D27" s="223">
        <v>2.4221715223635614</v>
      </c>
      <c r="E27" s="223"/>
      <c r="F27" s="223">
        <f t="shared" si="1"/>
        <v>2.4221715223635614</v>
      </c>
      <c r="G27" s="224">
        <f t="shared" si="5"/>
        <v>2.3746681881266554</v>
      </c>
      <c r="H27" s="225">
        <v>560453</v>
      </c>
      <c r="I27" s="225">
        <v>1332</v>
      </c>
      <c r="J27" s="225">
        <f t="shared" si="6"/>
        <v>573600.66666666663</v>
      </c>
      <c r="K27" s="225">
        <f t="shared" si="7"/>
        <v>1232</v>
      </c>
    </row>
    <row r="28" spans="1:11" x14ac:dyDescent="0.3">
      <c r="A28" s="221" t="str">
        <f t="shared" si="0"/>
        <v>NES18</v>
      </c>
      <c r="B28" s="146" t="s">
        <v>9</v>
      </c>
      <c r="C28" s="221">
        <v>2018</v>
      </c>
      <c r="D28" s="223">
        <v>3.0819999999999999</v>
      </c>
      <c r="E28" s="223"/>
      <c r="F28" s="223">
        <f t="shared" si="1"/>
        <v>3.0819999999999999</v>
      </c>
      <c r="G28" s="224">
        <f t="shared" si="5"/>
        <v>3.1571136910374378</v>
      </c>
      <c r="H28" s="225">
        <v>553799</v>
      </c>
      <c r="I28" s="225">
        <v>1110</v>
      </c>
      <c r="J28" s="225">
        <f t="shared" si="6"/>
        <v>559421.66666666663</v>
      </c>
      <c r="K28" s="225">
        <f t="shared" si="7"/>
        <v>1238</v>
      </c>
    </row>
    <row r="29" spans="1:11" x14ac:dyDescent="0.3">
      <c r="A29" s="221" t="str">
        <f t="shared" si="0"/>
        <v>NES19</v>
      </c>
      <c r="B29" s="146" t="s">
        <v>9</v>
      </c>
      <c r="C29" s="221">
        <v>2019</v>
      </c>
      <c r="D29" s="223">
        <v>2.2031955193482826</v>
      </c>
      <c r="E29" s="223"/>
      <c r="F29" s="223">
        <f t="shared" si="1"/>
        <v>2.2031955193482826</v>
      </c>
      <c r="G29" s="224">
        <f t="shared" si="5"/>
        <v>2.5691223472372813</v>
      </c>
      <c r="H29" s="225">
        <v>547450</v>
      </c>
      <c r="I29" s="225">
        <v>1440</v>
      </c>
      <c r="J29" s="225">
        <f t="shared" si="6"/>
        <v>553900.66666666663</v>
      </c>
      <c r="K29" s="225">
        <f t="shared" si="7"/>
        <v>1294</v>
      </c>
    </row>
    <row r="30" spans="1:11" x14ac:dyDescent="0.3">
      <c r="A30" s="221" t="str">
        <f t="shared" si="0"/>
        <v>NES20</v>
      </c>
      <c r="B30" s="146" t="s">
        <v>9</v>
      </c>
      <c r="C30" s="221">
        <v>2020</v>
      </c>
      <c r="D30" s="223">
        <v>1.5649311722230854</v>
      </c>
      <c r="E30" s="223"/>
      <c r="F30" s="223">
        <f t="shared" si="1"/>
        <v>1.5649311722230854</v>
      </c>
      <c r="G30" s="224">
        <f t="shared" si="5"/>
        <v>2.2833755638571227</v>
      </c>
      <c r="H30" s="225">
        <v>541101</v>
      </c>
      <c r="I30" s="225">
        <v>1440</v>
      </c>
      <c r="J30" s="225">
        <f t="shared" si="6"/>
        <v>547450</v>
      </c>
      <c r="K30" s="225">
        <f t="shared" si="7"/>
        <v>1330</v>
      </c>
    </row>
    <row r="31" spans="1:11" x14ac:dyDescent="0.3">
      <c r="A31" s="221" t="str">
        <f t="shared" si="0"/>
        <v>NES21</v>
      </c>
      <c r="B31" s="146" t="s">
        <v>9</v>
      </c>
      <c r="C31" s="221">
        <v>2021</v>
      </c>
      <c r="D31" s="223">
        <v>0.8</v>
      </c>
      <c r="E31" s="223">
        <v>0</v>
      </c>
      <c r="F31" s="223">
        <f t="shared" si="1"/>
        <v>0.8</v>
      </c>
      <c r="G31" s="224">
        <f t="shared" si="5"/>
        <v>1.5227088971904559</v>
      </c>
      <c r="H31" s="225">
        <v>534475</v>
      </c>
      <c r="I31" s="225">
        <v>1717</v>
      </c>
      <c r="J31" s="225">
        <f t="shared" si="6"/>
        <v>541008.66666666663</v>
      </c>
      <c r="K31" s="225">
        <f t="shared" si="7"/>
        <v>1532.3333333333333</v>
      </c>
    </row>
    <row r="32" spans="1:11" x14ac:dyDescent="0.3">
      <c r="A32" s="221" t="str">
        <f t="shared" si="0"/>
        <v>NES22</v>
      </c>
      <c r="B32" s="146" t="s">
        <v>9</v>
      </c>
      <c r="C32" s="221">
        <v>2022</v>
      </c>
      <c r="D32" s="223">
        <v>0.8</v>
      </c>
      <c r="E32" s="223">
        <v>0</v>
      </c>
      <c r="F32" s="223">
        <f t="shared" si="1"/>
        <v>0.8</v>
      </c>
      <c r="G32" s="224">
        <f t="shared" si="5"/>
        <v>1.0549770574076953</v>
      </c>
      <c r="H32" s="225">
        <v>527671</v>
      </c>
      <c r="I32" s="225">
        <v>1895</v>
      </c>
      <c r="J32" s="225">
        <f t="shared" si="6"/>
        <v>534415.66666666663</v>
      </c>
      <c r="K32" s="225">
        <f t="shared" si="7"/>
        <v>1684</v>
      </c>
    </row>
    <row r="33" spans="1:11" x14ac:dyDescent="0.3">
      <c r="A33" s="221" t="str">
        <f t="shared" si="0"/>
        <v>NES23</v>
      </c>
      <c r="B33" s="146" t="s">
        <v>9</v>
      </c>
      <c r="C33" s="221">
        <v>2023</v>
      </c>
      <c r="D33" s="223">
        <v>0.80100000000000005</v>
      </c>
      <c r="E33" s="223">
        <v>0</v>
      </c>
      <c r="F33" s="223">
        <f t="shared" si="1"/>
        <v>0.80100000000000005</v>
      </c>
      <c r="G33" s="224">
        <f t="shared" si="5"/>
        <v>0.80033333333333345</v>
      </c>
      <c r="H33" s="225">
        <v>520867</v>
      </c>
      <c r="I33" s="225">
        <v>1895</v>
      </c>
      <c r="J33" s="225">
        <f t="shared" si="6"/>
        <v>527671</v>
      </c>
      <c r="K33" s="225">
        <f t="shared" si="7"/>
        <v>1835.6666666666667</v>
      </c>
    </row>
    <row r="34" spans="1:11" x14ac:dyDescent="0.3">
      <c r="A34" s="221" t="str">
        <f t="shared" si="0"/>
        <v>NES24</v>
      </c>
      <c r="B34" s="146" t="s">
        <v>9</v>
      </c>
      <c r="C34" s="221">
        <v>2024</v>
      </c>
      <c r="D34" s="223">
        <v>0.80100000000000005</v>
      </c>
      <c r="E34" s="223">
        <v>0</v>
      </c>
      <c r="F34" s="223">
        <f t="shared" si="1"/>
        <v>0.80100000000000005</v>
      </c>
      <c r="G34" s="224">
        <f t="shared" si="5"/>
        <v>0.80066666666666675</v>
      </c>
      <c r="H34" s="225">
        <v>514063</v>
      </c>
      <c r="I34" s="225">
        <v>1895</v>
      </c>
      <c r="J34" s="225">
        <f t="shared" si="6"/>
        <v>520867</v>
      </c>
      <c r="K34" s="225">
        <f t="shared" si="7"/>
        <v>1895</v>
      </c>
    </row>
    <row r="35" spans="1:11" x14ac:dyDescent="0.3">
      <c r="A35" s="221" t="str">
        <f t="shared" si="0"/>
        <v>NES25</v>
      </c>
      <c r="B35" s="146" t="s">
        <v>9</v>
      </c>
      <c r="C35" s="221">
        <v>2025</v>
      </c>
      <c r="D35" s="223">
        <v>0.80100000000000005</v>
      </c>
      <c r="E35" s="223">
        <v>0</v>
      </c>
      <c r="F35" s="223">
        <f t="shared" si="1"/>
        <v>0.80100000000000005</v>
      </c>
      <c r="G35" s="224">
        <f t="shared" si="5"/>
        <v>0.80100000000000005</v>
      </c>
      <c r="H35" s="225">
        <v>507274</v>
      </c>
      <c r="I35" s="225">
        <v>1880</v>
      </c>
      <c r="J35" s="225">
        <f t="shared" si="6"/>
        <v>514068</v>
      </c>
      <c r="K35" s="225">
        <f t="shared" si="7"/>
        <v>1890</v>
      </c>
    </row>
    <row r="36" spans="1:11" x14ac:dyDescent="0.3">
      <c r="A36" s="221" t="str">
        <f t="shared" si="0"/>
        <v>NWT12</v>
      </c>
      <c r="B36" s="146" t="s">
        <v>10</v>
      </c>
      <c r="C36" s="221">
        <v>2012</v>
      </c>
      <c r="D36" s="223">
        <v>0.50470086454684948</v>
      </c>
      <c r="E36" s="223"/>
      <c r="F36" s="223">
        <f t="shared" si="1"/>
        <v>0.50470086454684948</v>
      </c>
      <c r="G36" s="224"/>
      <c r="H36" s="225">
        <v>548706</v>
      </c>
      <c r="I36" s="225">
        <v>753</v>
      </c>
      <c r="J36" s="225"/>
      <c r="K36" s="225"/>
    </row>
    <row r="37" spans="1:11" x14ac:dyDescent="0.3">
      <c r="A37" s="221" t="str">
        <f t="shared" si="0"/>
        <v>NWT13</v>
      </c>
      <c r="B37" s="146" t="s">
        <v>10</v>
      </c>
      <c r="C37" s="221">
        <v>2013</v>
      </c>
      <c r="D37" s="223">
        <v>0.45327700310896385</v>
      </c>
      <c r="E37" s="223"/>
      <c r="F37" s="223">
        <f t="shared" si="1"/>
        <v>0.45327700310896385</v>
      </c>
      <c r="G37" s="224"/>
      <c r="H37" s="225">
        <v>546299</v>
      </c>
      <c r="I37" s="225">
        <v>402</v>
      </c>
      <c r="J37" s="225"/>
      <c r="K37" s="225"/>
    </row>
    <row r="38" spans="1:11" x14ac:dyDescent="0.3">
      <c r="A38" s="221" t="str">
        <f t="shared" si="0"/>
        <v>NWT14</v>
      </c>
      <c r="B38" s="146" t="s">
        <v>10</v>
      </c>
      <c r="C38" s="221">
        <v>2014</v>
      </c>
      <c r="D38" s="223">
        <v>0.62580307805985569</v>
      </c>
      <c r="E38" s="223"/>
      <c r="F38" s="223">
        <f t="shared" si="1"/>
        <v>0.62580307805985569</v>
      </c>
      <c r="G38" s="224">
        <f t="shared" ref="G38:G49" si="8">IF(OR(F36="",F37="",F38=""),"",AVERAGE(F36:F38))</f>
        <v>0.52792698190522291</v>
      </c>
      <c r="H38" s="225">
        <v>544391</v>
      </c>
      <c r="I38" s="225">
        <v>435</v>
      </c>
      <c r="J38" s="225">
        <f t="shared" ref="J38:J49" si="9">IFERROR(IF(OR(H36="",H37="",H38=""),"",AVERAGE(H36:H38)),"")</f>
        <v>546465.33333333337</v>
      </c>
      <c r="K38" s="225">
        <f t="shared" ref="K38:K49" si="10">IFERROR(IF(OR(I36="",I37="",I38=""),"",AVERAGE(I36:I38)),"")</f>
        <v>530</v>
      </c>
    </row>
    <row r="39" spans="1:11" x14ac:dyDescent="0.3">
      <c r="A39" s="221" t="str">
        <f t="shared" si="0"/>
        <v>NWT15</v>
      </c>
      <c r="B39" s="146" t="s">
        <v>10</v>
      </c>
      <c r="C39" s="221">
        <v>2015</v>
      </c>
      <c r="D39" s="223">
        <v>2.0484712071544906</v>
      </c>
      <c r="E39" s="223"/>
      <c r="F39" s="223">
        <f t="shared" si="1"/>
        <v>2.0484712071544906</v>
      </c>
      <c r="G39" s="224">
        <f t="shared" si="8"/>
        <v>1.0425170961077701</v>
      </c>
      <c r="H39" s="225">
        <v>543680</v>
      </c>
      <c r="I39" s="225">
        <v>247</v>
      </c>
      <c r="J39" s="225">
        <f t="shared" si="9"/>
        <v>544790</v>
      </c>
      <c r="K39" s="225">
        <f t="shared" si="10"/>
        <v>361.33333333333331</v>
      </c>
    </row>
    <row r="40" spans="1:11" x14ac:dyDescent="0.3">
      <c r="A40" s="221" t="str">
        <f t="shared" ref="A40:A77" si="11">(B40&amp;RIGHT(C40,2))</f>
        <v>NWT16</v>
      </c>
      <c r="B40" s="146" t="s">
        <v>10</v>
      </c>
      <c r="C40" s="221">
        <v>2016</v>
      </c>
      <c r="D40" s="223">
        <v>0.91742221253743739</v>
      </c>
      <c r="E40" s="223"/>
      <c r="F40" s="223">
        <f t="shared" ref="F40:F77" si="12">D40+E40</f>
        <v>0.91742221253743739</v>
      </c>
      <c r="G40" s="224">
        <f t="shared" si="8"/>
        <v>1.1972321659172611</v>
      </c>
      <c r="H40" s="225">
        <v>539749</v>
      </c>
      <c r="I40" s="225">
        <v>0</v>
      </c>
      <c r="J40" s="225">
        <f t="shared" si="9"/>
        <v>542606.66666666663</v>
      </c>
      <c r="K40" s="225">
        <f t="shared" si="10"/>
        <v>227.33333333333334</v>
      </c>
    </row>
    <row r="41" spans="1:11" x14ac:dyDescent="0.3">
      <c r="A41" s="221" t="str">
        <f t="shared" si="11"/>
        <v>NWT17</v>
      </c>
      <c r="B41" s="146" t="s">
        <v>10</v>
      </c>
      <c r="C41" s="221">
        <v>2017</v>
      </c>
      <c r="D41" s="223">
        <v>2.0901800722199428E-3</v>
      </c>
      <c r="E41" s="223"/>
      <c r="F41" s="223">
        <f t="shared" si="12"/>
        <v>2.0901800722199428E-3</v>
      </c>
      <c r="G41" s="224">
        <f t="shared" si="8"/>
        <v>0.98932786658804917</v>
      </c>
      <c r="H41" s="225">
        <v>535279</v>
      </c>
      <c r="I41" s="225">
        <v>0</v>
      </c>
      <c r="J41" s="225">
        <f t="shared" si="9"/>
        <v>539569.33333333337</v>
      </c>
      <c r="K41" s="225">
        <f t="shared" si="10"/>
        <v>82.333333333333329</v>
      </c>
    </row>
    <row r="42" spans="1:11" x14ac:dyDescent="0.3">
      <c r="A42" s="221" t="str">
        <f t="shared" si="11"/>
        <v>NWT18</v>
      </c>
      <c r="B42" s="146" t="s">
        <v>10</v>
      </c>
      <c r="C42" s="221">
        <v>2018</v>
      </c>
      <c r="D42" s="223">
        <v>0.10906399</v>
      </c>
      <c r="E42" s="223"/>
      <c r="F42" s="223">
        <f t="shared" si="12"/>
        <v>0.10906399</v>
      </c>
      <c r="G42" s="224">
        <f t="shared" si="8"/>
        <v>0.34285879420321913</v>
      </c>
      <c r="H42" s="225">
        <v>530287</v>
      </c>
      <c r="I42" s="225">
        <v>4992</v>
      </c>
      <c r="J42" s="225">
        <f t="shared" si="9"/>
        <v>535105</v>
      </c>
      <c r="K42" s="225">
        <f t="shared" si="10"/>
        <v>1664</v>
      </c>
    </row>
    <row r="43" spans="1:11" x14ac:dyDescent="0.3">
      <c r="A43" s="221" t="str">
        <f t="shared" si="11"/>
        <v>NWT19</v>
      </c>
      <c r="B43" s="146" t="s">
        <v>10</v>
      </c>
      <c r="C43" s="221">
        <v>2019</v>
      </c>
      <c r="D43" s="223">
        <v>1.8030016830486193E-2</v>
      </c>
      <c r="E43" s="223"/>
      <c r="F43" s="223">
        <f t="shared" si="12"/>
        <v>1.8030016830486193E-2</v>
      </c>
      <c r="G43" s="224">
        <f t="shared" si="8"/>
        <v>4.3061395634235382E-2</v>
      </c>
      <c r="H43" s="225">
        <v>525823</v>
      </c>
      <c r="I43" s="225">
        <v>4464</v>
      </c>
      <c r="J43" s="225">
        <f t="shared" si="9"/>
        <v>530463</v>
      </c>
      <c r="K43" s="225">
        <f t="shared" si="10"/>
        <v>3152</v>
      </c>
    </row>
    <row r="44" spans="1:11" x14ac:dyDescent="0.3">
      <c r="A44" s="221" t="str">
        <f t="shared" si="11"/>
        <v>NWT20</v>
      </c>
      <c r="B44" s="146" t="s">
        <v>10</v>
      </c>
      <c r="C44" s="221">
        <v>2020</v>
      </c>
      <c r="D44" s="223">
        <v>0</v>
      </c>
      <c r="E44" s="223"/>
      <c r="F44" s="223">
        <f t="shared" si="12"/>
        <v>0</v>
      </c>
      <c r="G44" s="224">
        <f t="shared" si="8"/>
        <v>4.2364668943495394E-2</v>
      </c>
      <c r="H44" s="225">
        <v>521359</v>
      </c>
      <c r="I44" s="225">
        <v>4464</v>
      </c>
      <c r="J44" s="225">
        <f t="shared" si="9"/>
        <v>525823</v>
      </c>
      <c r="K44" s="225">
        <f t="shared" si="10"/>
        <v>4640</v>
      </c>
    </row>
    <row r="45" spans="1:11" x14ac:dyDescent="0.3">
      <c r="A45" s="221" t="str">
        <f t="shared" si="11"/>
        <v>NWT21</v>
      </c>
      <c r="B45" s="146" t="s">
        <v>10</v>
      </c>
      <c r="C45" s="221">
        <v>2021</v>
      </c>
      <c r="D45" s="223">
        <v>0</v>
      </c>
      <c r="E45" s="223">
        <v>0</v>
      </c>
      <c r="F45" s="223">
        <f t="shared" si="12"/>
        <v>0</v>
      </c>
      <c r="G45" s="224">
        <f t="shared" si="8"/>
        <v>6.0100056101620647E-3</v>
      </c>
      <c r="H45" s="225">
        <v>516895</v>
      </c>
      <c r="I45" s="225">
        <v>4464</v>
      </c>
      <c r="J45" s="225">
        <f t="shared" si="9"/>
        <v>521359</v>
      </c>
      <c r="K45" s="225">
        <f t="shared" si="10"/>
        <v>4464</v>
      </c>
    </row>
    <row r="46" spans="1:11" x14ac:dyDescent="0.3">
      <c r="A46" s="221" t="str">
        <f t="shared" si="11"/>
        <v>NWT22</v>
      </c>
      <c r="B46" s="146" t="s">
        <v>10</v>
      </c>
      <c r="C46" s="221">
        <v>2022</v>
      </c>
      <c r="D46" s="223">
        <v>0</v>
      </c>
      <c r="E46" s="223">
        <v>0</v>
      </c>
      <c r="F46" s="223">
        <f t="shared" si="12"/>
        <v>0</v>
      </c>
      <c r="G46" s="224">
        <f t="shared" si="8"/>
        <v>0</v>
      </c>
      <c r="H46" s="225">
        <v>511931</v>
      </c>
      <c r="I46" s="225">
        <v>4964</v>
      </c>
      <c r="J46" s="225">
        <f t="shared" si="9"/>
        <v>516728.33333333331</v>
      </c>
      <c r="K46" s="225">
        <f t="shared" si="10"/>
        <v>4630.666666666667</v>
      </c>
    </row>
    <row r="47" spans="1:11" x14ac:dyDescent="0.3">
      <c r="A47" s="221" t="str">
        <f t="shared" si="11"/>
        <v>NWT23</v>
      </c>
      <c r="B47" s="146" t="s">
        <v>10</v>
      </c>
      <c r="C47" s="221">
        <v>2023</v>
      </c>
      <c r="D47" s="223">
        <v>0</v>
      </c>
      <c r="E47" s="223">
        <v>0</v>
      </c>
      <c r="F47" s="223">
        <f t="shared" si="12"/>
        <v>0</v>
      </c>
      <c r="G47" s="224">
        <f t="shared" si="8"/>
        <v>0</v>
      </c>
      <c r="H47" s="225">
        <v>506667</v>
      </c>
      <c r="I47" s="225">
        <v>5264</v>
      </c>
      <c r="J47" s="225">
        <f t="shared" si="9"/>
        <v>511831</v>
      </c>
      <c r="K47" s="225">
        <f t="shared" si="10"/>
        <v>4897.333333333333</v>
      </c>
    </row>
    <row r="48" spans="1:11" x14ac:dyDescent="0.3">
      <c r="A48" s="221" t="str">
        <f t="shared" si="11"/>
        <v>NWT24</v>
      </c>
      <c r="B48" s="146" t="s">
        <v>10</v>
      </c>
      <c r="C48" s="221">
        <v>2024</v>
      </c>
      <c r="D48" s="223">
        <v>0</v>
      </c>
      <c r="E48" s="223">
        <v>0</v>
      </c>
      <c r="F48" s="223">
        <f t="shared" si="12"/>
        <v>0</v>
      </c>
      <c r="G48" s="224">
        <f t="shared" si="8"/>
        <v>0</v>
      </c>
      <c r="H48" s="225">
        <v>501453</v>
      </c>
      <c r="I48" s="225">
        <v>5214</v>
      </c>
      <c r="J48" s="225">
        <f t="shared" si="9"/>
        <v>506683.66666666669</v>
      </c>
      <c r="K48" s="225">
        <f t="shared" si="10"/>
        <v>5147.333333333333</v>
      </c>
    </row>
    <row r="49" spans="1:11" x14ac:dyDescent="0.3">
      <c r="A49" s="221" t="str">
        <f t="shared" si="11"/>
        <v>NWT25</v>
      </c>
      <c r="B49" s="146" t="s">
        <v>10</v>
      </c>
      <c r="C49" s="221">
        <v>2025</v>
      </c>
      <c r="D49" s="223">
        <v>0</v>
      </c>
      <c r="E49" s="223">
        <v>0</v>
      </c>
      <c r="F49" s="223">
        <f t="shared" si="12"/>
        <v>0</v>
      </c>
      <c r="G49" s="224">
        <f t="shared" si="8"/>
        <v>0</v>
      </c>
      <c r="H49" s="225">
        <v>496239</v>
      </c>
      <c r="I49" s="225">
        <v>5214</v>
      </c>
      <c r="J49" s="225">
        <f t="shared" si="9"/>
        <v>501453</v>
      </c>
      <c r="K49" s="225">
        <f t="shared" si="10"/>
        <v>5230.666666666667</v>
      </c>
    </row>
    <row r="50" spans="1:11" x14ac:dyDescent="0.3">
      <c r="A50" s="221" t="str">
        <f t="shared" si="11"/>
        <v>SRN12</v>
      </c>
      <c r="B50" s="146" t="s">
        <v>11</v>
      </c>
      <c r="C50" s="221">
        <v>2012</v>
      </c>
      <c r="D50" s="223">
        <v>0</v>
      </c>
      <c r="E50" s="223"/>
      <c r="F50" s="223">
        <f t="shared" si="12"/>
        <v>0</v>
      </c>
      <c r="G50" s="224"/>
      <c r="H50" s="225">
        <v>116574</v>
      </c>
      <c r="I50" s="225">
        <v>40</v>
      </c>
      <c r="J50" s="225"/>
      <c r="K50" s="225"/>
    </row>
    <row r="51" spans="1:11" x14ac:dyDescent="0.3">
      <c r="A51" s="221" t="str">
        <f t="shared" si="11"/>
        <v>SRN13</v>
      </c>
      <c r="B51" s="146" t="s">
        <v>11</v>
      </c>
      <c r="C51" s="221">
        <v>2013</v>
      </c>
      <c r="D51" s="223">
        <v>0</v>
      </c>
      <c r="E51" s="223"/>
      <c r="F51" s="223">
        <f t="shared" si="12"/>
        <v>0</v>
      </c>
      <c r="G51" s="224"/>
      <c r="H51" s="225">
        <v>116174</v>
      </c>
      <c r="I51" s="225">
        <v>15</v>
      </c>
      <c r="J51" s="225"/>
      <c r="K51" s="225"/>
    </row>
    <row r="52" spans="1:11" x14ac:dyDescent="0.3">
      <c r="A52" s="221" t="str">
        <f t="shared" si="11"/>
        <v>SRN14</v>
      </c>
      <c r="B52" s="146" t="s">
        <v>11</v>
      </c>
      <c r="C52" s="221">
        <v>2014</v>
      </c>
      <c r="D52" s="223">
        <v>0</v>
      </c>
      <c r="E52" s="223"/>
      <c r="F52" s="223">
        <f t="shared" si="12"/>
        <v>0</v>
      </c>
      <c r="G52" s="224">
        <f t="shared" ref="G52:G63" si="13">IF(OR(F50="",F51="",F52=""),"",AVERAGE(F50:F52))</f>
        <v>0</v>
      </c>
      <c r="H52" s="225">
        <v>115774</v>
      </c>
      <c r="I52" s="225">
        <v>73</v>
      </c>
      <c r="J52" s="225">
        <f t="shared" ref="J52:J63" si="14">IFERROR(IF(OR(H50="",H51="",H52=""),"",AVERAGE(H50:H52)),"")</f>
        <v>116174</v>
      </c>
      <c r="K52" s="225">
        <f t="shared" ref="K52:K63" si="15">IFERROR(IF(OR(I50="",I51="",I52=""),"",AVERAGE(I50:I52)),"")</f>
        <v>42.666666666666664</v>
      </c>
    </row>
    <row r="53" spans="1:11" x14ac:dyDescent="0.3">
      <c r="A53" s="221" t="str">
        <f t="shared" si="11"/>
        <v>SRN15</v>
      </c>
      <c r="B53" s="146" t="s">
        <v>11</v>
      </c>
      <c r="C53" s="221">
        <v>2015</v>
      </c>
      <c r="D53" s="223">
        <v>0</v>
      </c>
      <c r="E53" s="223"/>
      <c r="F53" s="223">
        <f t="shared" si="12"/>
        <v>0</v>
      </c>
      <c r="G53" s="224">
        <f t="shared" si="13"/>
        <v>0</v>
      </c>
      <c r="H53" s="225">
        <v>115374</v>
      </c>
      <c r="I53" s="225">
        <v>37</v>
      </c>
      <c r="J53" s="225">
        <f t="shared" si="14"/>
        <v>115774</v>
      </c>
      <c r="K53" s="225">
        <f t="shared" si="15"/>
        <v>41.666666666666664</v>
      </c>
    </row>
    <row r="54" spans="1:11" x14ac:dyDescent="0.3">
      <c r="A54" s="221" t="str">
        <f t="shared" si="11"/>
        <v>SRN16</v>
      </c>
      <c r="B54" s="146" t="s">
        <v>11</v>
      </c>
      <c r="C54" s="221">
        <v>2016</v>
      </c>
      <c r="D54" s="223">
        <v>0</v>
      </c>
      <c r="E54" s="223"/>
      <c r="F54" s="223">
        <f t="shared" si="12"/>
        <v>0</v>
      </c>
      <c r="G54" s="224">
        <f t="shared" si="13"/>
        <v>0</v>
      </c>
      <c r="H54" s="225">
        <v>114974</v>
      </c>
      <c r="I54" s="225">
        <v>36</v>
      </c>
      <c r="J54" s="225">
        <f t="shared" si="14"/>
        <v>115374</v>
      </c>
      <c r="K54" s="225">
        <f t="shared" si="15"/>
        <v>48.666666666666664</v>
      </c>
    </row>
    <row r="55" spans="1:11" x14ac:dyDescent="0.3">
      <c r="A55" s="221" t="str">
        <f t="shared" si="11"/>
        <v>SRN17</v>
      </c>
      <c r="B55" s="146" t="s">
        <v>11</v>
      </c>
      <c r="C55" s="221">
        <v>2017</v>
      </c>
      <c r="D55" s="223">
        <v>0</v>
      </c>
      <c r="E55" s="223"/>
      <c r="F55" s="223">
        <f t="shared" si="12"/>
        <v>0</v>
      </c>
      <c r="G55" s="224">
        <f t="shared" si="13"/>
        <v>0</v>
      </c>
      <c r="H55" s="225">
        <v>114574</v>
      </c>
      <c r="I55" s="225">
        <v>83</v>
      </c>
      <c r="J55" s="225">
        <f t="shared" si="14"/>
        <v>114974</v>
      </c>
      <c r="K55" s="225">
        <f t="shared" si="15"/>
        <v>52</v>
      </c>
    </row>
    <row r="56" spans="1:11" x14ac:dyDescent="0.3">
      <c r="A56" s="221" t="str">
        <f t="shared" si="11"/>
        <v>SRN18</v>
      </c>
      <c r="B56" s="146" t="s">
        <v>11</v>
      </c>
      <c r="C56" s="221">
        <v>2018</v>
      </c>
      <c r="D56" s="223">
        <v>0</v>
      </c>
      <c r="E56" s="223"/>
      <c r="F56" s="223">
        <f t="shared" si="12"/>
        <v>0</v>
      </c>
      <c r="G56" s="224">
        <f t="shared" si="13"/>
        <v>0</v>
      </c>
      <c r="H56" s="225">
        <v>139997</v>
      </c>
      <c r="I56" s="225">
        <v>41</v>
      </c>
      <c r="J56" s="225">
        <f t="shared" si="14"/>
        <v>123181.66666666667</v>
      </c>
      <c r="K56" s="225">
        <f t="shared" si="15"/>
        <v>53.333333333333336</v>
      </c>
    </row>
    <row r="57" spans="1:11" x14ac:dyDescent="0.3">
      <c r="A57" s="221" t="str">
        <f t="shared" si="11"/>
        <v>SRN19</v>
      </c>
      <c r="B57" s="146" t="s">
        <v>11</v>
      </c>
      <c r="C57" s="221">
        <v>2019</v>
      </c>
      <c r="D57" s="223">
        <v>0</v>
      </c>
      <c r="E57" s="223"/>
      <c r="F57" s="223">
        <f t="shared" si="12"/>
        <v>0</v>
      </c>
      <c r="G57" s="224">
        <f t="shared" si="13"/>
        <v>0</v>
      </c>
      <c r="H57" s="225">
        <v>139597</v>
      </c>
      <c r="I57" s="225">
        <v>47</v>
      </c>
      <c r="J57" s="225">
        <f t="shared" si="14"/>
        <v>131389.33333333334</v>
      </c>
      <c r="K57" s="225">
        <f t="shared" si="15"/>
        <v>57</v>
      </c>
    </row>
    <row r="58" spans="1:11" x14ac:dyDescent="0.3">
      <c r="A58" s="221" t="str">
        <f t="shared" si="11"/>
        <v>SRN20</v>
      </c>
      <c r="B58" s="146" t="s">
        <v>11</v>
      </c>
      <c r="C58" s="221">
        <v>2020</v>
      </c>
      <c r="D58" s="223">
        <v>0</v>
      </c>
      <c r="E58" s="223"/>
      <c r="F58" s="223">
        <f t="shared" si="12"/>
        <v>0</v>
      </c>
      <c r="G58" s="224">
        <f t="shared" si="13"/>
        <v>0</v>
      </c>
      <c r="H58" s="225">
        <v>139197</v>
      </c>
      <c r="I58" s="225">
        <v>47</v>
      </c>
      <c r="J58" s="225">
        <f t="shared" si="14"/>
        <v>139597</v>
      </c>
      <c r="K58" s="225">
        <f t="shared" si="15"/>
        <v>45</v>
      </c>
    </row>
    <row r="59" spans="1:11" x14ac:dyDescent="0.3">
      <c r="A59" s="221" t="str">
        <f t="shared" si="11"/>
        <v>SRN21</v>
      </c>
      <c r="B59" s="146" t="s">
        <v>11</v>
      </c>
      <c r="C59" s="221">
        <v>2021</v>
      </c>
      <c r="D59" s="223">
        <v>5.9539999999999997</v>
      </c>
      <c r="E59" s="223">
        <v>0</v>
      </c>
      <c r="F59" s="223">
        <f t="shared" si="12"/>
        <v>5.9539999999999997</v>
      </c>
      <c r="G59" s="224">
        <f t="shared" si="13"/>
        <v>1.9846666666666666</v>
      </c>
      <c r="H59" s="225">
        <v>134542</v>
      </c>
      <c r="I59" s="225">
        <v>4655</v>
      </c>
      <c r="J59" s="225">
        <f t="shared" si="14"/>
        <v>137778.66666666666</v>
      </c>
      <c r="K59" s="225">
        <f t="shared" si="15"/>
        <v>1583</v>
      </c>
    </row>
    <row r="60" spans="1:11" x14ac:dyDescent="0.3">
      <c r="A60" s="221" t="str">
        <f t="shared" si="11"/>
        <v>SRN22</v>
      </c>
      <c r="B60" s="146" t="s">
        <v>11</v>
      </c>
      <c r="C60" s="221">
        <v>2022</v>
      </c>
      <c r="D60" s="223">
        <v>5.9539999999999997</v>
      </c>
      <c r="E60" s="223">
        <v>0</v>
      </c>
      <c r="F60" s="223">
        <f t="shared" si="12"/>
        <v>5.9539999999999997</v>
      </c>
      <c r="G60" s="224">
        <f t="shared" si="13"/>
        <v>3.9693333333333332</v>
      </c>
      <c r="H60" s="225">
        <v>126774</v>
      </c>
      <c r="I60" s="225">
        <v>7768</v>
      </c>
      <c r="J60" s="225">
        <f t="shared" si="14"/>
        <v>133504.33333333334</v>
      </c>
      <c r="K60" s="225">
        <f t="shared" si="15"/>
        <v>4156.666666666667</v>
      </c>
    </row>
    <row r="61" spans="1:11" x14ac:dyDescent="0.3">
      <c r="A61" s="221" t="str">
        <f t="shared" si="11"/>
        <v>SRN23</v>
      </c>
      <c r="B61" s="146" t="s">
        <v>11</v>
      </c>
      <c r="C61" s="221">
        <v>2023</v>
      </c>
      <c r="D61" s="223">
        <v>3.97</v>
      </c>
      <c r="E61" s="223">
        <v>0</v>
      </c>
      <c r="F61" s="223">
        <f t="shared" si="12"/>
        <v>3.97</v>
      </c>
      <c r="G61" s="224">
        <f t="shared" si="13"/>
        <v>5.2926666666666664</v>
      </c>
      <c r="H61" s="225">
        <v>119361</v>
      </c>
      <c r="I61" s="225">
        <v>7413</v>
      </c>
      <c r="J61" s="225">
        <f t="shared" si="14"/>
        <v>126892.33333333333</v>
      </c>
      <c r="K61" s="225">
        <f t="shared" si="15"/>
        <v>6612</v>
      </c>
    </row>
    <row r="62" spans="1:11" x14ac:dyDescent="0.3">
      <c r="A62" s="221" t="str">
        <f t="shared" si="11"/>
        <v>SRN24</v>
      </c>
      <c r="B62" s="146" t="s">
        <v>11</v>
      </c>
      <c r="C62" s="221">
        <v>2024</v>
      </c>
      <c r="D62" s="223">
        <v>1.9850000000000001</v>
      </c>
      <c r="E62" s="223">
        <v>0</v>
      </c>
      <c r="F62" s="223">
        <f t="shared" si="12"/>
        <v>1.9850000000000001</v>
      </c>
      <c r="G62" s="224">
        <f t="shared" si="13"/>
        <v>3.9696666666666665</v>
      </c>
      <c r="H62" s="225">
        <v>115023</v>
      </c>
      <c r="I62" s="225">
        <v>4338</v>
      </c>
      <c r="J62" s="225">
        <f t="shared" si="14"/>
        <v>120386</v>
      </c>
      <c r="K62" s="225">
        <f t="shared" si="15"/>
        <v>6506.333333333333</v>
      </c>
    </row>
    <row r="63" spans="1:11" x14ac:dyDescent="0.3">
      <c r="A63" s="221" t="str">
        <f t="shared" si="11"/>
        <v>SRN25</v>
      </c>
      <c r="B63" s="146" t="s">
        <v>11</v>
      </c>
      <c r="C63" s="221">
        <v>2025</v>
      </c>
      <c r="D63" s="223">
        <v>1.9850000000000001</v>
      </c>
      <c r="E63" s="223">
        <v>0</v>
      </c>
      <c r="F63" s="223">
        <f t="shared" si="12"/>
        <v>1.9850000000000001</v>
      </c>
      <c r="G63" s="224">
        <f t="shared" si="13"/>
        <v>2.6466666666666669</v>
      </c>
      <c r="H63" s="225">
        <v>111278</v>
      </c>
      <c r="I63" s="225">
        <v>3745</v>
      </c>
      <c r="J63" s="225">
        <f t="shared" si="14"/>
        <v>115220.66666666667</v>
      </c>
      <c r="K63" s="225">
        <f t="shared" si="15"/>
        <v>5165.333333333333</v>
      </c>
    </row>
    <row r="64" spans="1:11" x14ac:dyDescent="0.3">
      <c r="A64" s="221" t="str">
        <f t="shared" si="11"/>
        <v>SVT12</v>
      </c>
      <c r="B64" s="146" t="s">
        <v>12</v>
      </c>
      <c r="C64" s="221">
        <v>2012</v>
      </c>
      <c r="D64" s="223">
        <v>2.7534880897552343</v>
      </c>
      <c r="E64" s="223"/>
      <c r="F64" s="223">
        <f t="shared" si="12"/>
        <v>2.7534880897552343</v>
      </c>
      <c r="G64" s="224"/>
      <c r="H64" s="225">
        <v>639594.4465660901</v>
      </c>
      <c r="I64" s="225">
        <v>735</v>
      </c>
      <c r="J64" s="225"/>
      <c r="K64" s="225"/>
    </row>
    <row r="65" spans="1:11" x14ac:dyDescent="0.3">
      <c r="A65" s="221" t="str">
        <f t="shared" si="11"/>
        <v>SVT13</v>
      </c>
      <c r="B65" s="146" t="s">
        <v>12</v>
      </c>
      <c r="C65" s="221">
        <v>2013</v>
      </c>
      <c r="D65" s="223">
        <v>1.8504116282243317</v>
      </c>
      <c r="E65" s="223"/>
      <c r="F65" s="223">
        <f t="shared" si="12"/>
        <v>1.8504116282243317</v>
      </c>
      <c r="G65" s="224"/>
      <c r="H65" s="225">
        <v>638800.4465660901</v>
      </c>
      <c r="I65" s="225">
        <v>794</v>
      </c>
      <c r="J65" s="225"/>
      <c r="K65" s="225"/>
    </row>
    <row r="66" spans="1:11" x14ac:dyDescent="0.3">
      <c r="A66" s="221" t="str">
        <f t="shared" si="11"/>
        <v>SVT14</v>
      </c>
      <c r="B66" s="146" t="s">
        <v>12</v>
      </c>
      <c r="C66" s="221">
        <v>2014</v>
      </c>
      <c r="D66" s="223">
        <v>1.8255273748505916</v>
      </c>
      <c r="E66" s="223"/>
      <c r="F66" s="223">
        <f t="shared" si="12"/>
        <v>1.8255273748505916</v>
      </c>
      <c r="G66" s="224">
        <f t="shared" ref="G66:G77" si="16">IF(OR(F64="",F65="",F66=""),"",AVERAGE(F64:F66))</f>
        <v>2.1431423642767191</v>
      </c>
      <c r="H66" s="225">
        <v>637177.4465660901</v>
      </c>
      <c r="I66" s="225">
        <v>1623</v>
      </c>
      <c r="J66" s="225">
        <f t="shared" ref="J66:J77" si="17">IFERROR(IF(OR(H64="",H65="",H66=""),"",AVERAGE(H64:H66)),"")</f>
        <v>638524.11323275685</v>
      </c>
      <c r="K66" s="225">
        <f t="shared" ref="K66:K77" si="18">IFERROR(IF(OR(I64="",I65="",I66=""),"",AVERAGE(I64:I66)),"")</f>
        <v>1050.6666666666667</v>
      </c>
    </row>
    <row r="67" spans="1:11" x14ac:dyDescent="0.3">
      <c r="A67" s="221" t="str">
        <f t="shared" si="11"/>
        <v>SVT15</v>
      </c>
      <c r="B67" s="146" t="s">
        <v>12</v>
      </c>
      <c r="C67" s="221">
        <v>2015</v>
      </c>
      <c r="D67" s="223">
        <v>2.6511125321451163</v>
      </c>
      <c r="E67" s="223"/>
      <c r="F67" s="223">
        <f t="shared" si="12"/>
        <v>2.6511125321451163</v>
      </c>
      <c r="G67" s="224">
        <f t="shared" si="16"/>
        <v>2.1090171784066798</v>
      </c>
      <c r="H67" s="225">
        <v>634949.4465660901</v>
      </c>
      <c r="I67" s="225">
        <v>2228</v>
      </c>
      <c r="J67" s="225">
        <f t="shared" si="17"/>
        <v>636975.77989942348</v>
      </c>
      <c r="K67" s="225">
        <f t="shared" si="18"/>
        <v>1548.3333333333333</v>
      </c>
    </row>
    <row r="68" spans="1:11" x14ac:dyDescent="0.3">
      <c r="A68" s="221" t="str">
        <f t="shared" si="11"/>
        <v>SVT16</v>
      </c>
      <c r="B68" s="146" t="s">
        <v>12</v>
      </c>
      <c r="C68" s="221">
        <v>2016</v>
      </c>
      <c r="D68" s="223">
        <v>2.6689177371048247</v>
      </c>
      <c r="E68" s="223"/>
      <c r="F68" s="223">
        <f t="shared" si="12"/>
        <v>2.6689177371048247</v>
      </c>
      <c r="G68" s="224">
        <f t="shared" si="16"/>
        <v>2.3818525480335109</v>
      </c>
      <c r="H68" s="225">
        <v>634130.4465660901</v>
      </c>
      <c r="I68" s="225">
        <v>819</v>
      </c>
      <c r="J68" s="225">
        <f t="shared" si="17"/>
        <v>635419.11323275685</v>
      </c>
      <c r="K68" s="225">
        <f t="shared" si="18"/>
        <v>1556.6666666666667</v>
      </c>
    </row>
    <row r="69" spans="1:11" x14ac:dyDescent="0.3">
      <c r="A69" s="221" t="str">
        <f t="shared" si="11"/>
        <v>SVT17</v>
      </c>
      <c r="B69" s="146" t="s">
        <v>12</v>
      </c>
      <c r="C69" s="221">
        <v>2017</v>
      </c>
      <c r="D69" s="223">
        <v>2.3112237505129256</v>
      </c>
      <c r="E69" s="223"/>
      <c r="F69" s="223">
        <f t="shared" si="12"/>
        <v>2.3112237505129256</v>
      </c>
      <c r="G69" s="224">
        <f t="shared" si="16"/>
        <v>2.5437513399209553</v>
      </c>
      <c r="H69" s="225">
        <v>633049.4465660901</v>
      </c>
      <c r="I69" s="225">
        <v>1078</v>
      </c>
      <c r="J69" s="225">
        <f t="shared" si="17"/>
        <v>634043.11323275685</v>
      </c>
      <c r="K69" s="225">
        <f t="shared" si="18"/>
        <v>1375</v>
      </c>
    </row>
    <row r="70" spans="1:11" x14ac:dyDescent="0.3">
      <c r="A70" s="221" t="str">
        <f t="shared" si="11"/>
        <v>SVT18</v>
      </c>
      <c r="B70" s="146" t="s">
        <v>12</v>
      </c>
      <c r="C70" s="221">
        <v>2018</v>
      </c>
      <c r="D70" s="223">
        <v>2.3840000000000003</v>
      </c>
      <c r="E70" s="223"/>
      <c r="F70" s="223">
        <f t="shared" si="12"/>
        <v>2.3840000000000003</v>
      </c>
      <c r="G70" s="224">
        <f t="shared" si="16"/>
        <v>2.4547138292059167</v>
      </c>
      <c r="H70" s="225">
        <v>630263</v>
      </c>
      <c r="I70" s="225">
        <v>887</v>
      </c>
      <c r="J70" s="225">
        <f t="shared" si="17"/>
        <v>632480.96437739336</v>
      </c>
      <c r="K70" s="225">
        <f t="shared" si="18"/>
        <v>928</v>
      </c>
    </row>
    <row r="71" spans="1:11" x14ac:dyDescent="0.3">
      <c r="A71" s="221" t="str">
        <f t="shared" si="11"/>
        <v>SVT19</v>
      </c>
      <c r="B71" s="146" t="s">
        <v>12</v>
      </c>
      <c r="C71" s="221">
        <v>2019</v>
      </c>
      <c r="D71" s="223">
        <v>0</v>
      </c>
      <c r="E71" s="223"/>
      <c r="F71" s="223">
        <f t="shared" si="12"/>
        <v>0</v>
      </c>
      <c r="G71" s="224">
        <f t="shared" si="16"/>
        <v>1.5650745835043087</v>
      </c>
      <c r="H71" s="225">
        <v>0</v>
      </c>
      <c r="I71" s="225">
        <v>0</v>
      </c>
      <c r="J71" s="225">
        <f t="shared" si="17"/>
        <v>421104.14885536331</v>
      </c>
      <c r="K71" s="225">
        <f t="shared" si="18"/>
        <v>655</v>
      </c>
    </row>
    <row r="72" spans="1:11" x14ac:dyDescent="0.3">
      <c r="A72" s="221" t="str">
        <f t="shared" si="11"/>
        <v>SVT20</v>
      </c>
      <c r="B72" s="146" t="s">
        <v>12</v>
      </c>
      <c r="C72" s="221">
        <v>2020</v>
      </c>
      <c r="D72" s="223">
        <v>0</v>
      </c>
      <c r="E72" s="223"/>
      <c r="F72" s="223">
        <f t="shared" si="12"/>
        <v>0</v>
      </c>
      <c r="G72" s="224">
        <f t="shared" si="16"/>
        <v>0.79466666666666674</v>
      </c>
      <c r="H72" s="225">
        <v>0</v>
      </c>
      <c r="I72" s="225">
        <v>0</v>
      </c>
      <c r="J72" s="225">
        <f t="shared" si="17"/>
        <v>210087.66666666666</v>
      </c>
      <c r="K72" s="225">
        <f t="shared" si="18"/>
        <v>295.66666666666669</v>
      </c>
    </row>
    <row r="73" spans="1:11" x14ac:dyDescent="0.3">
      <c r="A73" s="221" t="str">
        <f t="shared" si="11"/>
        <v>SVT21</v>
      </c>
      <c r="B73" s="146" t="s">
        <v>12</v>
      </c>
      <c r="C73" s="221">
        <v>2021</v>
      </c>
      <c r="D73" s="223">
        <v>0</v>
      </c>
      <c r="E73" s="223">
        <v>0</v>
      </c>
      <c r="F73" s="223">
        <f t="shared" si="12"/>
        <v>0</v>
      </c>
      <c r="G73" s="224">
        <f t="shared" si="16"/>
        <v>0</v>
      </c>
      <c r="H73" s="225">
        <v>0</v>
      </c>
      <c r="I73" s="225">
        <v>0</v>
      </c>
      <c r="J73" s="225">
        <f t="shared" si="17"/>
        <v>0</v>
      </c>
      <c r="K73" s="225">
        <f t="shared" si="18"/>
        <v>0</v>
      </c>
    </row>
    <row r="74" spans="1:11" x14ac:dyDescent="0.3">
      <c r="A74" s="221" t="str">
        <f t="shared" si="11"/>
        <v>SVT22</v>
      </c>
      <c r="B74" s="146" t="s">
        <v>12</v>
      </c>
      <c r="C74" s="221">
        <v>2022</v>
      </c>
      <c r="D74" s="223">
        <v>0</v>
      </c>
      <c r="E74" s="223">
        <v>0</v>
      </c>
      <c r="F74" s="223">
        <f t="shared" si="12"/>
        <v>0</v>
      </c>
      <c r="G74" s="224">
        <f t="shared" si="16"/>
        <v>0</v>
      </c>
      <c r="H74" s="225">
        <v>0</v>
      </c>
      <c r="I74" s="225">
        <v>0</v>
      </c>
      <c r="J74" s="225">
        <f t="shared" si="17"/>
        <v>0</v>
      </c>
      <c r="K74" s="225">
        <f t="shared" si="18"/>
        <v>0</v>
      </c>
    </row>
    <row r="75" spans="1:11" x14ac:dyDescent="0.3">
      <c r="A75" s="221" t="str">
        <f t="shared" si="11"/>
        <v>SVT23</v>
      </c>
      <c r="B75" s="146" t="s">
        <v>12</v>
      </c>
      <c r="C75" s="221">
        <v>2023</v>
      </c>
      <c r="D75" s="223">
        <v>0</v>
      </c>
      <c r="E75" s="223">
        <v>0</v>
      </c>
      <c r="F75" s="223">
        <f t="shared" si="12"/>
        <v>0</v>
      </c>
      <c r="G75" s="224">
        <f t="shared" si="16"/>
        <v>0</v>
      </c>
      <c r="H75" s="225">
        <v>0</v>
      </c>
      <c r="I75" s="225">
        <v>0</v>
      </c>
      <c r="J75" s="225">
        <f t="shared" si="17"/>
        <v>0</v>
      </c>
      <c r="K75" s="225">
        <f t="shared" si="18"/>
        <v>0</v>
      </c>
    </row>
    <row r="76" spans="1:11" x14ac:dyDescent="0.3">
      <c r="A76" s="221" t="str">
        <f t="shared" si="11"/>
        <v>SVT24</v>
      </c>
      <c r="B76" s="146" t="s">
        <v>12</v>
      </c>
      <c r="C76" s="221">
        <v>2024</v>
      </c>
      <c r="D76" s="223">
        <v>0</v>
      </c>
      <c r="E76" s="223">
        <v>0</v>
      </c>
      <c r="F76" s="223">
        <f t="shared" si="12"/>
        <v>0</v>
      </c>
      <c r="G76" s="224">
        <f t="shared" si="16"/>
        <v>0</v>
      </c>
      <c r="H76" s="225">
        <v>0</v>
      </c>
      <c r="I76" s="225">
        <v>0</v>
      </c>
      <c r="J76" s="225">
        <f t="shared" si="17"/>
        <v>0</v>
      </c>
      <c r="K76" s="225">
        <f t="shared" si="18"/>
        <v>0</v>
      </c>
    </row>
    <row r="77" spans="1:11" x14ac:dyDescent="0.3">
      <c r="A77" s="221" t="str">
        <f t="shared" si="11"/>
        <v>SVT25</v>
      </c>
      <c r="B77" s="146" t="s">
        <v>12</v>
      </c>
      <c r="C77" s="221">
        <v>2025</v>
      </c>
      <c r="D77" s="223">
        <v>0</v>
      </c>
      <c r="E77" s="223">
        <v>0</v>
      </c>
      <c r="F77" s="223">
        <f t="shared" si="12"/>
        <v>0</v>
      </c>
      <c r="G77" s="224">
        <f t="shared" si="16"/>
        <v>0</v>
      </c>
      <c r="H77" s="225">
        <v>0</v>
      </c>
      <c r="I77" s="225">
        <v>0</v>
      </c>
      <c r="J77" s="225">
        <f t="shared" si="17"/>
        <v>0</v>
      </c>
      <c r="K77" s="225">
        <f t="shared" si="18"/>
        <v>0</v>
      </c>
    </row>
    <row r="78" spans="1:11" x14ac:dyDescent="0.3">
      <c r="A78" s="221" t="str">
        <f t="shared" ref="A78:A112" si="19">(B78&amp;RIGHT(C78,2))</f>
        <v>SWT12</v>
      </c>
      <c r="B78" s="146" t="s">
        <v>13</v>
      </c>
      <c r="C78" s="221">
        <v>2012</v>
      </c>
      <c r="D78" s="223">
        <v>8.287973844658475E-2</v>
      </c>
      <c r="E78" s="223"/>
      <c r="F78" s="223">
        <f t="shared" ref="F78:F112" si="20">D78+E78</f>
        <v>8.287973844658475E-2</v>
      </c>
      <c r="G78" s="224"/>
      <c r="H78" s="225">
        <v>71955</v>
      </c>
      <c r="I78" s="225">
        <v>0</v>
      </c>
      <c r="J78" s="225"/>
      <c r="K78" s="225"/>
    </row>
    <row r="79" spans="1:11" x14ac:dyDescent="0.3">
      <c r="A79" s="221" t="str">
        <f t="shared" si="19"/>
        <v>SWT13</v>
      </c>
      <c r="B79" s="146" t="s">
        <v>13</v>
      </c>
      <c r="C79" s="221">
        <v>2013</v>
      </c>
      <c r="D79" s="223">
        <v>0.10250819672131148</v>
      </c>
      <c r="E79" s="223"/>
      <c r="F79" s="223">
        <f t="shared" si="20"/>
        <v>0.10250819672131148</v>
      </c>
      <c r="G79" s="224"/>
      <c r="H79" s="225">
        <v>71618</v>
      </c>
      <c r="I79" s="225">
        <v>76</v>
      </c>
      <c r="J79" s="225"/>
      <c r="K79" s="225"/>
    </row>
    <row r="80" spans="1:11" x14ac:dyDescent="0.3">
      <c r="A80" s="221" t="str">
        <f t="shared" si="19"/>
        <v>SWT14</v>
      </c>
      <c r="B80" s="146" t="s">
        <v>13</v>
      </c>
      <c r="C80" s="221">
        <v>2014</v>
      </c>
      <c r="D80" s="223">
        <v>0.11098123732251518</v>
      </c>
      <c r="E80" s="223"/>
      <c r="F80" s="223">
        <f t="shared" si="20"/>
        <v>0.11098123732251518</v>
      </c>
      <c r="G80" s="224">
        <f t="shared" ref="G80:G91" si="21">IF(OR(F78="",F79="",F80=""),"",AVERAGE(F78:F80))</f>
        <v>9.8789724163470469E-2</v>
      </c>
      <c r="H80" s="225">
        <v>71294</v>
      </c>
      <c r="I80" s="225">
        <v>11</v>
      </c>
      <c r="J80" s="225">
        <f t="shared" ref="J80:J91" si="22">IFERROR(IF(OR(H78="",H79="",H80=""),"",AVERAGE(H78:H80)),"")</f>
        <v>71622.333333333328</v>
      </c>
      <c r="K80" s="225">
        <f t="shared" ref="K80:K91" si="23">IFERROR(IF(OR(I78="",I79="",I80=""),"",AVERAGE(I78:I80)),"")</f>
        <v>29</v>
      </c>
    </row>
    <row r="81" spans="1:11" x14ac:dyDescent="0.3">
      <c r="A81" s="221" t="str">
        <f t="shared" si="19"/>
        <v>SWT15</v>
      </c>
      <c r="B81" s="146" t="s">
        <v>13</v>
      </c>
      <c r="C81" s="221">
        <v>2015</v>
      </c>
      <c r="D81" s="223">
        <v>6.374747221525863E-2</v>
      </c>
      <c r="E81" s="223"/>
      <c r="F81" s="223">
        <f t="shared" si="20"/>
        <v>6.374747221525863E-2</v>
      </c>
      <c r="G81" s="224">
        <f t="shared" si="21"/>
        <v>9.2412302086361753E-2</v>
      </c>
      <c r="H81" s="225">
        <v>70130</v>
      </c>
      <c r="I81" s="225">
        <v>31</v>
      </c>
      <c r="J81" s="225">
        <f t="shared" si="22"/>
        <v>71014</v>
      </c>
      <c r="K81" s="225">
        <f t="shared" si="23"/>
        <v>39.333333333333336</v>
      </c>
    </row>
    <row r="82" spans="1:11" x14ac:dyDescent="0.3">
      <c r="A82" s="221" t="str">
        <f t="shared" si="19"/>
        <v>SWT16</v>
      </c>
      <c r="B82" s="146" t="s">
        <v>13</v>
      </c>
      <c r="C82" s="221">
        <v>2016</v>
      </c>
      <c r="D82" s="223">
        <v>1.0404326123128118E-3</v>
      </c>
      <c r="E82" s="223"/>
      <c r="F82" s="223">
        <f t="shared" si="20"/>
        <v>1.0404326123128118E-3</v>
      </c>
      <c r="G82" s="224">
        <f t="shared" si="21"/>
        <v>5.8589714050028878E-2</v>
      </c>
      <c r="H82" s="225">
        <v>69696</v>
      </c>
      <c r="I82" s="225">
        <v>150</v>
      </c>
      <c r="J82" s="225">
        <f t="shared" si="22"/>
        <v>70373.333333333328</v>
      </c>
      <c r="K82" s="225">
        <f t="shared" si="23"/>
        <v>64</v>
      </c>
    </row>
    <row r="83" spans="1:11" x14ac:dyDescent="0.3">
      <c r="A83" s="221" t="str">
        <f t="shared" si="19"/>
        <v>SWT17</v>
      </c>
      <c r="B83" s="146" t="s">
        <v>13</v>
      </c>
      <c r="C83" s="221">
        <v>2017</v>
      </c>
      <c r="D83" s="223">
        <v>0</v>
      </c>
      <c r="E83" s="223"/>
      <c r="F83" s="223">
        <f t="shared" si="20"/>
        <v>0</v>
      </c>
      <c r="G83" s="224">
        <f t="shared" si="21"/>
        <v>2.1595968275857146E-2</v>
      </c>
      <c r="H83" s="225">
        <v>0</v>
      </c>
      <c r="I83" s="225">
        <v>0</v>
      </c>
      <c r="J83" s="225">
        <f t="shared" si="22"/>
        <v>46608.666666666664</v>
      </c>
      <c r="K83" s="225">
        <f t="shared" si="23"/>
        <v>60.333333333333336</v>
      </c>
    </row>
    <row r="84" spans="1:11" x14ac:dyDescent="0.3">
      <c r="A84" s="221" t="str">
        <f t="shared" si="19"/>
        <v>SWT18</v>
      </c>
      <c r="B84" s="146" t="s">
        <v>13</v>
      </c>
      <c r="C84" s="221">
        <v>2018</v>
      </c>
      <c r="D84" s="223">
        <v>0</v>
      </c>
      <c r="E84" s="223"/>
      <c r="F84" s="223">
        <f t="shared" si="20"/>
        <v>0</v>
      </c>
      <c r="G84" s="224">
        <f t="shared" si="21"/>
        <v>3.4681087077093726E-4</v>
      </c>
      <c r="H84" s="225">
        <v>0</v>
      </c>
      <c r="I84" s="225">
        <v>0</v>
      </c>
      <c r="J84" s="225">
        <f t="shared" si="22"/>
        <v>23232</v>
      </c>
      <c r="K84" s="225">
        <f t="shared" si="23"/>
        <v>50</v>
      </c>
    </row>
    <row r="85" spans="1:11" x14ac:dyDescent="0.3">
      <c r="A85" s="221" t="str">
        <f t="shared" si="19"/>
        <v>SWT19</v>
      </c>
      <c r="B85" s="146" t="s">
        <v>13</v>
      </c>
      <c r="C85" s="221">
        <v>2019</v>
      </c>
      <c r="D85" s="223">
        <v>0</v>
      </c>
      <c r="E85" s="223"/>
      <c r="F85" s="223">
        <f t="shared" si="20"/>
        <v>0</v>
      </c>
      <c r="G85" s="224">
        <f t="shared" si="21"/>
        <v>0</v>
      </c>
      <c r="H85" s="225">
        <v>0</v>
      </c>
      <c r="I85" s="225">
        <v>0</v>
      </c>
      <c r="J85" s="225">
        <f t="shared" si="22"/>
        <v>0</v>
      </c>
      <c r="K85" s="225">
        <f t="shared" si="23"/>
        <v>0</v>
      </c>
    </row>
    <row r="86" spans="1:11" x14ac:dyDescent="0.3">
      <c r="A86" s="221" t="str">
        <f t="shared" si="19"/>
        <v>SWT20</v>
      </c>
      <c r="B86" s="146" t="s">
        <v>13</v>
      </c>
      <c r="C86" s="221">
        <v>2020</v>
      </c>
      <c r="D86" s="223">
        <v>0</v>
      </c>
      <c r="E86" s="223"/>
      <c r="F86" s="223">
        <f t="shared" si="20"/>
        <v>0</v>
      </c>
      <c r="G86" s="224">
        <f t="shared" si="21"/>
        <v>0</v>
      </c>
      <c r="H86" s="225">
        <v>0</v>
      </c>
      <c r="I86" s="225">
        <v>0</v>
      </c>
      <c r="J86" s="225">
        <f t="shared" si="22"/>
        <v>0</v>
      </c>
      <c r="K86" s="225">
        <f t="shared" si="23"/>
        <v>0</v>
      </c>
    </row>
    <row r="87" spans="1:11" x14ac:dyDescent="0.3">
      <c r="A87" s="221" t="str">
        <f t="shared" si="19"/>
        <v>SWT21</v>
      </c>
      <c r="B87" s="146" t="s">
        <v>13</v>
      </c>
      <c r="C87" s="221">
        <v>2021</v>
      </c>
      <c r="D87" s="223">
        <v>0</v>
      </c>
      <c r="E87" s="223"/>
      <c r="F87" s="223">
        <f t="shared" si="20"/>
        <v>0</v>
      </c>
      <c r="G87" s="224">
        <f t="shared" si="21"/>
        <v>0</v>
      </c>
      <c r="H87" s="225">
        <v>0</v>
      </c>
      <c r="I87" s="225">
        <v>0</v>
      </c>
      <c r="J87" s="225">
        <f t="shared" si="22"/>
        <v>0</v>
      </c>
      <c r="K87" s="225">
        <f t="shared" si="23"/>
        <v>0</v>
      </c>
    </row>
    <row r="88" spans="1:11" x14ac:dyDescent="0.3">
      <c r="A88" s="221" t="str">
        <f t="shared" si="19"/>
        <v>SWT22</v>
      </c>
      <c r="B88" s="146" t="s">
        <v>13</v>
      </c>
      <c r="C88" s="221">
        <v>2022</v>
      </c>
      <c r="D88" s="223">
        <v>0</v>
      </c>
      <c r="E88" s="223"/>
      <c r="F88" s="223">
        <f t="shared" si="20"/>
        <v>0</v>
      </c>
      <c r="G88" s="224">
        <f t="shared" si="21"/>
        <v>0</v>
      </c>
      <c r="H88" s="225">
        <v>0</v>
      </c>
      <c r="I88" s="225">
        <v>0</v>
      </c>
      <c r="J88" s="225">
        <f t="shared" si="22"/>
        <v>0</v>
      </c>
      <c r="K88" s="225">
        <f t="shared" si="23"/>
        <v>0</v>
      </c>
    </row>
    <row r="89" spans="1:11" x14ac:dyDescent="0.3">
      <c r="A89" s="221" t="str">
        <f t="shared" si="19"/>
        <v>SWT23</v>
      </c>
      <c r="B89" s="146" t="s">
        <v>13</v>
      </c>
      <c r="C89" s="221">
        <v>2023</v>
      </c>
      <c r="D89" s="223">
        <v>0</v>
      </c>
      <c r="E89" s="223"/>
      <c r="F89" s="223">
        <f t="shared" si="20"/>
        <v>0</v>
      </c>
      <c r="G89" s="224">
        <f t="shared" si="21"/>
        <v>0</v>
      </c>
      <c r="H89" s="225">
        <v>0</v>
      </c>
      <c r="I89" s="225">
        <v>0</v>
      </c>
      <c r="J89" s="225">
        <f t="shared" si="22"/>
        <v>0</v>
      </c>
      <c r="K89" s="225">
        <f t="shared" si="23"/>
        <v>0</v>
      </c>
    </row>
    <row r="90" spans="1:11" x14ac:dyDescent="0.3">
      <c r="A90" s="221" t="str">
        <f t="shared" si="19"/>
        <v>SWT24</v>
      </c>
      <c r="B90" s="146" t="s">
        <v>13</v>
      </c>
      <c r="C90" s="221">
        <v>2024</v>
      </c>
      <c r="D90" s="223">
        <v>0</v>
      </c>
      <c r="E90" s="223"/>
      <c r="F90" s="223">
        <f t="shared" si="20"/>
        <v>0</v>
      </c>
      <c r="G90" s="224">
        <f t="shared" si="21"/>
        <v>0</v>
      </c>
      <c r="H90" s="225">
        <v>0</v>
      </c>
      <c r="I90" s="225">
        <v>0</v>
      </c>
      <c r="J90" s="225">
        <f t="shared" si="22"/>
        <v>0</v>
      </c>
      <c r="K90" s="225">
        <f t="shared" si="23"/>
        <v>0</v>
      </c>
    </row>
    <row r="91" spans="1:11" x14ac:dyDescent="0.3">
      <c r="A91" s="221" t="str">
        <f t="shared" si="19"/>
        <v>SWT25</v>
      </c>
      <c r="B91" s="146" t="s">
        <v>13</v>
      </c>
      <c r="C91" s="221">
        <v>2025</v>
      </c>
      <c r="D91" s="223">
        <v>0</v>
      </c>
      <c r="E91" s="223"/>
      <c r="F91" s="223">
        <f t="shared" si="20"/>
        <v>0</v>
      </c>
      <c r="G91" s="224">
        <f t="shared" si="21"/>
        <v>0</v>
      </c>
      <c r="H91" s="225">
        <v>0</v>
      </c>
      <c r="I91" s="225">
        <v>0</v>
      </c>
      <c r="J91" s="225">
        <f t="shared" si="22"/>
        <v>0</v>
      </c>
      <c r="K91" s="225">
        <f t="shared" si="23"/>
        <v>0</v>
      </c>
    </row>
    <row r="92" spans="1:11" x14ac:dyDescent="0.3">
      <c r="A92" s="221" t="str">
        <f t="shared" si="19"/>
        <v>SWB12</v>
      </c>
      <c r="B92" s="146" t="s">
        <v>14</v>
      </c>
      <c r="C92" s="221">
        <v>2012</v>
      </c>
      <c r="D92" s="223">
        <v>8.287973844658475E-2</v>
      </c>
      <c r="E92" s="223"/>
      <c r="F92" s="223">
        <f t="shared" si="20"/>
        <v>8.287973844658475E-2</v>
      </c>
      <c r="G92" s="224"/>
      <c r="H92" s="225">
        <v>71955</v>
      </c>
      <c r="I92" s="225">
        <v>0</v>
      </c>
      <c r="J92" s="225"/>
      <c r="K92" s="225"/>
    </row>
    <row r="93" spans="1:11" x14ac:dyDescent="0.3">
      <c r="A93" s="221" t="str">
        <f t="shared" si="19"/>
        <v>SWB13</v>
      </c>
      <c r="B93" s="146" t="s">
        <v>14</v>
      </c>
      <c r="C93" s="221">
        <v>2013</v>
      </c>
      <c r="D93" s="223">
        <v>0.10250819672131148</v>
      </c>
      <c r="E93" s="223"/>
      <c r="F93" s="223">
        <f t="shared" si="20"/>
        <v>0.10250819672131148</v>
      </c>
      <c r="G93" s="224"/>
      <c r="H93" s="225">
        <v>71618</v>
      </c>
      <c r="I93" s="225">
        <v>76</v>
      </c>
      <c r="J93" s="225"/>
      <c r="K93" s="225"/>
    </row>
    <row r="94" spans="1:11" x14ac:dyDescent="0.3">
      <c r="A94" s="221" t="str">
        <f t="shared" si="19"/>
        <v>SWB14</v>
      </c>
      <c r="B94" s="146" t="s">
        <v>14</v>
      </c>
      <c r="C94" s="221">
        <v>2014</v>
      </c>
      <c r="D94" s="223">
        <v>0.11098123732251518</v>
      </c>
      <c r="E94" s="223"/>
      <c r="F94" s="223">
        <f t="shared" si="20"/>
        <v>0.11098123732251518</v>
      </c>
      <c r="G94" s="224">
        <f t="shared" ref="G94:G105" si="24">IF(OR(F92="",F93="",F94=""),"",AVERAGE(F92:F94))</f>
        <v>9.8789724163470469E-2</v>
      </c>
      <c r="H94" s="225">
        <v>71294</v>
      </c>
      <c r="I94" s="225">
        <v>11</v>
      </c>
      <c r="J94" s="225">
        <f t="shared" ref="J94:J105" si="25">IFERROR(IF(OR(H92="",H93="",H94=""),"",AVERAGE(H92:H94)),"")</f>
        <v>71622.333333333328</v>
      </c>
      <c r="K94" s="225">
        <f t="shared" ref="K94:K105" si="26">IFERROR(IF(OR(I92="",I93="",I94=""),"",AVERAGE(I92:I94)),"")</f>
        <v>29</v>
      </c>
    </row>
    <row r="95" spans="1:11" x14ac:dyDescent="0.3">
      <c r="A95" s="221" t="str">
        <f t="shared" si="19"/>
        <v>SWB15</v>
      </c>
      <c r="B95" s="146" t="s">
        <v>14</v>
      </c>
      <c r="C95" s="221">
        <v>2015</v>
      </c>
      <c r="D95" s="223">
        <v>6.374747221525863E-2</v>
      </c>
      <c r="E95" s="223"/>
      <c r="F95" s="223">
        <f t="shared" si="20"/>
        <v>6.374747221525863E-2</v>
      </c>
      <c r="G95" s="224">
        <f t="shared" si="24"/>
        <v>9.2412302086361753E-2</v>
      </c>
      <c r="H95" s="225">
        <v>70130</v>
      </c>
      <c r="I95" s="225">
        <v>31</v>
      </c>
      <c r="J95" s="225">
        <f t="shared" si="25"/>
        <v>71014</v>
      </c>
      <c r="K95" s="225">
        <f t="shared" si="26"/>
        <v>39.333333333333336</v>
      </c>
    </row>
    <row r="96" spans="1:11" x14ac:dyDescent="0.3">
      <c r="A96" s="221" t="str">
        <f t="shared" si="19"/>
        <v>SWB16</v>
      </c>
      <c r="B96" s="146" t="s">
        <v>14</v>
      </c>
      <c r="C96" s="221">
        <v>2016</v>
      </c>
      <c r="D96" s="223">
        <v>1.0404326123128118E-3</v>
      </c>
      <c r="E96" s="223"/>
      <c r="F96" s="223">
        <f t="shared" si="20"/>
        <v>1.0404326123128118E-3</v>
      </c>
      <c r="G96" s="224">
        <f t="shared" si="24"/>
        <v>5.8589714050028878E-2</v>
      </c>
      <c r="H96" s="225">
        <v>69696</v>
      </c>
      <c r="I96" s="225">
        <v>150</v>
      </c>
      <c r="J96" s="225">
        <f t="shared" si="25"/>
        <v>70373.333333333328</v>
      </c>
      <c r="K96" s="225">
        <f t="shared" si="26"/>
        <v>64</v>
      </c>
    </row>
    <row r="97" spans="1:11" x14ac:dyDescent="0.3">
      <c r="A97" s="221" t="str">
        <f t="shared" si="19"/>
        <v>SWB17</v>
      </c>
      <c r="B97" s="146" t="s">
        <v>14</v>
      </c>
      <c r="C97" s="221">
        <v>2017</v>
      </c>
      <c r="D97" s="223">
        <v>5.1317193270414441E-3</v>
      </c>
      <c r="E97" s="223"/>
      <c r="F97" s="223">
        <f t="shared" si="20"/>
        <v>5.1317193270414441E-3</v>
      </c>
      <c r="G97" s="224">
        <f t="shared" si="24"/>
        <v>2.3306541384870958E-2</v>
      </c>
      <c r="H97" s="225">
        <v>69455</v>
      </c>
      <c r="I97" s="225" t="s">
        <v>229</v>
      </c>
      <c r="J97" s="225">
        <f t="shared" si="25"/>
        <v>69760.333333333328</v>
      </c>
      <c r="K97" s="225" t="str">
        <f t="shared" si="26"/>
        <v/>
      </c>
    </row>
    <row r="98" spans="1:11" x14ac:dyDescent="0.3">
      <c r="A98" s="221" t="str">
        <f t="shared" si="19"/>
        <v>SWB18</v>
      </c>
      <c r="B98" s="146" t="s">
        <v>14</v>
      </c>
      <c r="C98" s="221">
        <v>2018</v>
      </c>
      <c r="D98" s="223">
        <v>0</v>
      </c>
      <c r="E98" s="223"/>
      <c r="F98" s="223">
        <f t="shared" si="20"/>
        <v>0</v>
      </c>
      <c r="G98" s="224">
        <f t="shared" si="24"/>
        <v>2.0573839797847519E-3</v>
      </c>
      <c r="H98" s="225">
        <v>81048</v>
      </c>
      <c r="I98" s="225">
        <v>189</v>
      </c>
      <c r="J98" s="225">
        <f t="shared" si="25"/>
        <v>73399.666666666672</v>
      </c>
      <c r="K98" s="225" t="str">
        <f t="shared" si="26"/>
        <v/>
      </c>
    </row>
    <row r="99" spans="1:11" x14ac:dyDescent="0.3">
      <c r="A99" s="221" t="str">
        <f t="shared" si="19"/>
        <v>SWB19</v>
      </c>
      <c r="B99" s="146" t="s">
        <v>14</v>
      </c>
      <c r="C99" s="221">
        <v>2019</v>
      </c>
      <c r="D99" s="223">
        <v>0.16222520903336721</v>
      </c>
      <c r="E99" s="223"/>
      <c r="F99" s="223">
        <f t="shared" si="20"/>
        <v>0.16222520903336721</v>
      </c>
      <c r="G99" s="224">
        <f t="shared" si="24"/>
        <v>5.578564278680289E-2</v>
      </c>
      <c r="H99" s="225">
        <v>80798</v>
      </c>
      <c r="I99" s="225">
        <v>150</v>
      </c>
      <c r="J99" s="225">
        <f t="shared" si="25"/>
        <v>77100.333333333328</v>
      </c>
      <c r="K99" s="225" t="str">
        <f t="shared" si="26"/>
        <v/>
      </c>
    </row>
    <row r="100" spans="1:11" x14ac:dyDescent="0.3">
      <c r="A100" s="221" t="str">
        <f t="shared" si="19"/>
        <v>SWB20</v>
      </c>
      <c r="B100" s="146" t="s">
        <v>14</v>
      </c>
      <c r="C100" s="221">
        <v>2020</v>
      </c>
      <c r="D100" s="223">
        <v>3.7374252873563336E-2</v>
      </c>
      <c r="E100" s="223"/>
      <c r="F100" s="223">
        <f t="shared" si="20"/>
        <v>3.7374252873563336E-2</v>
      </c>
      <c r="G100" s="224">
        <f t="shared" si="24"/>
        <v>6.6533153968976841E-2</v>
      </c>
      <c r="H100" s="225">
        <v>80548</v>
      </c>
      <c r="I100" s="225">
        <v>150</v>
      </c>
      <c r="J100" s="225">
        <f t="shared" si="25"/>
        <v>80798</v>
      </c>
      <c r="K100" s="225">
        <f t="shared" si="26"/>
        <v>163</v>
      </c>
    </row>
    <row r="101" spans="1:11" x14ac:dyDescent="0.3">
      <c r="A101" s="221" t="str">
        <f t="shared" si="19"/>
        <v>SWB21</v>
      </c>
      <c r="B101" s="146" t="s">
        <v>14</v>
      </c>
      <c r="C101" s="221">
        <v>2021</v>
      </c>
      <c r="D101" s="223">
        <v>0.8</v>
      </c>
      <c r="E101" s="223">
        <v>0</v>
      </c>
      <c r="F101" s="223">
        <f t="shared" si="20"/>
        <v>0.8</v>
      </c>
      <c r="G101" s="224">
        <f t="shared" si="24"/>
        <v>0.33319982063564352</v>
      </c>
      <c r="H101" s="225">
        <v>79948</v>
      </c>
      <c r="I101" s="225">
        <v>500</v>
      </c>
      <c r="J101" s="225">
        <f t="shared" si="25"/>
        <v>80431.333333333328</v>
      </c>
      <c r="K101" s="225">
        <f t="shared" si="26"/>
        <v>266.66666666666669</v>
      </c>
    </row>
    <row r="102" spans="1:11" x14ac:dyDescent="0.3">
      <c r="A102" s="221" t="str">
        <f t="shared" si="19"/>
        <v>SWB22</v>
      </c>
      <c r="B102" s="146" t="s">
        <v>14</v>
      </c>
      <c r="C102" s="221">
        <v>2022</v>
      </c>
      <c r="D102" s="223">
        <v>0.8</v>
      </c>
      <c r="E102" s="223">
        <v>0</v>
      </c>
      <c r="F102" s="223">
        <f t="shared" si="20"/>
        <v>0.8</v>
      </c>
      <c r="G102" s="224">
        <f t="shared" si="24"/>
        <v>0.5457914176245211</v>
      </c>
      <c r="H102" s="225">
        <v>79348</v>
      </c>
      <c r="I102" s="225">
        <v>500</v>
      </c>
      <c r="J102" s="225">
        <f t="shared" si="25"/>
        <v>79948</v>
      </c>
      <c r="K102" s="225">
        <f t="shared" si="26"/>
        <v>383.33333333333331</v>
      </c>
    </row>
    <row r="103" spans="1:11" x14ac:dyDescent="0.3">
      <c r="A103" s="221" t="str">
        <f t="shared" si="19"/>
        <v>SWB23</v>
      </c>
      <c r="B103" s="146" t="s">
        <v>14</v>
      </c>
      <c r="C103" s="221">
        <v>2023</v>
      </c>
      <c r="D103" s="223">
        <v>0.8</v>
      </c>
      <c r="E103" s="223">
        <v>0</v>
      </c>
      <c r="F103" s="223">
        <f t="shared" si="20"/>
        <v>0.8</v>
      </c>
      <c r="G103" s="224">
        <f t="shared" si="24"/>
        <v>0.80000000000000016</v>
      </c>
      <c r="H103" s="225">
        <v>78748</v>
      </c>
      <c r="I103" s="225">
        <v>500</v>
      </c>
      <c r="J103" s="225">
        <f t="shared" si="25"/>
        <v>79348</v>
      </c>
      <c r="K103" s="225">
        <f t="shared" si="26"/>
        <v>500</v>
      </c>
    </row>
    <row r="104" spans="1:11" x14ac:dyDescent="0.3">
      <c r="A104" s="221" t="str">
        <f t="shared" si="19"/>
        <v>SWB24</v>
      </c>
      <c r="B104" s="146" t="s">
        <v>14</v>
      </c>
      <c r="C104" s="221">
        <v>2024</v>
      </c>
      <c r="D104" s="223">
        <v>0.8</v>
      </c>
      <c r="E104" s="223">
        <v>0</v>
      </c>
      <c r="F104" s="223">
        <f t="shared" si="20"/>
        <v>0.8</v>
      </c>
      <c r="G104" s="224">
        <f t="shared" si="24"/>
        <v>0.80000000000000016</v>
      </c>
      <c r="H104" s="225">
        <v>78148</v>
      </c>
      <c r="I104" s="225">
        <v>500</v>
      </c>
      <c r="J104" s="225">
        <f t="shared" si="25"/>
        <v>78748</v>
      </c>
      <c r="K104" s="225">
        <f t="shared" si="26"/>
        <v>500</v>
      </c>
    </row>
    <row r="105" spans="1:11" x14ac:dyDescent="0.3">
      <c r="A105" s="221" t="str">
        <f t="shared" si="19"/>
        <v>SWB25</v>
      </c>
      <c r="B105" s="146" t="s">
        <v>14</v>
      </c>
      <c r="C105" s="221">
        <v>2025</v>
      </c>
      <c r="D105" s="223">
        <v>0.8</v>
      </c>
      <c r="E105" s="223">
        <v>0</v>
      </c>
      <c r="F105" s="223">
        <f t="shared" si="20"/>
        <v>0.8</v>
      </c>
      <c r="G105" s="224">
        <f t="shared" si="24"/>
        <v>0.80000000000000016</v>
      </c>
      <c r="H105" s="225">
        <v>77548</v>
      </c>
      <c r="I105" s="225">
        <v>500</v>
      </c>
      <c r="J105" s="225">
        <f t="shared" si="25"/>
        <v>78148</v>
      </c>
      <c r="K105" s="225">
        <f t="shared" si="26"/>
        <v>500</v>
      </c>
    </row>
    <row r="106" spans="1:11" x14ac:dyDescent="0.3">
      <c r="A106" s="221" t="str">
        <f t="shared" si="19"/>
        <v>TMS12</v>
      </c>
      <c r="B106" s="146" t="s">
        <v>15</v>
      </c>
      <c r="C106" s="221">
        <v>2012</v>
      </c>
      <c r="D106" s="223">
        <v>6.7341089044735423</v>
      </c>
      <c r="E106" s="223"/>
      <c r="F106" s="223">
        <f t="shared" si="20"/>
        <v>6.7341089044735423</v>
      </c>
      <c r="G106" s="224"/>
      <c r="H106" s="225">
        <v>1279984</v>
      </c>
      <c r="I106" s="225">
        <v>9023</v>
      </c>
      <c r="J106" s="225"/>
      <c r="K106" s="225"/>
    </row>
    <row r="107" spans="1:11" x14ac:dyDescent="0.3">
      <c r="A107" s="221" t="str">
        <f t="shared" si="19"/>
        <v>TMS13</v>
      </c>
      <c r="B107" s="146" t="s">
        <v>15</v>
      </c>
      <c r="C107" s="221">
        <v>2013</v>
      </c>
      <c r="D107" s="223">
        <v>7.2774586105724666</v>
      </c>
      <c r="E107" s="223"/>
      <c r="F107" s="223">
        <f t="shared" si="20"/>
        <v>7.2774586105724666</v>
      </c>
      <c r="G107" s="224"/>
      <c r="H107" s="225">
        <v>1266118</v>
      </c>
      <c r="I107" s="225">
        <v>8134</v>
      </c>
      <c r="J107" s="225"/>
      <c r="K107" s="225"/>
    </row>
    <row r="108" spans="1:11" x14ac:dyDescent="0.3">
      <c r="A108" s="221" t="str">
        <f t="shared" si="19"/>
        <v>TMS14</v>
      </c>
      <c r="B108" s="146" t="s">
        <v>15</v>
      </c>
      <c r="C108" s="221">
        <v>2014</v>
      </c>
      <c r="D108" s="223">
        <v>8.219099883298032</v>
      </c>
      <c r="E108" s="223"/>
      <c r="F108" s="223">
        <f t="shared" si="20"/>
        <v>8.219099883298032</v>
      </c>
      <c r="G108" s="224">
        <f t="shared" ref="G108:G119" si="27">IF(OR(F106="",F107="",F108=""),"",AVERAGE(F106:F108))</f>
        <v>7.4102224661146794</v>
      </c>
      <c r="H108" s="225">
        <v>1254682</v>
      </c>
      <c r="I108" s="225">
        <v>10436</v>
      </c>
      <c r="J108" s="225">
        <f t="shared" ref="J108:J119" si="28">IFERROR(IF(OR(H106="",H107="",H108=""),"",AVERAGE(H106:H108)),"")</f>
        <v>1266928</v>
      </c>
      <c r="K108" s="225">
        <f t="shared" ref="K108:K119" si="29">IFERROR(IF(OR(I106="",I107="",I108=""),"",AVERAGE(I106:I108)),"")</f>
        <v>9197.6666666666661</v>
      </c>
    </row>
    <row r="109" spans="1:11" x14ac:dyDescent="0.3">
      <c r="A109" s="221" t="str">
        <f t="shared" si="19"/>
        <v>TMS15</v>
      </c>
      <c r="B109" s="146" t="s">
        <v>15</v>
      </c>
      <c r="C109" s="221">
        <v>2015</v>
      </c>
      <c r="D109" s="223">
        <v>6.7186863538646522</v>
      </c>
      <c r="E109" s="223"/>
      <c r="F109" s="223">
        <f t="shared" si="20"/>
        <v>6.7186863538646522</v>
      </c>
      <c r="G109" s="224">
        <f t="shared" si="27"/>
        <v>7.4050816159117163</v>
      </c>
      <c r="H109" s="225">
        <v>1249569</v>
      </c>
      <c r="I109" s="225">
        <v>4556</v>
      </c>
      <c r="J109" s="225">
        <f t="shared" si="28"/>
        <v>1256789.6666666667</v>
      </c>
      <c r="K109" s="225">
        <f t="shared" si="29"/>
        <v>7708.666666666667</v>
      </c>
    </row>
    <row r="110" spans="1:11" x14ac:dyDescent="0.3">
      <c r="A110" s="221" t="str">
        <f t="shared" si="19"/>
        <v>TMS16</v>
      </c>
      <c r="B110" s="146" t="s">
        <v>15</v>
      </c>
      <c r="C110" s="221">
        <v>2016</v>
      </c>
      <c r="D110" s="223">
        <v>2.8117536638205713</v>
      </c>
      <c r="E110" s="223"/>
      <c r="F110" s="223">
        <f t="shared" si="20"/>
        <v>2.8117536638205713</v>
      </c>
      <c r="G110" s="224">
        <f t="shared" si="27"/>
        <v>5.9165133003277512</v>
      </c>
      <c r="H110" s="225">
        <v>1247835</v>
      </c>
      <c r="I110" s="225">
        <v>263</v>
      </c>
      <c r="J110" s="225">
        <f t="shared" si="28"/>
        <v>1250695.3333333333</v>
      </c>
      <c r="K110" s="225">
        <f t="shared" si="29"/>
        <v>5085</v>
      </c>
    </row>
    <row r="111" spans="1:11" x14ac:dyDescent="0.3">
      <c r="A111" s="221" t="str">
        <f t="shared" si="19"/>
        <v>TMS17</v>
      </c>
      <c r="B111" s="146" t="s">
        <v>15</v>
      </c>
      <c r="C111" s="221">
        <v>2017</v>
      </c>
      <c r="D111" s="223">
        <v>5.3589129814070562</v>
      </c>
      <c r="E111" s="223"/>
      <c r="F111" s="223">
        <f t="shared" si="20"/>
        <v>5.3589129814070562</v>
      </c>
      <c r="G111" s="224">
        <f t="shared" si="27"/>
        <v>4.9631176663640924</v>
      </c>
      <c r="H111" s="225">
        <v>1242322</v>
      </c>
      <c r="I111" s="225">
        <v>1483</v>
      </c>
      <c r="J111" s="225">
        <f t="shared" si="28"/>
        <v>1246575.3333333333</v>
      </c>
      <c r="K111" s="225">
        <f t="shared" si="29"/>
        <v>2100.6666666666665</v>
      </c>
    </row>
    <row r="112" spans="1:11" x14ac:dyDescent="0.3">
      <c r="A112" s="221" t="str">
        <f t="shared" si="19"/>
        <v>TMS18</v>
      </c>
      <c r="B112" s="146" t="s">
        <v>15</v>
      </c>
      <c r="C112" s="221">
        <v>2018</v>
      </c>
      <c r="D112" s="223">
        <v>7.8118323989171303</v>
      </c>
      <c r="E112" s="223"/>
      <c r="F112" s="223">
        <f t="shared" si="20"/>
        <v>7.8118323989171303</v>
      </c>
      <c r="G112" s="224">
        <f t="shared" si="27"/>
        <v>5.3274996813815854</v>
      </c>
      <c r="H112" s="225">
        <v>1231604</v>
      </c>
      <c r="I112" s="225">
        <v>7591</v>
      </c>
      <c r="J112" s="225">
        <f t="shared" si="28"/>
        <v>1240587</v>
      </c>
      <c r="K112" s="225">
        <f t="shared" si="29"/>
        <v>3112.3333333333335</v>
      </c>
    </row>
    <row r="113" spans="1:11" x14ac:dyDescent="0.3">
      <c r="A113" s="221" t="str">
        <f t="shared" ref="A113:A147" si="30">(B113&amp;RIGHT(C113,2))</f>
        <v>TMS19</v>
      </c>
      <c r="B113" s="146" t="s">
        <v>15</v>
      </c>
      <c r="C113" s="221">
        <v>2019</v>
      </c>
      <c r="D113" s="223">
        <v>14.302951197768202</v>
      </c>
      <c r="E113" s="223"/>
      <c r="F113" s="223">
        <f t="shared" ref="F113:F147" si="31">D113+E113</f>
        <v>14.302951197768202</v>
      </c>
      <c r="G113" s="224">
        <f t="shared" si="27"/>
        <v>9.1578988593641295</v>
      </c>
      <c r="H113" s="225">
        <v>1203723</v>
      </c>
      <c r="I113" s="225">
        <v>13581</v>
      </c>
      <c r="J113" s="225">
        <f t="shared" si="28"/>
        <v>1225883</v>
      </c>
      <c r="K113" s="225">
        <f t="shared" si="29"/>
        <v>7551.666666666667</v>
      </c>
    </row>
    <row r="114" spans="1:11" x14ac:dyDescent="0.3">
      <c r="A114" s="221" t="str">
        <f t="shared" si="30"/>
        <v>TMS20</v>
      </c>
      <c r="B114" s="146" t="s">
        <v>15</v>
      </c>
      <c r="C114" s="221">
        <v>2020</v>
      </c>
      <c r="D114" s="223">
        <v>12.26610351169955</v>
      </c>
      <c r="E114" s="223"/>
      <c r="F114" s="223">
        <f t="shared" si="31"/>
        <v>12.26610351169955</v>
      </c>
      <c r="G114" s="224">
        <f t="shared" si="27"/>
        <v>11.46029570279496</v>
      </c>
      <c r="H114" s="225">
        <v>1176719</v>
      </c>
      <c r="I114" s="225">
        <v>13582</v>
      </c>
      <c r="J114" s="225">
        <f t="shared" si="28"/>
        <v>1204015.3333333333</v>
      </c>
      <c r="K114" s="225">
        <f t="shared" si="29"/>
        <v>11584.666666666666</v>
      </c>
    </row>
    <row r="115" spans="1:11" x14ac:dyDescent="0.3">
      <c r="A115" s="221" t="str">
        <f t="shared" si="30"/>
        <v>TMS21</v>
      </c>
      <c r="B115" s="146" t="s">
        <v>15</v>
      </c>
      <c r="C115" s="221">
        <v>2021</v>
      </c>
      <c r="D115" s="223">
        <v>15.283987504300001</v>
      </c>
      <c r="E115" s="223">
        <v>0</v>
      </c>
      <c r="F115" s="223">
        <f t="shared" si="31"/>
        <v>15.283987504300001</v>
      </c>
      <c r="G115" s="224">
        <f t="shared" si="27"/>
        <v>13.951014071255917</v>
      </c>
      <c r="H115" s="225">
        <v>1154188</v>
      </c>
      <c r="I115" s="225">
        <v>10767</v>
      </c>
      <c r="J115" s="225">
        <f t="shared" si="28"/>
        <v>1178210</v>
      </c>
      <c r="K115" s="225">
        <f t="shared" si="29"/>
        <v>12643.333333333334</v>
      </c>
    </row>
    <row r="116" spans="1:11" x14ac:dyDescent="0.3">
      <c r="A116" s="221" t="str">
        <f t="shared" si="30"/>
        <v>TMS22</v>
      </c>
      <c r="B116" s="146" t="s">
        <v>15</v>
      </c>
      <c r="C116" s="221">
        <v>2022</v>
      </c>
      <c r="D116" s="223">
        <v>15.284033667199999</v>
      </c>
      <c r="E116" s="223">
        <v>0</v>
      </c>
      <c r="F116" s="223">
        <f t="shared" si="31"/>
        <v>15.284033667199999</v>
      </c>
      <c r="G116" s="224">
        <f t="shared" si="27"/>
        <v>14.278041561066516</v>
      </c>
      <c r="H116" s="225">
        <v>1131561</v>
      </c>
      <c r="I116" s="225">
        <v>10767</v>
      </c>
      <c r="J116" s="225">
        <f t="shared" si="28"/>
        <v>1154156</v>
      </c>
      <c r="K116" s="225">
        <f t="shared" si="29"/>
        <v>11705.333333333334</v>
      </c>
    </row>
    <row r="117" spans="1:11" x14ac:dyDescent="0.3">
      <c r="A117" s="221" t="str">
        <f t="shared" si="30"/>
        <v>TMS23</v>
      </c>
      <c r="B117" s="146" t="s">
        <v>15</v>
      </c>
      <c r="C117" s="221">
        <v>2023</v>
      </c>
      <c r="D117" s="223">
        <v>15.283980720800001</v>
      </c>
      <c r="E117" s="223">
        <v>0</v>
      </c>
      <c r="F117" s="223">
        <f t="shared" si="31"/>
        <v>15.283980720800001</v>
      </c>
      <c r="G117" s="224">
        <f t="shared" si="27"/>
        <v>15.284000630766668</v>
      </c>
      <c r="H117" s="225">
        <v>1108844</v>
      </c>
      <c r="I117" s="225">
        <v>10767</v>
      </c>
      <c r="J117" s="225">
        <f t="shared" si="28"/>
        <v>1131531</v>
      </c>
      <c r="K117" s="225">
        <f t="shared" si="29"/>
        <v>10767</v>
      </c>
    </row>
    <row r="118" spans="1:11" x14ac:dyDescent="0.3">
      <c r="A118" s="221" t="str">
        <f t="shared" si="30"/>
        <v>TMS24</v>
      </c>
      <c r="B118" s="146" t="s">
        <v>15</v>
      </c>
      <c r="C118" s="221">
        <v>2024</v>
      </c>
      <c r="D118" s="223">
        <v>15.284002253100001</v>
      </c>
      <c r="E118" s="223">
        <v>0</v>
      </c>
      <c r="F118" s="223">
        <f t="shared" si="31"/>
        <v>15.284002253100001</v>
      </c>
      <c r="G118" s="224">
        <f t="shared" si="27"/>
        <v>15.284005547033333</v>
      </c>
      <c r="H118" s="225">
        <v>1086043</v>
      </c>
      <c r="I118" s="225">
        <v>10768</v>
      </c>
      <c r="J118" s="225">
        <f t="shared" si="28"/>
        <v>1108816</v>
      </c>
      <c r="K118" s="225">
        <f t="shared" si="29"/>
        <v>10767.333333333334</v>
      </c>
    </row>
    <row r="119" spans="1:11" x14ac:dyDescent="0.3">
      <c r="A119" s="221" t="str">
        <f t="shared" si="30"/>
        <v>TMS25</v>
      </c>
      <c r="B119" s="146" t="s">
        <v>15</v>
      </c>
      <c r="C119" s="221">
        <v>2025</v>
      </c>
      <c r="D119" s="223">
        <v>15.284034524699999</v>
      </c>
      <c r="E119" s="223">
        <v>0</v>
      </c>
      <c r="F119" s="223">
        <f t="shared" si="31"/>
        <v>15.284034524699999</v>
      </c>
      <c r="G119" s="224">
        <f t="shared" si="27"/>
        <v>15.284005832866667</v>
      </c>
      <c r="H119" s="225">
        <v>1063159</v>
      </c>
      <c r="I119" s="225">
        <v>10768</v>
      </c>
      <c r="J119" s="225">
        <f t="shared" si="28"/>
        <v>1086015.3333333333</v>
      </c>
      <c r="K119" s="225">
        <f t="shared" si="29"/>
        <v>10767.666666666666</v>
      </c>
    </row>
    <row r="120" spans="1:11" x14ac:dyDescent="0.3">
      <c r="A120" s="221" t="str">
        <f t="shared" si="30"/>
        <v>WSH12</v>
      </c>
      <c r="B120" s="146" t="s">
        <v>16</v>
      </c>
      <c r="C120" s="221">
        <v>2012</v>
      </c>
      <c r="D120" s="223">
        <v>0</v>
      </c>
      <c r="E120" s="223"/>
      <c r="F120" s="223">
        <f t="shared" si="31"/>
        <v>0</v>
      </c>
      <c r="G120" s="224"/>
      <c r="H120" s="225">
        <v>172354</v>
      </c>
      <c r="I120" s="225">
        <v>0</v>
      </c>
      <c r="J120" s="225"/>
      <c r="K120" s="225"/>
    </row>
    <row r="121" spans="1:11" x14ac:dyDescent="0.3">
      <c r="A121" s="221" t="str">
        <f t="shared" si="30"/>
        <v>WSH13</v>
      </c>
      <c r="B121" s="146" t="s">
        <v>16</v>
      </c>
      <c r="C121" s="221">
        <v>2013</v>
      </c>
      <c r="D121" s="223">
        <v>0</v>
      </c>
      <c r="E121" s="223"/>
      <c r="F121" s="223">
        <f t="shared" si="31"/>
        <v>0</v>
      </c>
      <c r="G121" s="224"/>
      <c r="H121" s="225">
        <v>172354</v>
      </c>
      <c r="I121" s="225">
        <v>0</v>
      </c>
      <c r="J121" s="225"/>
      <c r="K121" s="225"/>
    </row>
    <row r="122" spans="1:11" x14ac:dyDescent="0.3">
      <c r="A122" s="221" t="str">
        <f t="shared" si="30"/>
        <v>WSH14</v>
      </c>
      <c r="B122" s="146" t="s">
        <v>16</v>
      </c>
      <c r="C122" s="221">
        <v>2014</v>
      </c>
      <c r="D122" s="223">
        <v>0</v>
      </c>
      <c r="E122" s="223"/>
      <c r="F122" s="223">
        <f t="shared" si="31"/>
        <v>0</v>
      </c>
      <c r="G122" s="224">
        <f t="shared" ref="G122:G133" si="32">IF(OR(F120="",F121="",F122=""),"",AVERAGE(F120:F122))</f>
        <v>0</v>
      </c>
      <c r="H122" s="225">
        <v>172354</v>
      </c>
      <c r="I122" s="225">
        <v>0</v>
      </c>
      <c r="J122" s="225">
        <f t="shared" ref="J122:J133" si="33">IFERROR(IF(OR(H120="",H121="",H122=""),"",AVERAGE(H120:H122)),"")</f>
        <v>172354</v>
      </c>
      <c r="K122" s="225">
        <f t="shared" ref="K122:K133" si="34">IFERROR(IF(OR(I120="",I121="",I122=""),"",AVERAGE(I120:I122)),"")</f>
        <v>0</v>
      </c>
    </row>
    <row r="123" spans="1:11" x14ac:dyDescent="0.3">
      <c r="A123" s="221" t="str">
        <f t="shared" si="30"/>
        <v>WSH15</v>
      </c>
      <c r="B123" s="146" t="s">
        <v>16</v>
      </c>
      <c r="C123" s="221">
        <v>2015</v>
      </c>
      <c r="D123" s="223">
        <v>0</v>
      </c>
      <c r="E123" s="223"/>
      <c r="F123" s="223">
        <f t="shared" si="31"/>
        <v>0</v>
      </c>
      <c r="G123" s="224">
        <f t="shared" si="32"/>
        <v>0</v>
      </c>
      <c r="H123" s="225">
        <v>172354</v>
      </c>
      <c r="I123" s="225">
        <v>0</v>
      </c>
      <c r="J123" s="225">
        <f t="shared" si="33"/>
        <v>172354</v>
      </c>
      <c r="K123" s="225">
        <f t="shared" si="34"/>
        <v>0</v>
      </c>
    </row>
    <row r="124" spans="1:11" x14ac:dyDescent="0.3">
      <c r="A124" s="221" t="str">
        <f t="shared" si="30"/>
        <v>WSH16</v>
      </c>
      <c r="B124" s="146" t="s">
        <v>16</v>
      </c>
      <c r="C124" s="221">
        <v>2016</v>
      </c>
      <c r="D124" s="223">
        <v>0</v>
      </c>
      <c r="E124" s="223"/>
      <c r="F124" s="223">
        <f t="shared" si="31"/>
        <v>0</v>
      </c>
      <c r="G124" s="224">
        <f t="shared" si="32"/>
        <v>0</v>
      </c>
      <c r="H124" s="225">
        <v>172354</v>
      </c>
      <c r="I124" s="225">
        <v>0</v>
      </c>
      <c r="J124" s="225">
        <f t="shared" si="33"/>
        <v>172354</v>
      </c>
      <c r="K124" s="225">
        <f t="shared" si="34"/>
        <v>0</v>
      </c>
    </row>
    <row r="125" spans="1:11" x14ac:dyDescent="0.3">
      <c r="A125" s="221" t="str">
        <f t="shared" si="30"/>
        <v>WSH17</v>
      </c>
      <c r="B125" s="146" t="s">
        <v>16</v>
      </c>
      <c r="C125" s="221">
        <v>2017</v>
      </c>
      <c r="D125" s="223">
        <v>0</v>
      </c>
      <c r="E125" s="223"/>
      <c r="F125" s="223">
        <f t="shared" si="31"/>
        <v>0</v>
      </c>
      <c r="G125" s="224">
        <f t="shared" si="32"/>
        <v>0</v>
      </c>
      <c r="H125" s="225">
        <v>172354</v>
      </c>
      <c r="I125" s="225">
        <v>0</v>
      </c>
      <c r="J125" s="225">
        <f t="shared" si="33"/>
        <v>172354</v>
      </c>
      <c r="K125" s="225">
        <f t="shared" si="34"/>
        <v>0</v>
      </c>
    </row>
    <row r="126" spans="1:11" x14ac:dyDescent="0.3">
      <c r="A126" s="221" t="str">
        <f t="shared" si="30"/>
        <v>WSH18</v>
      </c>
      <c r="B126" s="146" t="s">
        <v>16</v>
      </c>
      <c r="C126" s="221">
        <v>2018</v>
      </c>
      <c r="D126" s="223">
        <v>0</v>
      </c>
      <c r="E126" s="223"/>
      <c r="F126" s="223">
        <f t="shared" si="31"/>
        <v>0</v>
      </c>
      <c r="G126" s="224">
        <f t="shared" si="32"/>
        <v>0</v>
      </c>
      <c r="H126" s="225">
        <v>172326</v>
      </c>
      <c r="I126" s="225">
        <v>28</v>
      </c>
      <c r="J126" s="225">
        <f t="shared" si="33"/>
        <v>172344.66666666666</v>
      </c>
      <c r="K126" s="225">
        <f t="shared" si="34"/>
        <v>9.3333333333333339</v>
      </c>
    </row>
    <row r="127" spans="1:11" x14ac:dyDescent="0.3">
      <c r="A127" s="221" t="str">
        <f t="shared" si="30"/>
        <v>WSH19</v>
      </c>
      <c r="B127" s="146" t="s">
        <v>16</v>
      </c>
      <c r="C127" s="221">
        <v>2019</v>
      </c>
      <c r="D127" s="223">
        <v>0</v>
      </c>
      <c r="E127" s="223"/>
      <c r="F127" s="223">
        <f t="shared" si="31"/>
        <v>0</v>
      </c>
      <c r="G127" s="224">
        <f t="shared" si="32"/>
        <v>0</v>
      </c>
      <c r="H127" s="225">
        <v>171433</v>
      </c>
      <c r="I127" s="225">
        <v>0</v>
      </c>
      <c r="J127" s="225">
        <f t="shared" si="33"/>
        <v>172037.66666666666</v>
      </c>
      <c r="K127" s="225">
        <f t="shared" si="34"/>
        <v>9.3333333333333339</v>
      </c>
    </row>
    <row r="128" spans="1:11" x14ac:dyDescent="0.3">
      <c r="A128" s="221" t="str">
        <f t="shared" si="30"/>
        <v>WSH20</v>
      </c>
      <c r="B128" s="146" t="s">
        <v>16</v>
      </c>
      <c r="C128" s="221">
        <v>2020</v>
      </c>
      <c r="D128" s="223">
        <v>0</v>
      </c>
      <c r="E128" s="223"/>
      <c r="F128" s="223">
        <f t="shared" si="31"/>
        <v>0</v>
      </c>
      <c r="G128" s="224">
        <f t="shared" si="32"/>
        <v>0</v>
      </c>
      <c r="H128" s="225">
        <v>170540</v>
      </c>
      <c r="I128" s="225">
        <v>0</v>
      </c>
      <c r="J128" s="225">
        <f t="shared" si="33"/>
        <v>171433</v>
      </c>
      <c r="K128" s="225">
        <f t="shared" si="34"/>
        <v>9.3333333333333339</v>
      </c>
    </row>
    <row r="129" spans="1:11" x14ac:dyDescent="0.3">
      <c r="A129" s="221" t="str">
        <f t="shared" si="30"/>
        <v>WSH21</v>
      </c>
      <c r="B129" s="146" t="s">
        <v>16</v>
      </c>
      <c r="C129" s="221">
        <v>2021</v>
      </c>
      <c r="D129" s="223">
        <v>2.9630000000000001</v>
      </c>
      <c r="E129" s="223">
        <v>0</v>
      </c>
      <c r="F129" s="223">
        <f t="shared" si="31"/>
        <v>2.9630000000000001</v>
      </c>
      <c r="G129" s="224">
        <f t="shared" si="32"/>
        <v>0.98766666666666669</v>
      </c>
      <c r="H129" s="225">
        <v>169111</v>
      </c>
      <c r="I129" s="225">
        <v>0</v>
      </c>
      <c r="J129" s="225">
        <f t="shared" si="33"/>
        <v>170361.33333333334</v>
      </c>
      <c r="K129" s="225">
        <f t="shared" si="34"/>
        <v>0</v>
      </c>
    </row>
    <row r="130" spans="1:11" x14ac:dyDescent="0.3">
      <c r="A130" s="221" t="str">
        <f t="shared" si="30"/>
        <v>WSH22</v>
      </c>
      <c r="B130" s="146" t="s">
        <v>16</v>
      </c>
      <c r="C130" s="221">
        <v>2022</v>
      </c>
      <c r="D130" s="223">
        <v>3.044</v>
      </c>
      <c r="E130" s="223">
        <v>0</v>
      </c>
      <c r="F130" s="223">
        <f t="shared" si="31"/>
        <v>3.044</v>
      </c>
      <c r="G130" s="224">
        <f t="shared" si="32"/>
        <v>2.0023333333333331</v>
      </c>
      <c r="H130" s="225">
        <v>167682</v>
      </c>
      <c r="I130" s="225">
        <v>0</v>
      </c>
      <c r="J130" s="225">
        <f t="shared" si="33"/>
        <v>169111</v>
      </c>
      <c r="K130" s="225">
        <f t="shared" si="34"/>
        <v>0</v>
      </c>
    </row>
    <row r="131" spans="1:11" x14ac:dyDescent="0.3">
      <c r="A131" s="221" t="str">
        <f t="shared" si="30"/>
        <v>WSH23</v>
      </c>
      <c r="B131" s="146" t="s">
        <v>16</v>
      </c>
      <c r="C131" s="221">
        <v>2023</v>
      </c>
      <c r="D131" s="223">
        <v>3.03</v>
      </c>
      <c r="E131" s="223">
        <v>0</v>
      </c>
      <c r="F131" s="223">
        <f t="shared" si="31"/>
        <v>3.03</v>
      </c>
      <c r="G131" s="224">
        <f t="shared" si="32"/>
        <v>3.0123333333333329</v>
      </c>
      <c r="H131" s="225">
        <v>166253</v>
      </c>
      <c r="I131" s="225">
        <v>0</v>
      </c>
      <c r="J131" s="225">
        <f t="shared" si="33"/>
        <v>167682</v>
      </c>
      <c r="K131" s="225">
        <f t="shared" si="34"/>
        <v>0</v>
      </c>
    </row>
    <row r="132" spans="1:11" x14ac:dyDescent="0.3">
      <c r="A132" s="221" t="str">
        <f t="shared" si="30"/>
        <v>WSH24</v>
      </c>
      <c r="B132" s="146" t="s">
        <v>16</v>
      </c>
      <c r="C132" s="221">
        <v>2024</v>
      </c>
      <c r="D132" s="223">
        <v>3.012</v>
      </c>
      <c r="E132" s="223">
        <v>0</v>
      </c>
      <c r="F132" s="223">
        <f t="shared" si="31"/>
        <v>3.012</v>
      </c>
      <c r="G132" s="224">
        <f t="shared" si="32"/>
        <v>3.0286666666666666</v>
      </c>
      <c r="H132" s="225">
        <v>164824</v>
      </c>
      <c r="I132" s="225">
        <v>0</v>
      </c>
      <c r="J132" s="225">
        <f t="shared" si="33"/>
        <v>166253</v>
      </c>
      <c r="K132" s="225">
        <f t="shared" si="34"/>
        <v>0</v>
      </c>
    </row>
    <row r="133" spans="1:11" x14ac:dyDescent="0.3">
      <c r="A133" s="221" t="str">
        <f t="shared" si="30"/>
        <v>WSH25</v>
      </c>
      <c r="B133" s="146" t="s">
        <v>16</v>
      </c>
      <c r="C133" s="221">
        <v>2025</v>
      </c>
      <c r="D133" s="223">
        <v>2.9980000000000002</v>
      </c>
      <c r="E133" s="223">
        <v>0</v>
      </c>
      <c r="F133" s="223">
        <f t="shared" si="31"/>
        <v>2.9980000000000002</v>
      </c>
      <c r="G133" s="224">
        <f t="shared" si="32"/>
        <v>3.0133333333333332</v>
      </c>
      <c r="H133" s="225">
        <v>163395</v>
      </c>
      <c r="I133" s="225">
        <v>0</v>
      </c>
      <c r="J133" s="225">
        <f t="shared" si="33"/>
        <v>164824</v>
      </c>
      <c r="K133" s="225">
        <f t="shared" si="34"/>
        <v>0</v>
      </c>
    </row>
    <row r="134" spans="1:11" x14ac:dyDescent="0.3">
      <c r="A134" s="221" t="str">
        <f t="shared" si="30"/>
        <v>WSX12</v>
      </c>
      <c r="B134" s="146" t="s">
        <v>17</v>
      </c>
      <c r="C134" s="221">
        <v>2012</v>
      </c>
      <c r="D134" s="223">
        <v>9.9455686135901708E-2</v>
      </c>
      <c r="E134" s="223"/>
      <c r="F134" s="223">
        <f t="shared" si="31"/>
        <v>9.9455686135901708E-2</v>
      </c>
      <c r="G134" s="224"/>
      <c r="H134" s="225">
        <v>50000</v>
      </c>
      <c r="I134" s="225">
        <v>63</v>
      </c>
      <c r="J134" s="225"/>
      <c r="K134" s="225"/>
    </row>
    <row r="135" spans="1:11" x14ac:dyDescent="0.3">
      <c r="A135" s="221" t="str">
        <f t="shared" si="30"/>
        <v>WSX13</v>
      </c>
      <c r="B135" s="146" t="s">
        <v>17</v>
      </c>
      <c r="C135" s="221">
        <v>2013</v>
      </c>
      <c r="D135" s="223">
        <v>0.30320845556514237</v>
      </c>
      <c r="E135" s="223"/>
      <c r="F135" s="223">
        <f t="shared" si="31"/>
        <v>0.30320845556514237</v>
      </c>
      <c r="G135" s="224"/>
      <c r="H135" s="225">
        <v>49578</v>
      </c>
      <c r="I135" s="225">
        <v>53</v>
      </c>
      <c r="J135" s="225"/>
      <c r="K135" s="225"/>
    </row>
    <row r="136" spans="1:11" x14ac:dyDescent="0.3">
      <c r="A136" s="221" t="str">
        <f t="shared" si="30"/>
        <v>WSX14</v>
      </c>
      <c r="B136" s="146" t="s">
        <v>17</v>
      </c>
      <c r="C136" s="221">
        <v>2014</v>
      </c>
      <c r="D136" s="223">
        <v>0.64263421230561169</v>
      </c>
      <c r="E136" s="223"/>
      <c r="F136" s="223">
        <f t="shared" si="31"/>
        <v>0.64263421230561169</v>
      </c>
      <c r="G136" s="224">
        <f t="shared" ref="G136:G147" si="35">IF(OR(F134="",F135="",F136=""),"",AVERAGE(F134:F136))</f>
        <v>0.34843278466888528</v>
      </c>
      <c r="H136" s="225">
        <v>48875</v>
      </c>
      <c r="I136" s="225">
        <v>353</v>
      </c>
      <c r="J136" s="225">
        <f t="shared" ref="J136:J147" si="36">IFERROR(IF(OR(H134="",H135="",H136=""),"",AVERAGE(H134:H136)),"")</f>
        <v>49484.333333333336</v>
      </c>
      <c r="K136" s="225">
        <f t="shared" ref="K136:K147" si="37">IFERROR(IF(OR(I134="",I135="",I136=""),"",AVERAGE(I134:I136)),"")</f>
        <v>156.33333333333334</v>
      </c>
    </row>
    <row r="137" spans="1:11" x14ac:dyDescent="0.3">
      <c r="A137" s="221" t="str">
        <f t="shared" si="30"/>
        <v>WSX15</v>
      </c>
      <c r="B137" s="146" t="s">
        <v>17</v>
      </c>
      <c r="C137" s="221">
        <v>2015</v>
      </c>
      <c r="D137" s="223">
        <v>0.56641196624049484</v>
      </c>
      <c r="E137" s="223"/>
      <c r="F137" s="223">
        <f t="shared" si="31"/>
        <v>0.56641196624049484</v>
      </c>
      <c r="G137" s="224">
        <f t="shared" si="35"/>
        <v>0.50408487803708291</v>
      </c>
      <c r="H137" s="225">
        <v>48215</v>
      </c>
      <c r="I137" s="225">
        <v>189</v>
      </c>
      <c r="J137" s="225">
        <f t="shared" si="36"/>
        <v>48889.333333333336</v>
      </c>
      <c r="K137" s="225">
        <f t="shared" si="37"/>
        <v>198.33333333333334</v>
      </c>
    </row>
    <row r="138" spans="1:11" x14ac:dyDescent="0.3">
      <c r="A138" s="221" t="str">
        <f t="shared" si="30"/>
        <v>WSX16</v>
      </c>
      <c r="B138" s="146" t="s">
        <v>17</v>
      </c>
      <c r="C138" s="221">
        <v>2016</v>
      </c>
      <c r="D138" s="223">
        <v>0.56102398760732086</v>
      </c>
      <c r="E138" s="223"/>
      <c r="F138" s="223">
        <f t="shared" si="31"/>
        <v>0.56102398760732086</v>
      </c>
      <c r="G138" s="224">
        <f t="shared" si="35"/>
        <v>0.59002338871780913</v>
      </c>
      <c r="H138" s="225">
        <v>47601</v>
      </c>
      <c r="I138" s="225">
        <v>196</v>
      </c>
      <c r="J138" s="225">
        <f t="shared" si="36"/>
        <v>48230.333333333336</v>
      </c>
      <c r="K138" s="225">
        <f t="shared" si="37"/>
        <v>246</v>
      </c>
    </row>
    <row r="139" spans="1:11" x14ac:dyDescent="0.3">
      <c r="A139" s="221" t="str">
        <f t="shared" si="30"/>
        <v>WSX17</v>
      </c>
      <c r="B139" s="146" t="s">
        <v>17</v>
      </c>
      <c r="C139" s="221">
        <v>2017</v>
      </c>
      <c r="D139" s="223">
        <v>-8.3133853098071392E-2</v>
      </c>
      <c r="E139" s="223"/>
      <c r="F139" s="223">
        <f t="shared" si="31"/>
        <v>-8.3133853098071392E-2</v>
      </c>
      <c r="G139" s="224">
        <f t="shared" si="35"/>
        <v>0.34810070024991474</v>
      </c>
      <c r="H139" s="225">
        <v>47031</v>
      </c>
      <c r="I139" s="225">
        <v>156</v>
      </c>
      <c r="J139" s="225">
        <f t="shared" si="36"/>
        <v>47615.666666666664</v>
      </c>
      <c r="K139" s="225">
        <f t="shared" si="37"/>
        <v>180.33333333333334</v>
      </c>
    </row>
    <row r="140" spans="1:11" x14ac:dyDescent="0.3">
      <c r="A140" s="221" t="str">
        <f t="shared" si="30"/>
        <v>WSX18</v>
      </c>
      <c r="B140" s="146" t="s">
        <v>17</v>
      </c>
      <c r="C140" s="221">
        <v>2018</v>
      </c>
      <c r="D140" s="223">
        <v>0.29445155000000001</v>
      </c>
      <c r="E140" s="223"/>
      <c r="F140" s="223">
        <f t="shared" si="31"/>
        <v>0.29445155000000001</v>
      </c>
      <c r="G140" s="224">
        <f t="shared" si="35"/>
        <v>0.2574472281697498</v>
      </c>
      <c r="H140" s="225">
        <v>46611</v>
      </c>
      <c r="I140" s="225">
        <v>117</v>
      </c>
      <c r="J140" s="225">
        <f t="shared" si="36"/>
        <v>47081</v>
      </c>
      <c r="K140" s="225">
        <f t="shared" si="37"/>
        <v>156.33333333333334</v>
      </c>
    </row>
    <row r="141" spans="1:11" x14ac:dyDescent="0.3">
      <c r="A141" s="221" t="str">
        <f t="shared" si="30"/>
        <v>WSX19</v>
      </c>
      <c r="B141" s="146" t="s">
        <v>17</v>
      </c>
      <c r="C141" s="221">
        <v>2019</v>
      </c>
      <c r="D141" s="223">
        <v>0.52099927249768563</v>
      </c>
      <c r="E141" s="223"/>
      <c r="F141" s="223">
        <f t="shared" si="31"/>
        <v>0.52099927249768563</v>
      </c>
      <c r="G141" s="224">
        <f t="shared" si="35"/>
        <v>0.24410565646653806</v>
      </c>
      <c r="H141" s="225">
        <v>46111</v>
      </c>
      <c r="I141" s="225">
        <v>200</v>
      </c>
      <c r="J141" s="225">
        <f t="shared" si="36"/>
        <v>46584.333333333336</v>
      </c>
      <c r="K141" s="225">
        <f t="shared" si="37"/>
        <v>157.66666666666666</v>
      </c>
    </row>
    <row r="142" spans="1:11" x14ac:dyDescent="0.3">
      <c r="A142" s="221" t="str">
        <f t="shared" si="30"/>
        <v>WSX20</v>
      </c>
      <c r="B142" s="146" t="s">
        <v>17</v>
      </c>
      <c r="C142" s="221">
        <v>2020</v>
      </c>
      <c r="D142" s="223">
        <v>0.45814463441502379</v>
      </c>
      <c r="E142" s="223"/>
      <c r="F142" s="223">
        <f t="shared" si="31"/>
        <v>0.45814463441502379</v>
      </c>
      <c r="G142" s="224">
        <f t="shared" si="35"/>
        <v>0.42453181897090314</v>
      </c>
      <c r="H142" s="225">
        <v>45611</v>
      </c>
      <c r="I142" s="225">
        <v>200</v>
      </c>
      <c r="J142" s="225">
        <f t="shared" si="36"/>
        <v>46111</v>
      </c>
      <c r="K142" s="225">
        <f t="shared" si="37"/>
        <v>172.33333333333334</v>
      </c>
    </row>
    <row r="143" spans="1:11" x14ac:dyDescent="0.3">
      <c r="A143" s="221" t="str">
        <f t="shared" si="30"/>
        <v>WSX21</v>
      </c>
      <c r="B143" s="146" t="s">
        <v>17</v>
      </c>
      <c r="C143" s="221">
        <v>2021</v>
      </c>
      <c r="D143" s="223">
        <v>0.70103076923076901</v>
      </c>
      <c r="E143" s="223">
        <v>0</v>
      </c>
      <c r="F143" s="223">
        <f t="shared" si="31"/>
        <v>0.70103076923076901</v>
      </c>
      <c r="G143" s="224">
        <f t="shared" si="35"/>
        <v>0.56005822538115957</v>
      </c>
      <c r="H143" s="225">
        <v>44451</v>
      </c>
      <c r="I143" s="225">
        <v>1160</v>
      </c>
      <c r="J143" s="225">
        <f t="shared" si="36"/>
        <v>45391</v>
      </c>
      <c r="K143" s="225">
        <f t="shared" si="37"/>
        <v>520</v>
      </c>
    </row>
    <row r="144" spans="1:11" x14ac:dyDescent="0.3">
      <c r="A144" s="221" t="str">
        <f t="shared" si="30"/>
        <v>WSX22</v>
      </c>
      <c r="B144" s="146" t="s">
        <v>17</v>
      </c>
      <c r="C144" s="221">
        <v>2022</v>
      </c>
      <c r="D144" s="223">
        <v>0.86256346153846197</v>
      </c>
      <c r="E144" s="223">
        <v>0</v>
      </c>
      <c r="F144" s="223">
        <f t="shared" si="31"/>
        <v>0.86256346153846197</v>
      </c>
      <c r="G144" s="224">
        <f t="shared" si="35"/>
        <v>0.67391295506141835</v>
      </c>
      <c r="H144" s="225">
        <v>43041</v>
      </c>
      <c r="I144" s="225">
        <v>1410</v>
      </c>
      <c r="J144" s="225">
        <f t="shared" si="36"/>
        <v>44367.666666666664</v>
      </c>
      <c r="K144" s="225">
        <f t="shared" si="37"/>
        <v>923.33333333333337</v>
      </c>
    </row>
    <row r="145" spans="1:11" x14ac:dyDescent="0.3">
      <c r="A145" s="221" t="str">
        <f t="shared" si="30"/>
        <v>WSX23</v>
      </c>
      <c r="B145" s="146" t="s">
        <v>17</v>
      </c>
      <c r="C145" s="221">
        <v>2023</v>
      </c>
      <c r="D145" s="223">
        <v>1.2521423076923099</v>
      </c>
      <c r="E145" s="223">
        <v>0</v>
      </c>
      <c r="F145" s="223">
        <f t="shared" si="31"/>
        <v>1.2521423076923099</v>
      </c>
      <c r="G145" s="224">
        <f t="shared" si="35"/>
        <v>0.93857884615384701</v>
      </c>
      <c r="H145" s="225">
        <v>41031</v>
      </c>
      <c r="I145" s="225">
        <v>2010</v>
      </c>
      <c r="J145" s="225">
        <f t="shared" si="36"/>
        <v>42841</v>
      </c>
      <c r="K145" s="225">
        <f t="shared" si="37"/>
        <v>1526.6666666666667</v>
      </c>
    </row>
    <row r="146" spans="1:11" x14ac:dyDescent="0.3">
      <c r="A146" s="221" t="str">
        <f t="shared" si="30"/>
        <v>WSX24</v>
      </c>
      <c r="B146" s="146" t="s">
        <v>17</v>
      </c>
      <c r="C146" s="221">
        <v>2024</v>
      </c>
      <c r="D146" s="223">
        <v>1.38200192307692</v>
      </c>
      <c r="E146" s="223">
        <v>0</v>
      </c>
      <c r="F146" s="223">
        <f t="shared" si="31"/>
        <v>1.38200192307692</v>
      </c>
      <c r="G146" s="224">
        <f t="shared" si="35"/>
        <v>1.1655692307692307</v>
      </c>
      <c r="H146" s="225">
        <v>38821</v>
      </c>
      <c r="I146" s="225">
        <v>2210</v>
      </c>
      <c r="J146" s="225">
        <f t="shared" si="36"/>
        <v>40964.333333333336</v>
      </c>
      <c r="K146" s="225">
        <f t="shared" si="37"/>
        <v>1876.6666666666667</v>
      </c>
    </row>
    <row r="147" spans="1:11" x14ac:dyDescent="0.3">
      <c r="A147" s="221" t="str">
        <f t="shared" si="30"/>
        <v>WSX25</v>
      </c>
      <c r="B147" s="146" t="s">
        <v>17</v>
      </c>
      <c r="C147" s="221">
        <v>2025</v>
      </c>
      <c r="D147" s="223">
        <v>1.38200192307692</v>
      </c>
      <c r="E147" s="223">
        <v>0</v>
      </c>
      <c r="F147" s="223">
        <f t="shared" si="31"/>
        <v>1.38200192307692</v>
      </c>
      <c r="G147" s="224">
        <f t="shared" si="35"/>
        <v>1.3387153846153834</v>
      </c>
      <c r="H147" s="225">
        <v>36611</v>
      </c>
      <c r="I147" s="225">
        <v>2210</v>
      </c>
      <c r="J147" s="225">
        <f t="shared" si="36"/>
        <v>38821</v>
      </c>
      <c r="K147" s="225">
        <f t="shared" si="37"/>
        <v>2143.3333333333335</v>
      </c>
    </row>
    <row r="148" spans="1:11" x14ac:dyDescent="0.3">
      <c r="A148" s="221" t="str">
        <f t="shared" ref="A148:A185" si="38">(B148&amp;RIGHT(C148,2))</f>
        <v>YKY12</v>
      </c>
      <c r="B148" s="146" t="s">
        <v>18</v>
      </c>
      <c r="C148" s="221">
        <v>2012</v>
      </c>
      <c r="D148" s="223">
        <v>9.5665319430944571</v>
      </c>
      <c r="E148" s="223"/>
      <c r="F148" s="223">
        <f t="shared" ref="F148:F185" si="39">D148+E148</f>
        <v>9.5665319430944571</v>
      </c>
      <c r="G148" s="224"/>
      <c r="H148" s="225">
        <v>1299350</v>
      </c>
      <c r="I148" s="225">
        <v>11809</v>
      </c>
      <c r="J148" s="225"/>
      <c r="K148" s="225"/>
    </row>
    <row r="149" spans="1:11" x14ac:dyDescent="0.3">
      <c r="A149" s="221" t="str">
        <f t="shared" si="38"/>
        <v>YKY13</v>
      </c>
      <c r="B149" s="146" t="s">
        <v>18</v>
      </c>
      <c r="C149" s="221">
        <v>2013</v>
      </c>
      <c r="D149" s="223">
        <v>1.5309584613373599</v>
      </c>
      <c r="E149" s="223"/>
      <c r="F149" s="223">
        <f t="shared" si="39"/>
        <v>1.5309584613373599</v>
      </c>
      <c r="G149" s="224"/>
      <c r="H149" s="225">
        <v>1297511</v>
      </c>
      <c r="I149" s="225">
        <v>1376</v>
      </c>
      <c r="J149" s="225"/>
      <c r="K149" s="225"/>
    </row>
    <row r="150" spans="1:11" x14ac:dyDescent="0.3">
      <c r="A150" s="221" t="str">
        <f t="shared" si="38"/>
        <v>YKY14</v>
      </c>
      <c r="B150" s="146" t="s">
        <v>18</v>
      </c>
      <c r="C150" s="221">
        <v>2014</v>
      </c>
      <c r="D150" s="223">
        <v>0.88849842008282609</v>
      </c>
      <c r="E150" s="223"/>
      <c r="F150" s="223">
        <f t="shared" si="39"/>
        <v>0.88849842008282609</v>
      </c>
      <c r="G150" s="224">
        <f t="shared" ref="G150:G161" si="40">IF(OR(F148="",F149="",F150=""),"",AVERAGE(F148:F150))</f>
        <v>3.9953296081715473</v>
      </c>
      <c r="H150" s="225">
        <v>1295217</v>
      </c>
      <c r="I150" s="225">
        <v>1749</v>
      </c>
      <c r="J150" s="225">
        <f t="shared" ref="J150:J161" si="41">IFERROR(IF(OR(H148="",H149="",H150=""),"",AVERAGE(H148:H150)),"")</f>
        <v>1297359.3333333333</v>
      </c>
      <c r="K150" s="225">
        <f t="shared" ref="K150:K161" si="42">IFERROR(IF(OR(I148="",I149="",I150=""),"",AVERAGE(I148:I150)),"")</f>
        <v>4978</v>
      </c>
    </row>
    <row r="151" spans="1:11" x14ac:dyDescent="0.3">
      <c r="A151" s="221" t="str">
        <f t="shared" si="38"/>
        <v>YKY15</v>
      </c>
      <c r="B151" s="146" t="s">
        <v>18</v>
      </c>
      <c r="C151" s="221">
        <v>2015</v>
      </c>
      <c r="D151" s="223">
        <v>2.0319326185610427</v>
      </c>
      <c r="E151" s="223"/>
      <c r="F151" s="223">
        <f t="shared" si="39"/>
        <v>2.0319326185610427</v>
      </c>
      <c r="G151" s="224">
        <f t="shared" si="40"/>
        <v>1.483796499993743</v>
      </c>
      <c r="H151" s="225">
        <v>1291154</v>
      </c>
      <c r="I151" s="225">
        <v>3447</v>
      </c>
      <c r="J151" s="225">
        <f t="shared" si="41"/>
        <v>1294627.3333333333</v>
      </c>
      <c r="K151" s="225">
        <f t="shared" si="42"/>
        <v>2190.6666666666665</v>
      </c>
    </row>
    <row r="152" spans="1:11" x14ac:dyDescent="0.3">
      <c r="A152" s="221" t="str">
        <f t="shared" si="38"/>
        <v>YKY16</v>
      </c>
      <c r="B152" s="146" t="s">
        <v>18</v>
      </c>
      <c r="C152" s="221">
        <v>2016</v>
      </c>
      <c r="D152" s="223">
        <v>7.1442009697337721</v>
      </c>
      <c r="E152" s="223"/>
      <c r="F152" s="223">
        <f t="shared" si="39"/>
        <v>7.1442009697337721</v>
      </c>
      <c r="G152" s="224">
        <f t="shared" si="40"/>
        <v>3.3548773361258806</v>
      </c>
      <c r="H152" s="225">
        <v>1282315</v>
      </c>
      <c r="I152" s="225">
        <v>8338</v>
      </c>
      <c r="J152" s="225">
        <f t="shared" si="41"/>
        <v>1289562</v>
      </c>
      <c r="K152" s="225">
        <f t="shared" si="42"/>
        <v>4511.333333333333</v>
      </c>
    </row>
    <row r="153" spans="1:11" x14ac:dyDescent="0.3">
      <c r="A153" s="221" t="str">
        <f t="shared" si="38"/>
        <v>YKY17</v>
      </c>
      <c r="B153" s="146" t="s">
        <v>18</v>
      </c>
      <c r="C153" s="221">
        <v>2017</v>
      </c>
      <c r="D153" s="223">
        <v>6.9803777694723053</v>
      </c>
      <c r="E153" s="223"/>
      <c r="F153" s="223">
        <f t="shared" si="39"/>
        <v>6.9803777694723053</v>
      </c>
      <c r="G153" s="224">
        <f t="shared" si="40"/>
        <v>5.3855037859223733</v>
      </c>
      <c r="H153" s="225">
        <v>1271707</v>
      </c>
      <c r="I153" s="225">
        <v>10051</v>
      </c>
      <c r="J153" s="225">
        <f t="shared" si="41"/>
        <v>1281725.3333333333</v>
      </c>
      <c r="K153" s="225">
        <f t="shared" si="42"/>
        <v>7278.666666666667</v>
      </c>
    </row>
    <row r="154" spans="1:11" x14ac:dyDescent="0.3">
      <c r="A154" s="221" t="str">
        <f t="shared" si="38"/>
        <v>YKY18</v>
      </c>
      <c r="B154" s="146" t="s">
        <v>18</v>
      </c>
      <c r="C154" s="221">
        <v>2018</v>
      </c>
      <c r="D154" s="223">
        <v>0.89300000000000002</v>
      </c>
      <c r="E154" s="223"/>
      <c r="F154" s="223">
        <f t="shared" si="39"/>
        <v>0.89300000000000002</v>
      </c>
      <c r="G154" s="224">
        <f t="shared" si="40"/>
        <v>5.0058595797353593</v>
      </c>
      <c r="H154" s="225">
        <v>1270935</v>
      </c>
      <c r="I154" s="225">
        <v>246</v>
      </c>
      <c r="J154" s="225">
        <f t="shared" si="41"/>
        <v>1274985.6666666667</v>
      </c>
      <c r="K154" s="225">
        <f t="shared" si="42"/>
        <v>6211.666666666667</v>
      </c>
    </row>
    <row r="155" spans="1:11" x14ac:dyDescent="0.3">
      <c r="A155" s="221" t="str">
        <f t="shared" si="38"/>
        <v>YKY19</v>
      </c>
      <c r="B155" s="146" t="s">
        <v>18</v>
      </c>
      <c r="C155" s="221">
        <v>2019</v>
      </c>
      <c r="D155" s="223">
        <v>0</v>
      </c>
      <c r="E155" s="223"/>
      <c r="F155" s="223">
        <f t="shared" si="39"/>
        <v>0</v>
      </c>
      <c r="G155" s="224">
        <f t="shared" si="40"/>
        <v>2.6244592564907685</v>
      </c>
      <c r="H155" s="225">
        <v>1270185</v>
      </c>
      <c r="I155" s="225">
        <v>250</v>
      </c>
      <c r="J155" s="225">
        <f t="shared" si="41"/>
        <v>1270942.3333333333</v>
      </c>
      <c r="K155" s="225">
        <f t="shared" si="42"/>
        <v>3515.6666666666665</v>
      </c>
    </row>
    <row r="156" spans="1:11" x14ac:dyDescent="0.3">
      <c r="A156" s="221" t="str">
        <f t="shared" si="38"/>
        <v>YKY20</v>
      </c>
      <c r="B156" s="146" t="s">
        <v>18</v>
      </c>
      <c r="C156" s="221">
        <v>2020</v>
      </c>
      <c r="D156" s="223">
        <v>0.78287808229636324</v>
      </c>
      <c r="E156" s="223"/>
      <c r="F156" s="223">
        <f t="shared" si="39"/>
        <v>0.78287808229636324</v>
      </c>
      <c r="G156" s="224">
        <f t="shared" si="40"/>
        <v>0.55862602743212109</v>
      </c>
      <c r="H156" s="225">
        <v>1269435</v>
      </c>
      <c r="I156" s="225">
        <v>250</v>
      </c>
      <c r="J156" s="225">
        <f t="shared" si="41"/>
        <v>1270185</v>
      </c>
      <c r="K156" s="225">
        <f t="shared" si="42"/>
        <v>248.66666666666666</v>
      </c>
    </row>
    <row r="157" spans="1:11" x14ac:dyDescent="0.3">
      <c r="A157" s="221" t="str">
        <f t="shared" si="38"/>
        <v>YKY21</v>
      </c>
      <c r="B157" s="146" t="s">
        <v>18</v>
      </c>
      <c r="C157" s="221">
        <v>2021</v>
      </c>
      <c r="D157" s="223">
        <v>3.1070000000000002</v>
      </c>
      <c r="E157" s="223">
        <v>0</v>
      </c>
      <c r="F157" s="223">
        <f t="shared" si="39"/>
        <v>3.1070000000000002</v>
      </c>
      <c r="G157" s="224">
        <f t="shared" si="40"/>
        <v>1.2966260274321211</v>
      </c>
      <c r="H157" s="225">
        <v>1267914</v>
      </c>
      <c r="I157" s="225">
        <v>1521.2</v>
      </c>
      <c r="J157" s="225">
        <f t="shared" si="41"/>
        <v>1269178</v>
      </c>
      <c r="K157" s="225">
        <f t="shared" si="42"/>
        <v>673.73333333333335</v>
      </c>
    </row>
    <row r="158" spans="1:11" x14ac:dyDescent="0.3">
      <c r="A158" s="221" t="str">
        <f t="shared" si="38"/>
        <v>YKY22</v>
      </c>
      <c r="B158" s="146" t="s">
        <v>18</v>
      </c>
      <c r="C158" s="221">
        <v>2022</v>
      </c>
      <c r="D158" s="223">
        <v>2.903</v>
      </c>
      <c r="E158" s="223">
        <v>0</v>
      </c>
      <c r="F158" s="223">
        <f t="shared" si="39"/>
        <v>2.903</v>
      </c>
      <c r="G158" s="224">
        <f t="shared" si="40"/>
        <v>2.264292694098788</v>
      </c>
      <c r="H158" s="225">
        <v>1266393</v>
      </c>
      <c r="I158" s="225">
        <v>1521.2</v>
      </c>
      <c r="J158" s="225">
        <f t="shared" si="41"/>
        <v>1267914</v>
      </c>
      <c r="K158" s="225">
        <f t="shared" si="42"/>
        <v>1097.4666666666667</v>
      </c>
    </row>
    <row r="159" spans="1:11" x14ac:dyDescent="0.3">
      <c r="A159" s="221" t="str">
        <f t="shared" si="38"/>
        <v>YKY23</v>
      </c>
      <c r="B159" s="146" t="s">
        <v>18</v>
      </c>
      <c r="C159" s="221">
        <v>2023</v>
      </c>
      <c r="D159" s="223">
        <v>2.468</v>
      </c>
      <c r="E159" s="223">
        <v>0</v>
      </c>
      <c r="F159" s="223">
        <f t="shared" si="39"/>
        <v>2.468</v>
      </c>
      <c r="G159" s="224">
        <f t="shared" si="40"/>
        <v>2.8260000000000001</v>
      </c>
      <c r="H159" s="225">
        <v>1264871</v>
      </c>
      <c r="I159" s="225">
        <v>1521.2</v>
      </c>
      <c r="J159" s="225">
        <f t="shared" si="41"/>
        <v>1266392.6666666667</v>
      </c>
      <c r="K159" s="225">
        <f t="shared" si="42"/>
        <v>1521.2</v>
      </c>
    </row>
    <row r="160" spans="1:11" x14ac:dyDescent="0.3">
      <c r="A160" s="221" t="str">
        <f t="shared" si="38"/>
        <v>YKY24</v>
      </c>
      <c r="B160" s="146" t="s">
        <v>18</v>
      </c>
      <c r="C160" s="221">
        <v>2024</v>
      </c>
      <c r="D160" s="223">
        <v>1.3839999999999999</v>
      </c>
      <c r="E160" s="223">
        <v>0</v>
      </c>
      <c r="F160" s="223">
        <f t="shared" si="39"/>
        <v>1.3839999999999999</v>
      </c>
      <c r="G160" s="224">
        <f t="shared" si="40"/>
        <v>2.2516666666666669</v>
      </c>
      <c r="H160" s="225">
        <v>1263350</v>
      </c>
      <c r="I160" s="225">
        <v>1521.2</v>
      </c>
      <c r="J160" s="225">
        <f t="shared" si="41"/>
        <v>1264871.3333333333</v>
      </c>
      <c r="K160" s="225">
        <f t="shared" si="42"/>
        <v>1521.2</v>
      </c>
    </row>
    <row r="161" spans="1:11" x14ac:dyDescent="0.3">
      <c r="A161" s="221" t="str">
        <f t="shared" si="38"/>
        <v>YKY25</v>
      </c>
      <c r="B161" s="146" t="s">
        <v>18</v>
      </c>
      <c r="C161" s="221">
        <v>2025</v>
      </c>
      <c r="D161" s="223">
        <v>2.4809999999999999</v>
      </c>
      <c r="E161" s="223">
        <v>0</v>
      </c>
      <c r="F161" s="223">
        <f t="shared" si="39"/>
        <v>2.4809999999999999</v>
      </c>
      <c r="G161" s="224">
        <f t="shared" si="40"/>
        <v>2.1110000000000002</v>
      </c>
      <c r="H161" s="225">
        <v>1261829</v>
      </c>
      <c r="I161" s="225">
        <v>1521.2</v>
      </c>
      <c r="J161" s="225">
        <f t="shared" si="41"/>
        <v>1263350</v>
      </c>
      <c r="K161" s="225">
        <f t="shared" si="42"/>
        <v>1521.2</v>
      </c>
    </row>
    <row r="162" spans="1:11" x14ac:dyDescent="0.3">
      <c r="A162" s="221" t="str">
        <f t="shared" si="38"/>
        <v>AFW12</v>
      </c>
      <c r="B162" s="146" t="s">
        <v>19</v>
      </c>
      <c r="C162" s="221">
        <v>2012</v>
      </c>
      <c r="D162" s="223">
        <v>5.277781744278518</v>
      </c>
      <c r="E162" s="223"/>
      <c r="F162" s="223">
        <f t="shared" si="39"/>
        <v>5.277781744278518</v>
      </c>
      <c r="G162" s="224"/>
      <c r="H162" s="225">
        <v>336926.74319131015</v>
      </c>
      <c r="I162" s="225">
        <v>6</v>
      </c>
      <c r="J162" s="225"/>
      <c r="K162" s="225"/>
    </row>
    <row r="163" spans="1:11" x14ac:dyDescent="0.3">
      <c r="A163" s="221" t="str">
        <f t="shared" si="38"/>
        <v>AFW13</v>
      </c>
      <c r="B163" s="146" t="s">
        <v>19</v>
      </c>
      <c r="C163" s="221">
        <v>2013</v>
      </c>
      <c r="D163" s="223">
        <v>0</v>
      </c>
      <c r="E163" s="223"/>
      <c r="F163" s="223">
        <f t="shared" si="39"/>
        <v>0</v>
      </c>
      <c r="G163" s="224"/>
      <c r="H163" s="225">
        <v>336129.71675675182</v>
      </c>
      <c r="I163" s="225">
        <v>3</v>
      </c>
      <c r="J163" s="225"/>
      <c r="K163" s="225"/>
    </row>
    <row r="164" spans="1:11" x14ac:dyDescent="0.3">
      <c r="A164" s="221" t="str">
        <f t="shared" si="38"/>
        <v>AFW14</v>
      </c>
      <c r="B164" s="146" t="s">
        <v>19</v>
      </c>
      <c r="C164" s="221">
        <v>2014</v>
      </c>
      <c r="D164" s="223">
        <v>0</v>
      </c>
      <c r="E164" s="223"/>
      <c r="F164" s="223">
        <f t="shared" si="39"/>
        <v>0</v>
      </c>
      <c r="G164" s="224">
        <f t="shared" ref="G164:G175" si="43">IF(OR(F162="",F163="",F164=""),"",AVERAGE(F162:F164))</f>
        <v>1.7592605814261726</v>
      </c>
      <c r="H164" s="225">
        <v>335363.98058383382</v>
      </c>
      <c r="I164" s="225">
        <v>0</v>
      </c>
      <c r="J164" s="225">
        <f t="shared" ref="J164:J175" si="44">IFERROR(IF(OR(H162="",H163="",H164=""),"",AVERAGE(H162:H164)),"")</f>
        <v>336140.14684396522</v>
      </c>
      <c r="K164" s="225">
        <f t="shared" ref="K164:K175" si="45">IFERROR(IF(OR(I162="",I163="",I164=""),"",AVERAGE(I162:I164)),"")</f>
        <v>3</v>
      </c>
    </row>
    <row r="165" spans="1:11" x14ac:dyDescent="0.3">
      <c r="A165" s="221" t="str">
        <f t="shared" si="38"/>
        <v>AFW15</v>
      </c>
      <c r="B165" s="146" t="s">
        <v>19</v>
      </c>
      <c r="C165" s="221">
        <v>2015</v>
      </c>
      <c r="D165" s="223">
        <v>0</v>
      </c>
      <c r="E165" s="223"/>
      <c r="F165" s="223">
        <f t="shared" si="39"/>
        <v>0</v>
      </c>
      <c r="G165" s="224">
        <f t="shared" si="43"/>
        <v>0</v>
      </c>
      <c r="H165" s="225">
        <v>334402.76230521803</v>
      </c>
      <c r="I165" s="225">
        <v>0</v>
      </c>
      <c r="J165" s="225">
        <f t="shared" si="44"/>
        <v>335298.81988193456</v>
      </c>
      <c r="K165" s="225">
        <f t="shared" si="45"/>
        <v>1</v>
      </c>
    </row>
    <row r="166" spans="1:11" x14ac:dyDescent="0.3">
      <c r="A166" s="221" t="str">
        <f t="shared" si="38"/>
        <v>AFW16</v>
      </c>
      <c r="B166" s="146" t="s">
        <v>19</v>
      </c>
      <c r="C166" s="221">
        <v>2016</v>
      </c>
      <c r="D166" s="223">
        <v>4.4312024958402656</v>
      </c>
      <c r="E166" s="223"/>
      <c r="F166" s="223">
        <f t="shared" si="39"/>
        <v>4.4312024958402656</v>
      </c>
      <c r="G166" s="224">
        <f t="shared" si="43"/>
        <v>1.4770674986134218</v>
      </c>
      <c r="H166" s="225">
        <v>330979.41235750105</v>
      </c>
      <c r="I166" s="225">
        <v>2379</v>
      </c>
      <c r="J166" s="225">
        <f t="shared" si="44"/>
        <v>333582.05174885091</v>
      </c>
      <c r="K166" s="225">
        <f t="shared" si="45"/>
        <v>793</v>
      </c>
    </row>
    <row r="167" spans="1:11" x14ac:dyDescent="0.3">
      <c r="A167" s="221" t="str">
        <f t="shared" si="38"/>
        <v>AFW17</v>
      </c>
      <c r="B167" s="146" t="s">
        <v>19</v>
      </c>
      <c r="C167" s="221">
        <v>2017</v>
      </c>
      <c r="D167" s="223">
        <v>2.817313910545753</v>
      </c>
      <c r="E167" s="223"/>
      <c r="F167" s="223">
        <f t="shared" si="39"/>
        <v>2.817313910545753</v>
      </c>
      <c r="G167" s="224">
        <f t="shared" si="43"/>
        <v>2.416172135462006</v>
      </c>
      <c r="H167" s="225">
        <v>326272.75351031608</v>
      </c>
      <c r="I167" s="225">
        <v>3490</v>
      </c>
      <c r="J167" s="225">
        <f t="shared" si="44"/>
        <v>330551.64272434503</v>
      </c>
      <c r="K167" s="225">
        <f t="shared" si="45"/>
        <v>1956.3333333333333</v>
      </c>
    </row>
    <row r="168" spans="1:11" x14ac:dyDescent="0.3">
      <c r="A168" s="221" t="str">
        <f t="shared" si="38"/>
        <v>AFW18</v>
      </c>
      <c r="B168" s="146" t="s">
        <v>19</v>
      </c>
      <c r="C168" s="221">
        <v>2018</v>
      </c>
      <c r="D168" s="223">
        <v>2.1419999999999999</v>
      </c>
      <c r="E168" s="223"/>
      <c r="F168" s="223">
        <f t="shared" si="39"/>
        <v>2.1419999999999999</v>
      </c>
      <c r="G168" s="224">
        <f t="shared" si="43"/>
        <v>3.130172135462006</v>
      </c>
      <c r="H168" s="225">
        <v>323913</v>
      </c>
      <c r="I168" s="225">
        <v>1120</v>
      </c>
      <c r="J168" s="225">
        <f t="shared" si="44"/>
        <v>327055.05528927239</v>
      </c>
      <c r="K168" s="225">
        <f t="shared" si="45"/>
        <v>2329.6666666666665</v>
      </c>
    </row>
    <row r="169" spans="1:11" x14ac:dyDescent="0.3">
      <c r="A169" s="221" t="str">
        <f t="shared" si="38"/>
        <v>AFW19</v>
      </c>
      <c r="B169" s="146" t="s">
        <v>19</v>
      </c>
      <c r="C169" s="221">
        <v>2019</v>
      </c>
      <c r="D169" s="223">
        <v>2.4204524954344837</v>
      </c>
      <c r="E169" s="223"/>
      <c r="F169" s="223">
        <f t="shared" si="39"/>
        <v>2.4204524954344837</v>
      </c>
      <c r="G169" s="224">
        <f t="shared" si="43"/>
        <v>2.4599221353267455</v>
      </c>
      <c r="H169" s="225">
        <v>318499</v>
      </c>
      <c r="I169" s="225">
        <v>4115</v>
      </c>
      <c r="J169" s="225">
        <f t="shared" si="44"/>
        <v>322894.91783677205</v>
      </c>
      <c r="K169" s="225">
        <f t="shared" si="45"/>
        <v>2908.3333333333335</v>
      </c>
    </row>
    <row r="170" spans="1:11" x14ac:dyDescent="0.3">
      <c r="A170" s="221" t="str">
        <f t="shared" si="38"/>
        <v>AFW20</v>
      </c>
      <c r="B170" s="146" t="s">
        <v>19</v>
      </c>
      <c r="C170" s="221">
        <v>2020</v>
      </c>
      <c r="D170" s="223">
        <v>2.3044814881253477</v>
      </c>
      <c r="E170" s="223"/>
      <c r="F170" s="223">
        <f t="shared" si="39"/>
        <v>2.3044814881253477</v>
      </c>
      <c r="G170" s="224">
        <f t="shared" si="43"/>
        <v>2.2889779945199433</v>
      </c>
      <c r="H170" s="225">
        <v>309008</v>
      </c>
      <c r="I170" s="225">
        <v>8150</v>
      </c>
      <c r="J170" s="225">
        <f t="shared" si="44"/>
        <v>317140</v>
      </c>
      <c r="K170" s="225">
        <f t="shared" si="45"/>
        <v>4461.666666666667</v>
      </c>
    </row>
    <row r="171" spans="1:11" x14ac:dyDescent="0.3">
      <c r="A171" s="221" t="str">
        <f t="shared" si="38"/>
        <v>AFW21</v>
      </c>
      <c r="B171" s="146" t="s">
        <v>19</v>
      </c>
      <c r="C171" s="221">
        <v>2021</v>
      </c>
      <c r="D171" s="223">
        <v>1.84</v>
      </c>
      <c r="E171" s="223">
        <v>0</v>
      </c>
      <c r="F171" s="223">
        <f t="shared" si="39"/>
        <v>1.84</v>
      </c>
      <c r="G171" s="224">
        <f t="shared" si="43"/>
        <v>2.1883113278532771</v>
      </c>
      <c r="H171" s="225">
        <v>305851</v>
      </c>
      <c r="I171" s="225">
        <v>1772</v>
      </c>
      <c r="J171" s="225">
        <f t="shared" si="44"/>
        <v>311119.33333333331</v>
      </c>
      <c r="K171" s="225">
        <f t="shared" si="45"/>
        <v>4679</v>
      </c>
    </row>
    <row r="172" spans="1:11" x14ac:dyDescent="0.3">
      <c r="A172" s="221" t="str">
        <f t="shared" si="38"/>
        <v>AFW22</v>
      </c>
      <c r="B172" s="146" t="s">
        <v>19</v>
      </c>
      <c r="C172" s="221">
        <v>2022</v>
      </c>
      <c r="D172" s="223">
        <v>1.839939</v>
      </c>
      <c r="E172" s="223">
        <v>0</v>
      </c>
      <c r="F172" s="223">
        <f t="shared" si="39"/>
        <v>1.839939</v>
      </c>
      <c r="G172" s="224">
        <f t="shared" si="43"/>
        <v>1.994806829375116</v>
      </c>
      <c r="H172" s="225">
        <v>302649</v>
      </c>
      <c r="I172" s="225">
        <v>1772</v>
      </c>
      <c r="J172" s="225">
        <f t="shared" si="44"/>
        <v>305836</v>
      </c>
      <c r="K172" s="225">
        <f t="shared" si="45"/>
        <v>3898</v>
      </c>
    </row>
    <row r="173" spans="1:11" x14ac:dyDescent="0.3">
      <c r="A173" s="221" t="str">
        <f t="shared" si="38"/>
        <v>AFW23</v>
      </c>
      <c r="B173" s="146" t="s">
        <v>19</v>
      </c>
      <c r="C173" s="221">
        <v>2023</v>
      </c>
      <c r="D173" s="223">
        <v>1.839939</v>
      </c>
      <c r="E173" s="223">
        <v>0</v>
      </c>
      <c r="F173" s="223">
        <f t="shared" si="39"/>
        <v>1.839939</v>
      </c>
      <c r="G173" s="224">
        <f t="shared" si="43"/>
        <v>1.8399593333333335</v>
      </c>
      <c r="H173" s="225">
        <v>299400</v>
      </c>
      <c r="I173" s="225">
        <v>1772</v>
      </c>
      <c r="J173" s="225">
        <f t="shared" si="44"/>
        <v>302633.33333333331</v>
      </c>
      <c r="K173" s="225">
        <f t="shared" si="45"/>
        <v>1772</v>
      </c>
    </row>
    <row r="174" spans="1:11" x14ac:dyDescent="0.3">
      <c r="A174" s="221" t="str">
        <f t="shared" si="38"/>
        <v>AFW24</v>
      </c>
      <c r="B174" s="146" t="s">
        <v>19</v>
      </c>
      <c r="C174" s="221">
        <v>2024</v>
      </c>
      <c r="D174" s="223">
        <v>1.839939</v>
      </c>
      <c r="E174" s="223">
        <v>0</v>
      </c>
      <c r="F174" s="223">
        <f t="shared" si="39"/>
        <v>1.839939</v>
      </c>
      <c r="G174" s="224">
        <f t="shared" si="43"/>
        <v>1.839939</v>
      </c>
      <c r="H174" s="225">
        <v>296102</v>
      </c>
      <c r="I174" s="225">
        <v>1772</v>
      </c>
      <c r="J174" s="225">
        <f t="shared" si="44"/>
        <v>299383.66666666669</v>
      </c>
      <c r="K174" s="225">
        <f t="shared" si="45"/>
        <v>1772</v>
      </c>
    </row>
    <row r="175" spans="1:11" x14ac:dyDescent="0.3">
      <c r="A175" s="221" t="str">
        <f t="shared" si="38"/>
        <v>AFW25</v>
      </c>
      <c r="B175" s="146" t="s">
        <v>19</v>
      </c>
      <c r="C175" s="221">
        <v>2025</v>
      </c>
      <c r="D175" s="223">
        <v>1.839939</v>
      </c>
      <c r="E175" s="223">
        <v>0</v>
      </c>
      <c r="F175" s="223">
        <f t="shared" si="39"/>
        <v>1.839939</v>
      </c>
      <c r="G175" s="224">
        <f t="shared" si="43"/>
        <v>1.839939</v>
      </c>
      <c r="H175" s="225">
        <v>292754</v>
      </c>
      <c r="I175" s="225">
        <v>1772</v>
      </c>
      <c r="J175" s="225">
        <f t="shared" si="44"/>
        <v>296085.33333333331</v>
      </c>
      <c r="K175" s="225">
        <f t="shared" si="45"/>
        <v>1772</v>
      </c>
    </row>
    <row r="176" spans="1:11" x14ac:dyDescent="0.3">
      <c r="A176" s="221" t="str">
        <f t="shared" si="38"/>
        <v>BRL12</v>
      </c>
      <c r="B176" s="146" t="s">
        <v>20</v>
      </c>
      <c r="C176" s="221">
        <v>2012</v>
      </c>
      <c r="D176" s="223">
        <v>0.10387593885305289</v>
      </c>
      <c r="E176" s="223"/>
      <c r="F176" s="223">
        <f t="shared" si="39"/>
        <v>0.10387593885305289</v>
      </c>
      <c r="G176" s="224"/>
      <c r="H176" s="225">
        <v>162297</v>
      </c>
      <c r="I176" s="225">
        <v>54</v>
      </c>
      <c r="J176" s="225"/>
      <c r="K176" s="225"/>
    </row>
    <row r="177" spans="1:11" x14ac:dyDescent="0.3">
      <c r="A177" s="221" t="str">
        <f t="shared" si="38"/>
        <v>BRL13</v>
      </c>
      <c r="B177" s="146" t="s">
        <v>20</v>
      </c>
      <c r="C177" s="221">
        <v>2013</v>
      </c>
      <c r="D177" s="223">
        <v>1.7717732528041417</v>
      </c>
      <c r="E177" s="223"/>
      <c r="F177" s="223">
        <f t="shared" si="39"/>
        <v>1.7717732528041417</v>
      </c>
      <c r="G177" s="224"/>
      <c r="H177" s="225">
        <v>158641</v>
      </c>
      <c r="I177" s="225">
        <v>67</v>
      </c>
      <c r="J177" s="225"/>
      <c r="K177" s="225"/>
    </row>
    <row r="178" spans="1:11" x14ac:dyDescent="0.3">
      <c r="A178" s="221" t="str">
        <f t="shared" si="38"/>
        <v>BRL14</v>
      </c>
      <c r="B178" s="146" t="s">
        <v>20</v>
      </c>
      <c r="C178" s="221">
        <v>2014</v>
      </c>
      <c r="D178" s="223">
        <v>1.5495094658553072</v>
      </c>
      <c r="E178" s="223"/>
      <c r="F178" s="223">
        <f t="shared" si="39"/>
        <v>1.5495094658553072</v>
      </c>
      <c r="G178" s="224">
        <f t="shared" ref="G178:G189" si="46">IF(OR(F176="",F177="",F178=""),"",AVERAGE(F176:F178))</f>
        <v>1.1417195525041672</v>
      </c>
      <c r="H178" s="225">
        <v>156396</v>
      </c>
      <c r="I178" s="225">
        <v>42</v>
      </c>
      <c r="J178" s="225">
        <f t="shared" ref="J178:J189" si="47">IFERROR(IF(OR(H176="",H177="",H178=""),"",AVERAGE(H176:H178)),"")</f>
        <v>159111.33333333334</v>
      </c>
      <c r="K178" s="225">
        <f t="shared" ref="K178:K189" si="48">IFERROR(IF(OR(I176="",I177="",I178=""),"",AVERAGE(I176:I178)),"")</f>
        <v>54.333333333333336</v>
      </c>
    </row>
    <row r="179" spans="1:11" x14ac:dyDescent="0.3">
      <c r="A179" s="221" t="str">
        <f t="shared" si="38"/>
        <v>BRL15</v>
      </c>
      <c r="B179" s="146" t="s">
        <v>20</v>
      </c>
      <c r="C179" s="221">
        <v>2015</v>
      </c>
      <c r="D179" s="223">
        <v>0.59880822261218369</v>
      </c>
      <c r="E179" s="223"/>
      <c r="F179" s="223">
        <f t="shared" si="39"/>
        <v>0.59880822261218369</v>
      </c>
      <c r="G179" s="224">
        <f t="shared" si="46"/>
        <v>1.3066969804238775</v>
      </c>
      <c r="H179" s="225">
        <v>154811</v>
      </c>
      <c r="I179" s="225">
        <v>46</v>
      </c>
      <c r="J179" s="225">
        <f t="shared" si="47"/>
        <v>156616</v>
      </c>
      <c r="K179" s="225">
        <f t="shared" si="48"/>
        <v>51.666666666666664</v>
      </c>
    </row>
    <row r="180" spans="1:11" x14ac:dyDescent="0.3">
      <c r="A180" s="221" t="str">
        <f t="shared" si="38"/>
        <v>BRL16</v>
      </c>
      <c r="B180" s="146" t="s">
        <v>20</v>
      </c>
      <c r="C180" s="221">
        <v>2016</v>
      </c>
      <c r="D180" s="223">
        <v>3.7455574043261226E-2</v>
      </c>
      <c r="E180" s="223"/>
      <c r="F180" s="223">
        <f t="shared" si="39"/>
        <v>3.7455574043261226E-2</v>
      </c>
      <c r="G180" s="224">
        <f t="shared" si="46"/>
        <v>0.72859108750358414</v>
      </c>
      <c r="H180" s="225">
        <v>153583</v>
      </c>
      <c r="I180" s="225">
        <v>50</v>
      </c>
      <c r="J180" s="225">
        <f t="shared" si="47"/>
        <v>154930</v>
      </c>
      <c r="K180" s="225">
        <f t="shared" si="48"/>
        <v>46</v>
      </c>
    </row>
    <row r="181" spans="1:11" x14ac:dyDescent="0.3">
      <c r="A181" s="221" t="str">
        <f t="shared" si="38"/>
        <v>BRL17</v>
      </c>
      <c r="B181" s="146" t="s">
        <v>20</v>
      </c>
      <c r="C181" s="221">
        <v>2017</v>
      </c>
      <c r="D181" s="223">
        <v>0.12110857611817807</v>
      </c>
      <c r="E181" s="223"/>
      <c r="F181" s="223">
        <f t="shared" si="39"/>
        <v>0.12110857611817807</v>
      </c>
      <c r="G181" s="224">
        <f t="shared" si="46"/>
        <v>0.25245745759120769</v>
      </c>
      <c r="H181" s="225">
        <v>152501</v>
      </c>
      <c r="I181" s="225">
        <v>106</v>
      </c>
      <c r="J181" s="225">
        <f t="shared" si="47"/>
        <v>153631.66666666666</v>
      </c>
      <c r="K181" s="225">
        <f t="shared" si="48"/>
        <v>67.333333333333329</v>
      </c>
    </row>
    <row r="182" spans="1:11" x14ac:dyDescent="0.3">
      <c r="A182" s="221" t="str">
        <f t="shared" si="38"/>
        <v>BRL18</v>
      </c>
      <c r="B182" s="146" t="s">
        <v>20</v>
      </c>
      <c r="C182" s="221">
        <v>2018</v>
      </c>
      <c r="D182" s="223">
        <v>8.7999999999999995E-2</v>
      </c>
      <c r="E182" s="223"/>
      <c r="F182" s="223">
        <f t="shared" si="39"/>
        <v>8.7999999999999995E-2</v>
      </c>
      <c r="G182" s="224">
        <f t="shared" si="46"/>
        <v>8.2188050053813091E-2</v>
      </c>
      <c r="H182" s="225">
        <v>149055</v>
      </c>
      <c r="I182" s="225">
        <v>86</v>
      </c>
      <c r="J182" s="225">
        <f t="shared" si="47"/>
        <v>151713</v>
      </c>
      <c r="K182" s="225">
        <f t="shared" si="48"/>
        <v>80.666666666666671</v>
      </c>
    </row>
    <row r="183" spans="1:11" x14ac:dyDescent="0.3">
      <c r="A183" s="221" t="str">
        <f t="shared" si="38"/>
        <v>BRL19</v>
      </c>
      <c r="B183" s="146" t="s">
        <v>20</v>
      </c>
      <c r="C183" s="221">
        <v>2019</v>
      </c>
      <c r="D183" s="223">
        <v>0.1174088562040369</v>
      </c>
      <c r="E183" s="223"/>
      <c r="F183" s="223">
        <f t="shared" si="39"/>
        <v>0.1174088562040369</v>
      </c>
      <c r="G183" s="224">
        <f t="shared" si="46"/>
        <v>0.10883914410740499</v>
      </c>
      <c r="H183" s="225">
        <v>147546</v>
      </c>
      <c r="I183" s="225">
        <v>73</v>
      </c>
      <c r="J183" s="225">
        <f t="shared" si="47"/>
        <v>149700.66666666666</v>
      </c>
      <c r="K183" s="225">
        <f t="shared" si="48"/>
        <v>88.333333333333329</v>
      </c>
    </row>
    <row r="184" spans="1:11" x14ac:dyDescent="0.3">
      <c r="A184" s="221" t="str">
        <f t="shared" si="38"/>
        <v>BRL20</v>
      </c>
      <c r="B184" s="146" t="s">
        <v>20</v>
      </c>
      <c r="C184" s="221">
        <v>2020</v>
      </c>
      <c r="D184" s="223">
        <v>4.8040872771972963E-2</v>
      </c>
      <c r="E184" s="223"/>
      <c r="F184" s="223">
        <f t="shared" si="39"/>
        <v>4.8040872771972963E-2</v>
      </c>
      <c r="G184" s="224">
        <f t="shared" si="46"/>
        <v>8.4483242992003285E-2</v>
      </c>
      <c r="H184" s="225">
        <v>146036</v>
      </c>
      <c r="I184" s="225">
        <v>46</v>
      </c>
      <c r="J184" s="225">
        <f t="shared" si="47"/>
        <v>147545.66666666666</v>
      </c>
      <c r="K184" s="225">
        <f t="shared" si="48"/>
        <v>68.333333333333329</v>
      </c>
    </row>
    <row r="185" spans="1:11" x14ac:dyDescent="0.3">
      <c r="A185" s="221" t="str">
        <f t="shared" si="38"/>
        <v>BRL21</v>
      </c>
      <c r="B185" s="146" t="s">
        <v>20</v>
      </c>
      <c r="C185" s="221">
        <v>2021</v>
      </c>
      <c r="D185" s="223">
        <v>6.5000000000000002E-2</v>
      </c>
      <c r="E185" s="223">
        <v>0</v>
      </c>
      <c r="F185" s="223">
        <f t="shared" si="39"/>
        <v>6.5000000000000002E-2</v>
      </c>
      <c r="G185" s="224">
        <f t="shared" si="46"/>
        <v>7.681657632533663E-2</v>
      </c>
      <c r="H185" s="225">
        <v>144527</v>
      </c>
      <c r="I185" s="225">
        <v>128</v>
      </c>
      <c r="J185" s="225">
        <f t="shared" si="47"/>
        <v>146036.33333333334</v>
      </c>
      <c r="K185" s="225">
        <f t="shared" si="48"/>
        <v>82.333333333333329</v>
      </c>
    </row>
    <row r="186" spans="1:11" x14ac:dyDescent="0.3">
      <c r="A186" s="221" t="str">
        <f t="shared" ref="A186:A217" si="49">(B186&amp;RIGHT(C186,2))</f>
        <v>BRL22</v>
      </c>
      <c r="B186" s="146" t="s">
        <v>20</v>
      </c>
      <c r="C186" s="221">
        <v>2022</v>
      </c>
      <c r="D186" s="223">
        <v>6.5000000000000002E-2</v>
      </c>
      <c r="E186" s="223">
        <v>0</v>
      </c>
      <c r="F186" s="223">
        <f t="shared" ref="F186:F217" si="50">D186+E186</f>
        <v>6.5000000000000002E-2</v>
      </c>
      <c r="G186" s="224">
        <f t="shared" si="46"/>
        <v>5.934695759065766E-2</v>
      </c>
      <c r="H186" s="225">
        <v>143018</v>
      </c>
      <c r="I186" s="225">
        <v>129</v>
      </c>
      <c r="J186" s="225">
        <f t="shared" si="47"/>
        <v>144527</v>
      </c>
      <c r="K186" s="225">
        <f t="shared" si="48"/>
        <v>101</v>
      </c>
    </row>
    <row r="187" spans="1:11" x14ac:dyDescent="0.3">
      <c r="A187" s="221" t="str">
        <f t="shared" si="49"/>
        <v>BRL23</v>
      </c>
      <c r="B187" s="146" t="s">
        <v>20</v>
      </c>
      <c r="C187" s="221">
        <v>2023</v>
      </c>
      <c r="D187" s="223">
        <v>6.5000000000000002E-2</v>
      </c>
      <c r="E187" s="223">
        <v>0</v>
      </c>
      <c r="F187" s="223">
        <f t="shared" si="50"/>
        <v>6.5000000000000002E-2</v>
      </c>
      <c r="G187" s="224">
        <f t="shared" si="46"/>
        <v>6.5000000000000002E-2</v>
      </c>
      <c r="H187" s="225">
        <v>141508</v>
      </c>
      <c r="I187" s="225">
        <v>129</v>
      </c>
      <c r="J187" s="225">
        <f t="shared" si="47"/>
        <v>143017.66666666666</v>
      </c>
      <c r="K187" s="225">
        <f t="shared" si="48"/>
        <v>128.66666666666666</v>
      </c>
    </row>
    <row r="188" spans="1:11" x14ac:dyDescent="0.3">
      <c r="A188" s="221" t="str">
        <f t="shared" si="49"/>
        <v>BRL24</v>
      </c>
      <c r="B188" s="146" t="s">
        <v>20</v>
      </c>
      <c r="C188" s="221">
        <v>2024</v>
      </c>
      <c r="D188" s="223">
        <v>6.5000000000000002E-2</v>
      </c>
      <c r="E188" s="223">
        <v>0</v>
      </c>
      <c r="F188" s="223">
        <f t="shared" si="50"/>
        <v>6.5000000000000002E-2</v>
      </c>
      <c r="G188" s="224">
        <f t="shared" si="46"/>
        <v>6.5000000000000002E-2</v>
      </c>
      <c r="H188" s="225">
        <v>139999</v>
      </c>
      <c r="I188" s="225">
        <v>129</v>
      </c>
      <c r="J188" s="225">
        <f t="shared" si="47"/>
        <v>141508.33333333334</v>
      </c>
      <c r="K188" s="225">
        <f t="shared" si="48"/>
        <v>129</v>
      </c>
    </row>
    <row r="189" spans="1:11" x14ac:dyDescent="0.3">
      <c r="A189" s="221" t="str">
        <f t="shared" si="49"/>
        <v>BRL25</v>
      </c>
      <c r="B189" s="146" t="s">
        <v>20</v>
      </c>
      <c r="C189" s="221">
        <v>2025</v>
      </c>
      <c r="D189" s="223">
        <v>6.5000000000000002E-2</v>
      </c>
      <c r="E189" s="223">
        <v>0</v>
      </c>
      <c r="F189" s="223">
        <f t="shared" si="50"/>
        <v>6.5000000000000002E-2</v>
      </c>
      <c r="G189" s="224">
        <f t="shared" si="46"/>
        <v>6.5000000000000002E-2</v>
      </c>
      <c r="H189" s="225">
        <v>138490</v>
      </c>
      <c r="I189" s="225">
        <v>129</v>
      </c>
      <c r="J189" s="225">
        <f t="shared" si="47"/>
        <v>139999</v>
      </c>
      <c r="K189" s="225">
        <f t="shared" si="48"/>
        <v>129</v>
      </c>
    </row>
    <row r="190" spans="1:11" x14ac:dyDescent="0.3">
      <c r="A190" s="221" t="str">
        <f t="shared" si="49"/>
        <v>BWH12</v>
      </c>
      <c r="B190" s="146" t="s">
        <v>21</v>
      </c>
      <c r="C190" s="221">
        <v>2012</v>
      </c>
      <c r="D190" s="223">
        <v>0</v>
      </c>
      <c r="E190" s="223"/>
      <c r="F190" s="223">
        <f t="shared" si="50"/>
        <v>0</v>
      </c>
      <c r="G190" s="224"/>
      <c r="H190" s="225">
        <v>0</v>
      </c>
      <c r="I190" s="225">
        <v>0</v>
      </c>
      <c r="J190" s="225"/>
      <c r="K190" s="225"/>
    </row>
    <row r="191" spans="1:11" x14ac:dyDescent="0.3">
      <c r="A191" s="221" t="str">
        <f t="shared" si="49"/>
        <v>BWH13</v>
      </c>
      <c r="B191" s="146" t="s">
        <v>21</v>
      </c>
      <c r="C191" s="221">
        <v>2013</v>
      </c>
      <c r="D191" s="223">
        <v>0</v>
      </c>
      <c r="E191" s="223"/>
      <c r="F191" s="223">
        <f t="shared" si="50"/>
        <v>0</v>
      </c>
      <c r="G191" s="224"/>
      <c r="H191" s="225">
        <v>0</v>
      </c>
      <c r="I191" s="225">
        <v>0</v>
      </c>
      <c r="J191" s="225"/>
      <c r="K191" s="225"/>
    </row>
    <row r="192" spans="1:11" x14ac:dyDescent="0.3">
      <c r="A192" s="221" t="str">
        <f t="shared" si="49"/>
        <v>BWH14</v>
      </c>
      <c r="B192" s="146" t="s">
        <v>21</v>
      </c>
      <c r="C192" s="221">
        <v>2014</v>
      </c>
      <c r="D192" s="223">
        <v>0</v>
      </c>
      <c r="E192" s="223"/>
      <c r="F192" s="223">
        <f t="shared" si="50"/>
        <v>0</v>
      </c>
      <c r="G192" s="224">
        <f t="shared" ref="G192:G203" si="51">IF(OR(F190="",F191="",F192=""),"",AVERAGE(F190:F192))</f>
        <v>0</v>
      </c>
      <c r="H192" s="225">
        <v>0</v>
      </c>
      <c r="I192" s="225">
        <v>0</v>
      </c>
      <c r="J192" s="225">
        <f t="shared" ref="J192:J203" si="52">IFERROR(IF(OR(H190="",H191="",H192=""),"",AVERAGE(H190:H192)),"")</f>
        <v>0</v>
      </c>
      <c r="K192" s="225">
        <f t="shared" ref="K192:K203" si="53">IFERROR(IF(OR(I190="",I191="",I192=""),"",AVERAGE(I190:I192)),"")</f>
        <v>0</v>
      </c>
    </row>
    <row r="193" spans="1:11" x14ac:dyDescent="0.3">
      <c r="A193" s="221" t="str">
        <f t="shared" si="49"/>
        <v>BWH15</v>
      </c>
      <c r="B193" s="146" t="s">
        <v>21</v>
      </c>
      <c r="C193" s="221">
        <v>2015</v>
      </c>
      <c r="D193" s="223">
        <v>0</v>
      </c>
      <c r="E193" s="223"/>
      <c r="F193" s="223">
        <f t="shared" si="50"/>
        <v>0</v>
      </c>
      <c r="G193" s="224">
        <f t="shared" si="51"/>
        <v>0</v>
      </c>
      <c r="H193" s="225">
        <v>0</v>
      </c>
      <c r="I193" s="225">
        <v>0</v>
      </c>
      <c r="J193" s="225">
        <f t="shared" si="52"/>
        <v>0</v>
      </c>
      <c r="K193" s="225">
        <f t="shared" si="53"/>
        <v>0</v>
      </c>
    </row>
    <row r="194" spans="1:11" x14ac:dyDescent="0.3">
      <c r="A194" s="221" t="str">
        <f t="shared" si="49"/>
        <v>BWH16</v>
      </c>
      <c r="B194" s="146" t="s">
        <v>21</v>
      </c>
      <c r="C194" s="221">
        <v>2016</v>
      </c>
      <c r="D194" s="223">
        <v>0</v>
      </c>
      <c r="E194" s="223"/>
      <c r="F194" s="223">
        <f t="shared" si="50"/>
        <v>0</v>
      </c>
      <c r="G194" s="224">
        <f t="shared" si="51"/>
        <v>0</v>
      </c>
      <c r="H194" s="225">
        <v>0</v>
      </c>
      <c r="I194" s="225">
        <v>0</v>
      </c>
      <c r="J194" s="225">
        <f t="shared" si="52"/>
        <v>0</v>
      </c>
      <c r="K194" s="225">
        <f t="shared" si="53"/>
        <v>0</v>
      </c>
    </row>
    <row r="195" spans="1:11" x14ac:dyDescent="0.3">
      <c r="A195" s="221" t="str">
        <f t="shared" si="49"/>
        <v>BWH17</v>
      </c>
      <c r="B195" s="146" t="s">
        <v>21</v>
      </c>
      <c r="C195" s="221">
        <v>2017</v>
      </c>
      <c r="D195" s="223">
        <v>0</v>
      </c>
      <c r="E195" s="223"/>
      <c r="F195" s="223">
        <f t="shared" si="50"/>
        <v>0</v>
      </c>
      <c r="G195" s="224">
        <f t="shared" si="51"/>
        <v>0</v>
      </c>
      <c r="H195" s="225">
        <v>0</v>
      </c>
      <c r="I195" s="225">
        <v>0</v>
      </c>
      <c r="J195" s="225">
        <f t="shared" si="52"/>
        <v>0</v>
      </c>
      <c r="K195" s="225">
        <f t="shared" si="53"/>
        <v>0</v>
      </c>
    </row>
    <row r="196" spans="1:11" x14ac:dyDescent="0.3">
      <c r="A196" s="221" t="str">
        <f t="shared" si="49"/>
        <v>BWH18</v>
      </c>
      <c r="B196" s="146" t="s">
        <v>21</v>
      </c>
      <c r="C196" s="221">
        <v>2018</v>
      </c>
      <c r="D196" s="223">
        <v>0</v>
      </c>
      <c r="E196" s="223"/>
      <c r="F196" s="223">
        <f t="shared" si="50"/>
        <v>0</v>
      </c>
      <c r="G196" s="224">
        <f t="shared" si="51"/>
        <v>0</v>
      </c>
      <c r="H196" s="225">
        <v>0</v>
      </c>
      <c r="I196" s="225">
        <v>0</v>
      </c>
      <c r="J196" s="225">
        <f t="shared" si="52"/>
        <v>0</v>
      </c>
      <c r="K196" s="225">
        <f t="shared" si="53"/>
        <v>0</v>
      </c>
    </row>
    <row r="197" spans="1:11" x14ac:dyDescent="0.3">
      <c r="A197" s="221" t="str">
        <f t="shared" si="49"/>
        <v>BWH19</v>
      </c>
      <c r="B197" s="146" t="s">
        <v>21</v>
      </c>
      <c r="C197" s="221">
        <v>2019</v>
      </c>
      <c r="D197" s="223">
        <v>0</v>
      </c>
      <c r="E197" s="223"/>
      <c r="F197" s="223">
        <f t="shared" si="50"/>
        <v>0</v>
      </c>
      <c r="G197" s="224">
        <f t="shared" si="51"/>
        <v>0</v>
      </c>
      <c r="H197" s="225">
        <v>0</v>
      </c>
      <c r="I197" s="225">
        <v>0</v>
      </c>
      <c r="J197" s="225">
        <f t="shared" si="52"/>
        <v>0</v>
      </c>
      <c r="K197" s="225">
        <f t="shared" si="53"/>
        <v>0</v>
      </c>
    </row>
    <row r="198" spans="1:11" x14ac:dyDescent="0.3">
      <c r="A198" s="221" t="str">
        <f t="shared" si="49"/>
        <v>BWH20</v>
      </c>
      <c r="B198" s="146" t="s">
        <v>21</v>
      </c>
      <c r="C198" s="221">
        <v>2020</v>
      </c>
      <c r="D198" s="223">
        <v>0</v>
      </c>
      <c r="E198" s="223"/>
      <c r="F198" s="223">
        <f t="shared" si="50"/>
        <v>0</v>
      </c>
      <c r="G198" s="224">
        <f t="shared" si="51"/>
        <v>0</v>
      </c>
      <c r="H198" s="225">
        <v>0</v>
      </c>
      <c r="I198" s="225">
        <v>0</v>
      </c>
      <c r="J198" s="225">
        <f t="shared" si="52"/>
        <v>0</v>
      </c>
      <c r="K198" s="225">
        <f t="shared" si="53"/>
        <v>0</v>
      </c>
    </row>
    <row r="199" spans="1:11" x14ac:dyDescent="0.3">
      <c r="A199" s="221" t="str">
        <f t="shared" si="49"/>
        <v>BWH21</v>
      </c>
      <c r="B199" s="146" t="s">
        <v>21</v>
      </c>
      <c r="C199" s="221">
        <v>2021</v>
      </c>
      <c r="D199" s="223">
        <v>0</v>
      </c>
      <c r="E199" s="223"/>
      <c r="F199" s="223">
        <f t="shared" si="50"/>
        <v>0</v>
      </c>
      <c r="G199" s="224">
        <f t="shared" si="51"/>
        <v>0</v>
      </c>
      <c r="H199" s="225">
        <v>0</v>
      </c>
      <c r="I199" s="225">
        <v>0</v>
      </c>
      <c r="J199" s="225">
        <f t="shared" si="52"/>
        <v>0</v>
      </c>
      <c r="K199" s="225">
        <f t="shared" si="53"/>
        <v>0</v>
      </c>
    </row>
    <row r="200" spans="1:11" x14ac:dyDescent="0.3">
      <c r="A200" s="221" t="str">
        <f t="shared" si="49"/>
        <v>BWH22</v>
      </c>
      <c r="B200" s="146" t="s">
        <v>21</v>
      </c>
      <c r="C200" s="221">
        <v>2022</v>
      </c>
      <c r="D200" s="223">
        <v>0</v>
      </c>
      <c r="E200" s="223"/>
      <c r="F200" s="223">
        <f t="shared" si="50"/>
        <v>0</v>
      </c>
      <c r="G200" s="224">
        <f t="shared" si="51"/>
        <v>0</v>
      </c>
      <c r="H200" s="225">
        <v>0</v>
      </c>
      <c r="I200" s="225">
        <v>0</v>
      </c>
      <c r="J200" s="225">
        <f t="shared" si="52"/>
        <v>0</v>
      </c>
      <c r="K200" s="225">
        <f t="shared" si="53"/>
        <v>0</v>
      </c>
    </row>
    <row r="201" spans="1:11" x14ac:dyDescent="0.3">
      <c r="A201" s="221" t="str">
        <f t="shared" si="49"/>
        <v>BWH23</v>
      </c>
      <c r="B201" s="146" t="s">
        <v>21</v>
      </c>
      <c r="C201" s="221">
        <v>2023</v>
      </c>
      <c r="D201" s="223">
        <v>0</v>
      </c>
      <c r="E201" s="223"/>
      <c r="F201" s="223">
        <f t="shared" si="50"/>
        <v>0</v>
      </c>
      <c r="G201" s="224">
        <f t="shared" si="51"/>
        <v>0</v>
      </c>
      <c r="H201" s="225">
        <v>0</v>
      </c>
      <c r="I201" s="225">
        <v>0</v>
      </c>
      <c r="J201" s="225">
        <f t="shared" si="52"/>
        <v>0</v>
      </c>
      <c r="K201" s="225">
        <f t="shared" si="53"/>
        <v>0</v>
      </c>
    </row>
    <row r="202" spans="1:11" x14ac:dyDescent="0.3">
      <c r="A202" s="221" t="str">
        <f t="shared" si="49"/>
        <v>BWH24</v>
      </c>
      <c r="B202" s="146" t="s">
        <v>21</v>
      </c>
      <c r="C202" s="221">
        <v>2024</v>
      </c>
      <c r="D202" s="223">
        <v>0</v>
      </c>
      <c r="E202" s="223"/>
      <c r="F202" s="223">
        <f t="shared" si="50"/>
        <v>0</v>
      </c>
      <c r="G202" s="224">
        <f t="shared" si="51"/>
        <v>0</v>
      </c>
      <c r="H202" s="225">
        <v>0</v>
      </c>
      <c r="I202" s="225">
        <v>0</v>
      </c>
      <c r="J202" s="225">
        <f t="shared" si="52"/>
        <v>0</v>
      </c>
      <c r="K202" s="225">
        <f t="shared" si="53"/>
        <v>0</v>
      </c>
    </row>
    <row r="203" spans="1:11" x14ac:dyDescent="0.3">
      <c r="A203" s="221" t="str">
        <f t="shared" si="49"/>
        <v>BWH25</v>
      </c>
      <c r="B203" s="146" t="s">
        <v>21</v>
      </c>
      <c r="C203" s="221">
        <v>2025</v>
      </c>
      <c r="D203" s="223">
        <v>0</v>
      </c>
      <c r="E203" s="223"/>
      <c r="F203" s="223">
        <f t="shared" si="50"/>
        <v>0</v>
      </c>
      <c r="G203" s="224">
        <f t="shared" si="51"/>
        <v>0</v>
      </c>
      <c r="H203" s="225">
        <v>0</v>
      </c>
      <c r="I203" s="225">
        <v>0</v>
      </c>
      <c r="J203" s="225">
        <f t="shared" si="52"/>
        <v>0</v>
      </c>
      <c r="K203" s="225">
        <f t="shared" si="53"/>
        <v>0</v>
      </c>
    </row>
    <row r="204" spans="1:11" x14ac:dyDescent="0.3">
      <c r="A204" s="221" t="str">
        <f t="shared" si="49"/>
        <v>DVW12</v>
      </c>
      <c r="B204" s="146" t="s">
        <v>22</v>
      </c>
      <c r="C204" s="221">
        <v>2012</v>
      </c>
      <c r="D204" s="223">
        <v>0</v>
      </c>
      <c r="E204" s="223"/>
      <c r="F204" s="223">
        <f t="shared" si="50"/>
        <v>0</v>
      </c>
      <c r="G204" s="224"/>
      <c r="H204" s="225">
        <v>30965.220218539369</v>
      </c>
      <c r="I204" s="225">
        <v>34</v>
      </c>
      <c r="J204" s="225"/>
      <c r="K204" s="225"/>
    </row>
    <row r="205" spans="1:11" x14ac:dyDescent="0.3">
      <c r="A205" s="221" t="str">
        <f t="shared" si="49"/>
        <v>DVW13</v>
      </c>
      <c r="B205" s="146" t="s">
        <v>22</v>
      </c>
      <c r="C205" s="221">
        <v>2013</v>
      </c>
      <c r="D205" s="223">
        <v>0</v>
      </c>
      <c r="E205" s="223"/>
      <c r="F205" s="223">
        <f t="shared" si="50"/>
        <v>0</v>
      </c>
      <c r="G205" s="224"/>
      <c r="H205" s="225">
        <v>30946.220218539369</v>
      </c>
      <c r="I205" s="225">
        <v>19</v>
      </c>
      <c r="J205" s="225"/>
      <c r="K205" s="225"/>
    </row>
    <row r="206" spans="1:11" x14ac:dyDescent="0.3">
      <c r="A206" s="221" t="str">
        <f t="shared" si="49"/>
        <v>DVW14</v>
      </c>
      <c r="B206" s="146" t="s">
        <v>22</v>
      </c>
      <c r="C206" s="221">
        <v>2014</v>
      </c>
      <c r="D206" s="223">
        <v>0</v>
      </c>
      <c r="E206" s="223"/>
      <c r="F206" s="223">
        <f t="shared" si="50"/>
        <v>0</v>
      </c>
      <c r="G206" s="224">
        <f t="shared" ref="G206:G217" si="54">IF(OR(F204="",F205="",F206=""),"",AVERAGE(F204:F206))</f>
        <v>0</v>
      </c>
      <c r="H206" s="225">
        <v>30918.220218539369</v>
      </c>
      <c r="I206" s="225">
        <v>28</v>
      </c>
      <c r="J206" s="225">
        <f t="shared" ref="J206:J217" si="55">IFERROR(IF(OR(H204="",H205="",H206=""),"",AVERAGE(H204:H206)),"")</f>
        <v>30943.220218539369</v>
      </c>
      <c r="K206" s="225">
        <f t="shared" ref="K206:K217" si="56">IFERROR(IF(OR(I204="",I205="",I206=""),"",AVERAGE(I204:I206)),"")</f>
        <v>27</v>
      </c>
    </row>
    <row r="207" spans="1:11" x14ac:dyDescent="0.3">
      <c r="A207" s="221" t="str">
        <f t="shared" si="49"/>
        <v>DVW15</v>
      </c>
      <c r="B207" s="146" t="s">
        <v>22</v>
      </c>
      <c r="C207" s="221">
        <v>2015</v>
      </c>
      <c r="D207" s="223">
        <v>0</v>
      </c>
      <c r="E207" s="223"/>
      <c r="F207" s="223">
        <f t="shared" si="50"/>
        <v>0</v>
      </c>
      <c r="G207" s="224">
        <f t="shared" si="54"/>
        <v>0</v>
      </c>
      <c r="H207" s="225">
        <v>30881.220218539369</v>
      </c>
      <c r="I207" s="225">
        <v>37</v>
      </c>
      <c r="J207" s="225">
        <f t="shared" si="55"/>
        <v>30915.220218539369</v>
      </c>
      <c r="K207" s="225">
        <f t="shared" si="56"/>
        <v>28</v>
      </c>
    </row>
    <row r="208" spans="1:11" x14ac:dyDescent="0.3">
      <c r="A208" s="221" t="str">
        <f t="shared" si="49"/>
        <v>DVW16</v>
      </c>
      <c r="B208" s="146" t="s">
        <v>22</v>
      </c>
      <c r="C208" s="221">
        <v>2016</v>
      </c>
      <c r="D208" s="223">
        <v>2.6452267331873679E-2</v>
      </c>
      <c r="E208" s="223"/>
      <c r="F208" s="223">
        <f t="shared" si="50"/>
        <v>2.6452267331873679E-2</v>
      </c>
      <c r="G208" s="224">
        <f t="shared" si="54"/>
        <v>8.8174224439578931E-3</v>
      </c>
      <c r="H208" s="225">
        <v>30821.220218539369</v>
      </c>
      <c r="I208" s="225">
        <v>60</v>
      </c>
      <c r="J208" s="225">
        <f t="shared" si="55"/>
        <v>30873.553551872701</v>
      </c>
      <c r="K208" s="225">
        <f t="shared" si="56"/>
        <v>41.666666666666664</v>
      </c>
    </row>
    <row r="209" spans="1:11" x14ac:dyDescent="0.3">
      <c r="A209" s="221" t="str">
        <f t="shared" si="49"/>
        <v>DVW17</v>
      </c>
      <c r="B209" s="146" t="s">
        <v>22</v>
      </c>
      <c r="C209" s="221">
        <v>2017</v>
      </c>
      <c r="D209" s="223">
        <v>0.36580186447129304</v>
      </c>
      <c r="E209" s="223"/>
      <c r="F209" s="223">
        <f t="shared" si="50"/>
        <v>0.36580186447129304</v>
      </c>
      <c r="G209" s="224">
        <f t="shared" si="54"/>
        <v>0.13075137726772224</v>
      </c>
      <c r="H209" s="225">
        <v>30740.220218539369</v>
      </c>
      <c r="I209" s="225">
        <v>81</v>
      </c>
      <c r="J209" s="225">
        <f t="shared" si="55"/>
        <v>30814.220218539369</v>
      </c>
      <c r="K209" s="225">
        <f t="shared" si="56"/>
        <v>59.333333333333336</v>
      </c>
    </row>
    <row r="210" spans="1:11" x14ac:dyDescent="0.3">
      <c r="A210" s="221" t="str">
        <f t="shared" si="49"/>
        <v>DVW18</v>
      </c>
      <c r="B210" s="146" t="s">
        <v>22</v>
      </c>
      <c r="C210" s="221">
        <v>2018</v>
      </c>
      <c r="D210" s="223">
        <v>7.0000000000000001E-3</v>
      </c>
      <c r="E210" s="223"/>
      <c r="F210" s="223">
        <f t="shared" si="50"/>
        <v>7.0000000000000001E-3</v>
      </c>
      <c r="G210" s="224">
        <f t="shared" si="54"/>
        <v>0.13308471060105556</v>
      </c>
      <c r="H210" s="225">
        <v>30581</v>
      </c>
      <c r="I210" s="225">
        <v>67</v>
      </c>
      <c r="J210" s="225">
        <f t="shared" si="55"/>
        <v>30714.146812359581</v>
      </c>
      <c r="K210" s="225">
        <f t="shared" si="56"/>
        <v>69.333333333333329</v>
      </c>
    </row>
    <row r="211" spans="1:11" x14ac:dyDescent="0.3">
      <c r="A211" s="221" t="str">
        <f t="shared" si="49"/>
        <v>DVW19</v>
      </c>
      <c r="B211" s="146" t="s">
        <v>22</v>
      </c>
      <c r="C211" s="221">
        <v>2019</v>
      </c>
      <c r="D211" s="223">
        <v>0</v>
      </c>
      <c r="E211" s="223"/>
      <c r="F211" s="223">
        <f t="shared" si="50"/>
        <v>0</v>
      </c>
      <c r="G211" s="224">
        <f t="shared" si="54"/>
        <v>0.12426728815709769</v>
      </c>
      <c r="H211" s="225">
        <v>0</v>
      </c>
      <c r="I211" s="225">
        <v>0</v>
      </c>
      <c r="J211" s="225">
        <f t="shared" si="55"/>
        <v>20440.406739513124</v>
      </c>
      <c r="K211" s="225">
        <f t="shared" si="56"/>
        <v>49.333333333333336</v>
      </c>
    </row>
    <row r="212" spans="1:11" x14ac:dyDescent="0.3">
      <c r="A212" s="221" t="str">
        <f t="shared" si="49"/>
        <v>DVW20</v>
      </c>
      <c r="B212" s="146" t="s">
        <v>22</v>
      </c>
      <c r="C212" s="221">
        <v>2020</v>
      </c>
      <c r="D212" s="223">
        <v>0</v>
      </c>
      <c r="E212" s="223"/>
      <c r="F212" s="223">
        <f t="shared" si="50"/>
        <v>0</v>
      </c>
      <c r="G212" s="224">
        <f t="shared" si="54"/>
        <v>2.3333333333333335E-3</v>
      </c>
      <c r="H212" s="225">
        <v>0</v>
      </c>
      <c r="I212" s="225">
        <v>0</v>
      </c>
      <c r="J212" s="225">
        <f t="shared" si="55"/>
        <v>10193.666666666666</v>
      </c>
      <c r="K212" s="225">
        <f t="shared" si="56"/>
        <v>22.333333333333332</v>
      </c>
    </row>
    <row r="213" spans="1:11" x14ac:dyDescent="0.3">
      <c r="A213" s="221" t="str">
        <f t="shared" si="49"/>
        <v>DVW21</v>
      </c>
      <c r="B213" s="146" t="s">
        <v>22</v>
      </c>
      <c r="C213" s="221">
        <v>2021</v>
      </c>
      <c r="D213" s="223">
        <v>0</v>
      </c>
      <c r="E213" s="223">
        <v>0</v>
      </c>
      <c r="F213" s="223">
        <f t="shared" si="50"/>
        <v>0</v>
      </c>
      <c r="G213" s="224">
        <f t="shared" si="54"/>
        <v>0</v>
      </c>
      <c r="H213" s="225">
        <v>0</v>
      </c>
      <c r="I213" s="225">
        <v>0</v>
      </c>
      <c r="J213" s="225">
        <f t="shared" si="55"/>
        <v>0</v>
      </c>
      <c r="K213" s="225">
        <f t="shared" si="56"/>
        <v>0</v>
      </c>
    </row>
    <row r="214" spans="1:11" x14ac:dyDescent="0.3">
      <c r="A214" s="221" t="str">
        <f t="shared" si="49"/>
        <v>DVW22</v>
      </c>
      <c r="B214" s="146" t="s">
        <v>22</v>
      </c>
      <c r="C214" s="221">
        <v>2022</v>
      </c>
      <c r="D214" s="223">
        <v>0</v>
      </c>
      <c r="E214" s="223">
        <v>0</v>
      </c>
      <c r="F214" s="223">
        <f t="shared" si="50"/>
        <v>0</v>
      </c>
      <c r="G214" s="224">
        <f t="shared" si="54"/>
        <v>0</v>
      </c>
      <c r="H214" s="225">
        <v>0</v>
      </c>
      <c r="I214" s="225">
        <v>0</v>
      </c>
      <c r="J214" s="225">
        <f t="shared" si="55"/>
        <v>0</v>
      </c>
      <c r="K214" s="225">
        <f t="shared" si="56"/>
        <v>0</v>
      </c>
    </row>
    <row r="215" spans="1:11" x14ac:dyDescent="0.3">
      <c r="A215" s="221" t="str">
        <f t="shared" si="49"/>
        <v>DVW23</v>
      </c>
      <c r="B215" s="146" t="s">
        <v>22</v>
      </c>
      <c r="C215" s="221">
        <v>2023</v>
      </c>
      <c r="D215" s="223">
        <v>0</v>
      </c>
      <c r="E215" s="223">
        <v>0</v>
      </c>
      <c r="F215" s="223">
        <f t="shared" si="50"/>
        <v>0</v>
      </c>
      <c r="G215" s="224">
        <f t="shared" si="54"/>
        <v>0</v>
      </c>
      <c r="H215" s="225">
        <v>0</v>
      </c>
      <c r="I215" s="225">
        <v>0</v>
      </c>
      <c r="J215" s="225">
        <f t="shared" si="55"/>
        <v>0</v>
      </c>
      <c r="K215" s="225">
        <f t="shared" si="56"/>
        <v>0</v>
      </c>
    </row>
    <row r="216" spans="1:11" x14ac:dyDescent="0.3">
      <c r="A216" s="221" t="str">
        <f t="shared" si="49"/>
        <v>DVW24</v>
      </c>
      <c r="B216" s="146" t="s">
        <v>22</v>
      </c>
      <c r="C216" s="221">
        <v>2024</v>
      </c>
      <c r="D216" s="223">
        <v>0</v>
      </c>
      <c r="E216" s="223">
        <v>0</v>
      </c>
      <c r="F216" s="223">
        <f t="shared" si="50"/>
        <v>0</v>
      </c>
      <c r="G216" s="224">
        <f t="shared" si="54"/>
        <v>0</v>
      </c>
      <c r="H216" s="225">
        <v>0</v>
      </c>
      <c r="I216" s="225">
        <v>0</v>
      </c>
      <c r="J216" s="225">
        <f t="shared" si="55"/>
        <v>0</v>
      </c>
      <c r="K216" s="225">
        <f t="shared" si="56"/>
        <v>0</v>
      </c>
    </row>
    <row r="217" spans="1:11" x14ac:dyDescent="0.3">
      <c r="A217" s="221" t="str">
        <f t="shared" si="49"/>
        <v>DVW25</v>
      </c>
      <c r="B217" s="146" t="s">
        <v>22</v>
      </c>
      <c r="C217" s="221">
        <v>2025</v>
      </c>
      <c r="D217" s="223">
        <v>0</v>
      </c>
      <c r="E217" s="223">
        <v>0</v>
      </c>
      <c r="F217" s="223">
        <f t="shared" si="50"/>
        <v>0</v>
      </c>
      <c r="G217" s="224">
        <f t="shared" si="54"/>
        <v>0</v>
      </c>
      <c r="H217" s="225">
        <v>0</v>
      </c>
      <c r="I217" s="225">
        <v>0</v>
      </c>
      <c r="J217" s="225">
        <f t="shared" si="55"/>
        <v>0</v>
      </c>
      <c r="K217" s="225">
        <f t="shared" si="56"/>
        <v>0</v>
      </c>
    </row>
    <row r="218" spans="1:11" x14ac:dyDescent="0.3">
      <c r="A218" s="221" t="str">
        <f t="shared" ref="A218:A258" si="57">(B218&amp;RIGHT(C218,2))</f>
        <v>PRT12</v>
      </c>
      <c r="B218" s="146" t="s">
        <v>23</v>
      </c>
      <c r="C218" s="221">
        <v>2012</v>
      </c>
      <c r="D218" s="223">
        <v>0</v>
      </c>
      <c r="E218" s="223"/>
      <c r="F218" s="223">
        <f t="shared" ref="F218:F258" si="58">D218+E218</f>
        <v>0</v>
      </c>
      <c r="G218" s="224"/>
      <c r="H218" s="225">
        <v>89050</v>
      </c>
      <c r="I218" s="225">
        <v>0</v>
      </c>
      <c r="J218" s="225"/>
      <c r="K218" s="225"/>
    </row>
    <row r="219" spans="1:11" x14ac:dyDescent="0.3">
      <c r="A219" s="221" t="str">
        <f t="shared" si="57"/>
        <v>PRT13</v>
      </c>
      <c r="B219" s="146" t="s">
        <v>23</v>
      </c>
      <c r="C219" s="221">
        <v>2013</v>
      </c>
      <c r="D219" s="223">
        <v>0</v>
      </c>
      <c r="E219" s="223"/>
      <c r="F219" s="223">
        <f t="shared" si="58"/>
        <v>0</v>
      </c>
      <c r="G219" s="224"/>
      <c r="H219" s="225">
        <v>88150</v>
      </c>
      <c r="I219" s="225">
        <v>0</v>
      </c>
      <c r="J219" s="225"/>
      <c r="K219" s="225"/>
    </row>
    <row r="220" spans="1:11" x14ac:dyDescent="0.3">
      <c r="A220" s="221" t="str">
        <f t="shared" si="57"/>
        <v>PRT14</v>
      </c>
      <c r="B220" s="146" t="s">
        <v>23</v>
      </c>
      <c r="C220" s="221">
        <v>2014</v>
      </c>
      <c r="D220" s="223">
        <v>0</v>
      </c>
      <c r="E220" s="223"/>
      <c r="F220" s="223">
        <f t="shared" si="58"/>
        <v>0</v>
      </c>
      <c r="G220" s="224">
        <f t="shared" ref="G220:G231" si="59">IF(OR(F218="",F219="",F220=""),"",AVERAGE(F218:F220))</f>
        <v>0</v>
      </c>
      <c r="H220" s="225">
        <v>87250</v>
      </c>
      <c r="I220" s="225">
        <v>0</v>
      </c>
      <c r="J220" s="225">
        <f t="shared" ref="J220:J231" si="60">IFERROR(IF(OR(H218="",H219="",H220=""),"",AVERAGE(H218:H220)),"")</f>
        <v>88150</v>
      </c>
      <c r="K220" s="225">
        <f t="shared" ref="K220:K231" si="61">IFERROR(IF(OR(I218="",I219="",I220=""),"",AVERAGE(I218:I220)),"")</f>
        <v>0</v>
      </c>
    </row>
    <row r="221" spans="1:11" x14ac:dyDescent="0.3">
      <c r="A221" s="221" t="str">
        <f t="shared" si="57"/>
        <v>PRT15</v>
      </c>
      <c r="B221" s="146" t="s">
        <v>23</v>
      </c>
      <c r="C221" s="221">
        <v>2015</v>
      </c>
      <c r="D221" s="223">
        <v>0</v>
      </c>
      <c r="E221" s="223"/>
      <c r="F221" s="223">
        <f t="shared" si="58"/>
        <v>0</v>
      </c>
      <c r="G221" s="224">
        <f t="shared" si="59"/>
        <v>0</v>
      </c>
      <c r="H221" s="225">
        <v>86350</v>
      </c>
      <c r="I221" s="225">
        <v>0</v>
      </c>
      <c r="J221" s="225">
        <f t="shared" si="60"/>
        <v>87250</v>
      </c>
      <c r="K221" s="225">
        <f t="shared" si="61"/>
        <v>0</v>
      </c>
    </row>
    <row r="222" spans="1:11" x14ac:dyDescent="0.3">
      <c r="A222" s="221" t="str">
        <f t="shared" si="57"/>
        <v>PRT16</v>
      </c>
      <c r="B222" s="146" t="s">
        <v>23</v>
      </c>
      <c r="C222" s="221">
        <v>2016</v>
      </c>
      <c r="D222" s="223">
        <v>0</v>
      </c>
      <c r="E222" s="223"/>
      <c r="F222" s="223">
        <f t="shared" si="58"/>
        <v>0</v>
      </c>
      <c r="G222" s="224">
        <f t="shared" si="59"/>
        <v>0</v>
      </c>
      <c r="H222" s="225">
        <v>85450</v>
      </c>
      <c r="I222" s="225">
        <v>0</v>
      </c>
      <c r="J222" s="225">
        <f t="shared" si="60"/>
        <v>86350</v>
      </c>
      <c r="K222" s="225">
        <f t="shared" si="61"/>
        <v>0</v>
      </c>
    </row>
    <row r="223" spans="1:11" x14ac:dyDescent="0.3">
      <c r="A223" s="221" t="str">
        <f t="shared" si="57"/>
        <v>PRT17</v>
      </c>
      <c r="B223" s="146" t="s">
        <v>23</v>
      </c>
      <c r="C223" s="221">
        <v>2017</v>
      </c>
      <c r="D223" s="223">
        <v>0</v>
      </c>
      <c r="E223" s="223"/>
      <c r="F223" s="223">
        <f t="shared" si="58"/>
        <v>0</v>
      </c>
      <c r="G223" s="224">
        <f t="shared" si="59"/>
        <v>0</v>
      </c>
      <c r="H223" s="225">
        <v>83138</v>
      </c>
      <c r="I223" s="225">
        <v>0</v>
      </c>
      <c r="J223" s="225">
        <f t="shared" si="60"/>
        <v>84979.333333333328</v>
      </c>
      <c r="K223" s="225">
        <f t="shared" si="61"/>
        <v>0</v>
      </c>
    </row>
    <row r="224" spans="1:11" x14ac:dyDescent="0.3">
      <c r="A224" s="221" t="str">
        <f t="shared" si="57"/>
        <v>PRT18</v>
      </c>
      <c r="B224" s="146" t="s">
        <v>23</v>
      </c>
      <c r="C224" s="221">
        <v>2018</v>
      </c>
      <c r="D224" s="223">
        <v>0</v>
      </c>
      <c r="E224" s="223"/>
      <c r="F224" s="223">
        <f t="shared" si="58"/>
        <v>0</v>
      </c>
      <c r="G224" s="224">
        <f t="shared" si="59"/>
        <v>0</v>
      </c>
      <c r="H224" s="225">
        <v>81727</v>
      </c>
      <c r="I224" s="225">
        <v>11</v>
      </c>
      <c r="J224" s="225">
        <f t="shared" si="60"/>
        <v>83438.333333333328</v>
      </c>
      <c r="K224" s="225">
        <f t="shared" si="61"/>
        <v>3.6666666666666665</v>
      </c>
    </row>
    <row r="225" spans="1:11" x14ac:dyDescent="0.3">
      <c r="A225" s="221" t="str">
        <f t="shared" si="57"/>
        <v>PRT19</v>
      </c>
      <c r="B225" s="146" t="s">
        <v>23</v>
      </c>
      <c r="C225" s="221">
        <v>2019</v>
      </c>
      <c r="D225" s="223">
        <v>0</v>
      </c>
      <c r="E225" s="223"/>
      <c r="F225" s="223">
        <f t="shared" si="58"/>
        <v>0</v>
      </c>
      <c r="G225" s="224">
        <f t="shared" si="59"/>
        <v>0</v>
      </c>
      <c r="H225" s="225">
        <v>80315</v>
      </c>
      <c r="I225" s="225">
        <v>10</v>
      </c>
      <c r="J225" s="225">
        <f t="shared" si="60"/>
        <v>81726.666666666672</v>
      </c>
      <c r="K225" s="225">
        <f t="shared" si="61"/>
        <v>7</v>
      </c>
    </row>
    <row r="226" spans="1:11" x14ac:dyDescent="0.3">
      <c r="A226" s="221" t="str">
        <f t="shared" si="57"/>
        <v>PRT20</v>
      </c>
      <c r="B226" s="146" t="s">
        <v>23</v>
      </c>
      <c r="C226" s="221">
        <v>2020</v>
      </c>
      <c r="D226" s="223">
        <v>0</v>
      </c>
      <c r="E226" s="223"/>
      <c r="F226" s="223">
        <f t="shared" si="58"/>
        <v>0</v>
      </c>
      <c r="G226" s="224">
        <f t="shared" si="59"/>
        <v>0</v>
      </c>
      <c r="H226" s="225">
        <v>78904</v>
      </c>
      <c r="I226" s="225">
        <v>10</v>
      </c>
      <c r="J226" s="225">
        <f t="shared" si="60"/>
        <v>80315.333333333328</v>
      </c>
      <c r="K226" s="225">
        <f t="shared" si="61"/>
        <v>10.333333333333334</v>
      </c>
    </row>
    <row r="227" spans="1:11" x14ac:dyDescent="0.3">
      <c r="A227" s="221" t="str">
        <f t="shared" si="57"/>
        <v>PRT21</v>
      </c>
      <c r="B227" s="146" t="s">
        <v>23</v>
      </c>
      <c r="C227" s="221">
        <v>2021</v>
      </c>
      <c r="D227" s="223">
        <v>0.05</v>
      </c>
      <c r="E227" s="223">
        <v>0</v>
      </c>
      <c r="F227" s="223">
        <f t="shared" si="58"/>
        <v>0.05</v>
      </c>
      <c r="G227" s="224">
        <f t="shared" si="59"/>
        <v>1.6666666666666666E-2</v>
      </c>
      <c r="H227" s="225">
        <v>78110</v>
      </c>
      <c r="I227" s="225">
        <v>10</v>
      </c>
      <c r="J227" s="225">
        <f t="shared" si="60"/>
        <v>79109.666666666672</v>
      </c>
      <c r="K227" s="225">
        <f t="shared" si="61"/>
        <v>10</v>
      </c>
    </row>
    <row r="228" spans="1:11" x14ac:dyDescent="0.3">
      <c r="A228" s="221" t="str">
        <f t="shared" si="57"/>
        <v>PRT22</v>
      </c>
      <c r="B228" s="146" t="s">
        <v>23</v>
      </c>
      <c r="C228" s="221">
        <v>2022</v>
      </c>
      <c r="D228" s="223">
        <v>0.05</v>
      </c>
      <c r="E228" s="223">
        <v>0</v>
      </c>
      <c r="F228" s="223">
        <f t="shared" si="58"/>
        <v>0.05</v>
      </c>
      <c r="G228" s="224">
        <f t="shared" si="59"/>
        <v>3.3333333333333333E-2</v>
      </c>
      <c r="H228" s="225">
        <v>77316</v>
      </c>
      <c r="I228" s="225">
        <v>10</v>
      </c>
      <c r="J228" s="225">
        <f t="shared" si="60"/>
        <v>78110</v>
      </c>
      <c r="K228" s="225">
        <f t="shared" si="61"/>
        <v>10</v>
      </c>
    </row>
    <row r="229" spans="1:11" x14ac:dyDescent="0.3">
      <c r="A229" s="221" t="str">
        <f t="shared" si="57"/>
        <v>PRT23</v>
      </c>
      <c r="B229" s="146" t="s">
        <v>23</v>
      </c>
      <c r="C229" s="221">
        <v>2023</v>
      </c>
      <c r="D229" s="223">
        <v>0.05</v>
      </c>
      <c r="E229" s="223">
        <v>0</v>
      </c>
      <c r="F229" s="223">
        <f t="shared" si="58"/>
        <v>0.05</v>
      </c>
      <c r="G229" s="224">
        <f t="shared" si="59"/>
        <v>5.000000000000001E-2</v>
      </c>
      <c r="H229" s="225">
        <v>76522</v>
      </c>
      <c r="I229" s="225">
        <v>10</v>
      </c>
      <c r="J229" s="225">
        <f t="shared" si="60"/>
        <v>77316</v>
      </c>
      <c r="K229" s="225">
        <f t="shared" si="61"/>
        <v>10</v>
      </c>
    </row>
    <row r="230" spans="1:11" x14ac:dyDescent="0.3">
      <c r="A230" s="221" t="str">
        <f t="shared" si="57"/>
        <v>PRT24</v>
      </c>
      <c r="B230" s="146" t="s">
        <v>23</v>
      </c>
      <c r="C230" s="221">
        <v>2024</v>
      </c>
      <c r="D230" s="223">
        <v>0.05</v>
      </c>
      <c r="E230" s="223">
        <v>0</v>
      </c>
      <c r="F230" s="223">
        <f t="shared" si="58"/>
        <v>0.05</v>
      </c>
      <c r="G230" s="224">
        <f t="shared" si="59"/>
        <v>5.000000000000001E-2</v>
      </c>
      <c r="H230" s="225">
        <v>75728</v>
      </c>
      <c r="I230" s="225">
        <v>10</v>
      </c>
      <c r="J230" s="225">
        <f t="shared" si="60"/>
        <v>76522</v>
      </c>
      <c r="K230" s="225">
        <f t="shared" si="61"/>
        <v>10</v>
      </c>
    </row>
    <row r="231" spans="1:11" x14ac:dyDescent="0.3">
      <c r="A231" s="221" t="str">
        <f t="shared" si="57"/>
        <v>PRT25</v>
      </c>
      <c r="B231" s="146" t="s">
        <v>23</v>
      </c>
      <c r="C231" s="221">
        <v>2025</v>
      </c>
      <c r="D231" s="223">
        <v>0.05</v>
      </c>
      <c r="E231" s="223">
        <v>0</v>
      </c>
      <c r="F231" s="223">
        <f t="shared" si="58"/>
        <v>0.05</v>
      </c>
      <c r="G231" s="224">
        <f t="shared" si="59"/>
        <v>5.000000000000001E-2</v>
      </c>
      <c r="H231" s="225">
        <v>74934</v>
      </c>
      <c r="I231" s="225">
        <v>10</v>
      </c>
      <c r="J231" s="225">
        <f t="shared" si="60"/>
        <v>75728</v>
      </c>
      <c r="K231" s="225">
        <f t="shared" si="61"/>
        <v>10</v>
      </c>
    </row>
    <row r="232" spans="1:11" x14ac:dyDescent="0.3">
      <c r="A232" s="221" t="str">
        <f t="shared" si="57"/>
        <v>SES12</v>
      </c>
      <c r="B232" s="146" t="s">
        <v>24</v>
      </c>
      <c r="C232" s="221">
        <v>2012</v>
      </c>
      <c r="D232" s="223">
        <v>0.14807846602456476</v>
      </c>
      <c r="E232" s="223"/>
      <c r="F232" s="223">
        <f t="shared" si="58"/>
        <v>0.14807846602456476</v>
      </c>
      <c r="G232" s="224"/>
      <c r="H232" s="225">
        <v>106701</v>
      </c>
      <c r="I232" s="225">
        <v>132</v>
      </c>
      <c r="J232" s="225"/>
      <c r="K232" s="225"/>
    </row>
    <row r="233" spans="1:11" x14ac:dyDescent="0.3">
      <c r="A233" s="221" t="str">
        <f t="shared" si="57"/>
        <v>SES13</v>
      </c>
      <c r="B233" s="146" t="s">
        <v>24</v>
      </c>
      <c r="C233" s="221">
        <v>2013</v>
      </c>
      <c r="D233" s="223">
        <v>5.1793615185504745E-2</v>
      </c>
      <c r="E233" s="223"/>
      <c r="F233" s="223">
        <f t="shared" si="58"/>
        <v>5.1793615185504745E-2</v>
      </c>
      <c r="G233" s="224"/>
      <c r="H233" s="225">
        <v>105795</v>
      </c>
      <c r="I233" s="225">
        <v>18</v>
      </c>
      <c r="J233" s="225"/>
      <c r="K233" s="225"/>
    </row>
    <row r="234" spans="1:11" x14ac:dyDescent="0.3">
      <c r="A234" s="221" t="str">
        <f t="shared" si="57"/>
        <v>SES14</v>
      </c>
      <c r="B234" s="146" t="s">
        <v>24</v>
      </c>
      <c r="C234" s="221">
        <v>2014</v>
      </c>
      <c r="D234" s="223">
        <v>6.0246957403651102E-2</v>
      </c>
      <c r="E234" s="223"/>
      <c r="F234" s="223">
        <f t="shared" si="58"/>
        <v>6.0246957403651102E-2</v>
      </c>
      <c r="G234" s="224">
        <f t="shared" ref="G234:G245" si="62">IF(OR(F232="",F233="",F234=""),"",AVERAGE(F232:F234))</f>
        <v>8.6706346204573528E-2</v>
      </c>
      <c r="H234" s="225">
        <v>105161</v>
      </c>
      <c r="I234" s="225">
        <v>26</v>
      </c>
      <c r="J234" s="225">
        <f t="shared" ref="J234:J245" si="63">IFERROR(IF(OR(H232="",H233="",H234=""),"",AVERAGE(H232:H234)),"")</f>
        <v>105885.66666666667</v>
      </c>
      <c r="K234" s="225">
        <f t="shared" ref="K234:K245" si="64">IFERROR(IF(OR(I232="",I233="",I234=""),"",AVERAGE(I232:I234)),"")</f>
        <v>58.666666666666664</v>
      </c>
    </row>
    <row r="235" spans="1:11" x14ac:dyDescent="0.3">
      <c r="A235" s="221" t="str">
        <f t="shared" si="57"/>
        <v>SES15</v>
      </c>
      <c r="B235" s="146" t="s">
        <v>24</v>
      </c>
      <c r="C235" s="221">
        <v>2015</v>
      </c>
      <c r="D235" s="223">
        <v>0.10032389069942343</v>
      </c>
      <c r="E235" s="223"/>
      <c r="F235" s="223">
        <f t="shared" si="58"/>
        <v>0.10032389069942343</v>
      </c>
      <c r="G235" s="224">
        <f t="shared" si="62"/>
        <v>7.078815442952642E-2</v>
      </c>
      <c r="H235" s="225">
        <v>104293</v>
      </c>
      <c r="I235" s="225">
        <v>54</v>
      </c>
      <c r="J235" s="225">
        <f t="shared" si="63"/>
        <v>105083</v>
      </c>
      <c r="K235" s="225">
        <f t="shared" si="64"/>
        <v>32.666666666666664</v>
      </c>
    </row>
    <row r="236" spans="1:11" x14ac:dyDescent="0.3">
      <c r="A236" s="221" t="str">
        <f t="shared" si="57"/>
        <v>SES16</v>
      </c>
      <c r="B236" s="146" t="s">
        <v>24</v>
      </c>
      <c r="C236" s="221">
        <v>2016</v>
      </c>
      <c r="D236" s="223">
        <v>0.13525623960066555</v>
      </c>
      <c r="E236" s="223"/>
      <c r="F236" s="223">
        <f t="shared" si="58"/>
        <v>0.13525623960066555</v>
      </c>
      <c r="G236" s="224">
        <f t="shared" si="62"/>
        <v>9.8609029234580037E-2</v>
      </c>
      <c r="H236" s="225">
        <v>103498</v>
      </c>
      <c r="I236" s="225">
        <v>31</v>
      </c>
      <c r="J236" s="225">
        <f t="shared" si="63"/>
        <v>104317.33333333333</v>
      </c>
      <c r="K236" s="225">
        <f t="shared" si="64"/>
        <v>37</v>
      </c>
    </row>
    <row r="237" spans="1:11" x14ac:dyDescent="0.3">
      <c r="A237" s="221" t="str">
        <f t="shared" si="57"/>
        <v>SES17</v>
      </c>
      <c r="B237" s="146" t="s">
        <v>24</v>
      </c>
      <c r="C237" s="221">
        <v>2017</v>
      </c>
      <c r="D237" s="223">
        <v>6.3633319655313908E-2</v>
      </c>
      <c r="E237" s="223"/>
      <c r="F237" s="223">
        <f t="shared" si="58"/>
        <v>6.3633319655313908E-2</v>
      </c>
      <c r="G237" s="224">
        <f t="shared" si="62"/>
        <v>9.9737816651800967E-2</v>
      </c>
      <c r="H237" s="225">
        <v>102726</v>
      </c>
      <c r="I237" s="225">
        <v>19</v>
      </c>
      <c r="J237" s="225">
        <f t="shared" si="63"/>
        <v>103505.66666666667</v>
      </c>
      <c r="K237" s="225">
        <f t="shared" si="64"/>
        <v>34.666666666666664</v>
      </c>
    </row>
    <row r="238" spans="1:11" x14ac:dyDescent="0.3">
      <c r="A238" s="221" t="str">
        <f t="shared" si="57"/>
        <v>SES18</v>
      </c>
      <c r="B238" s="146" t="s">
        <v>24</v>
      </c>
      <c r="C238" s="221">
        <v>2018</v>
      </c>
      <c r="D238" s="223">
        <v>7.2999999999999995E-2</v>
      </c>
      <c r="E238" s="223"/>
      <c r="F238" s="223">
        <f t="shared" si="58"/>
        <v>7.2999999999999995E-2</v>
      </c>
      <c r="G238" s="224">
        <f t="shared" si="62"/>
        <v>9.0629853085326492E-2</v>
      </c>
      <c r="H238" s="225">
        <v>102188</v>
      </c>
      <c r="I238" s="225">
        <v>254</v>
      </c>
      <c r="J238" s="225">
        <f t="shared" si="63"/>
        <v>102804</v>
      </c>
      <c r="K238" s="225">
        <f t="shared" si="64"/>
        <v>101.33333333333333</v>
      </c>
    </row>
    <row r="239" spans="1:11" x14ac:dyDescent="0.3">
      <c r="A239" s="221" t="str">
        <f t="shared" si="57"/>
        <v>SES19</v>
      </c>
      <c r="B239" s="146" t="s">
        <v>24</v>
      </c>
      <c r="C239" s="221">
        <v>2019</v>
      </c>
      <c r="D239" s="223">
        <v>4.8840115597906741E-2</v>
      </c>
      <c r="E239" s="223"/>
      <c r="F239" s="223">
        <f t="shared" si="58"/>
        <v>4.8840115597906741E-2</v>
      </c>
      <c r="G239" s="224">
        <f t="shared" si="62"/>
        <v>6.1824478417740213E-2</v>
      </c>
      <c r="H239" s="225">
        <v>101467</v>
      </c>
      <c r="I239" s="225">
        <v>287</v>
      </c>
      <c r="J239" s="225">
        <f t="shared" si="63"/>
        <v>102127</v>
      </c>
      <c r="K239" s="225">
        <f t="shared" si="64"/>
        <v>186.66666666666666</v>
      </c>
    </row>
    <row r="240" spans="1:11" x14ac:dyDescent="0.3">
      <c r="A240" s="221" t="str">
        <f t="shared" si="57"/>
        <v>SES20</v>
      </c>
      <c r="B240" s="146" t="s">
        <v>24</v>
      </c>
      <c r="C240" s="221">
        <v>2020</v>
      </c>
      <c r="D240" s="223">
        <v>4.7890020678563523E-2</v>
      </c>
      <c r="E240" s="223"/>
      <c r="F240" s="223">
        <f t="shared" si="58"/>
        <v>4.7890020678563523E-2</v>
      </c>
      <c r="G240" s="224">
        <f t="shared" si="62"/>
        <v>5.6576712092156756E-2</v>
      </c>
      <c r="H240" s="225">
        <v>100745</v>
      </c>
      <c r="I240" s="225">
        <v>287</v>
      </c>
      <c r="J240" s="225">
        <f t="shared" si="63"/>
        <v>101466.66666666667</v>
      </c>
      <c r="K240" s="225">
        <f t="shared" si="64"/>
        <v>276</v>
      </c>
    </row>
    <row r="241" spans="1:11" x14ac:dyDescent="0.3">
      <c r="A241" s="221" t="str">
        <f t="shared" si="57"/>
        <v>SES21</v>
      </c>
      <c r="B241" s="146" t="s">
        <v>24</v>
      </c>
      <c r="C241" s="221">
        <v>2021</v>
      </c>
      <c r="D241" s="223">
        <v>0.34399999999999997</v>
      </c>
      <c r="E241" s="223">
        <v>0</v>
      </c>
      <c r="F241" s="223">
        <f t="shared" si="58"/>
        <v>0.34399999999999997</v>
      </c>
      <c r="G241" s="224">
        <f t="shared" si="62"/>
        <v>0.14691004542549008</v>
      </c>
      <c r="H241" s="225">
        <v>99702</v>
      </c>
      <c r="I241" s="225">
        <v>287</v>
      </c>
      <c r="J241" s="225">
        <f t="shared" si="63"/>
        <v>100638</v>
      </c>
      <c r="K241" s="225">
        <f t="shared" si="64"/>
        <v>287</v>
      </c>
    </row>
    <row r="242" spans="1:11" x14ac:dyDescent="0.3">
      <c r="A242" s="221" t="str">
        <f t="shared" si="57"/>
        <v>SES22</v>
      </c>
      <c r="B242" s="146" t="s">
        <v>24</v>
      </c>
      <c r="C242" s="221">
        <v>2022</v>
      </c>
      <c r="D242" s="223">
        <v>0.34399999999999997</v>
      </c>
      <c r="E242" s="223">
        <v>0</v>
      </c>
      <c r="F242" s="223">
        <f t="shared" si="58"/>
        <v>0.34399999999999997</v>
      </c>
      <c r="G242" s="224">
        <f t="shared" si="62"/>
        <v>0.24529667355952114</v>
      </c>
      <c r="H242" s="225">
        <v>98658</v>
      </c>
      <c r="I242" s="225">
        <v>287</v>
      </c>
      <c r="J242" s="225">
        <f t="shared" si="63"/>
        <v>99701.666666666672</v>
      </c>
      <c r="K242" s="225">
        <f t="shared" si="64"/>
        <v>287</v>
      </c>
    </row>
    <row r="243" spans="1:11" x14ac:dyDescent="0.3">
      <c r="A243" s="221" t="str">
        <f t="shared" si="57"/>
        <v>SES23</v>
      </c>
      <c r="B243" s="146" t="s">
        <v>24</v>
      </c>
      <c r="C243" s="221">
        <v>2023</v>
      </c>
      <c r="D243" s="223">
        <v>0.34399999999999997</v>
      </c>
      <c r="E243" s="223">
        <v>0</v>
      </c>
      <c r="F243" s="223">
        <f t="shared" si="58"/>
        <v>0.34399999999999997</v>
      </c>
      <c r="G243" s="224">
        <f t="shared" si="62"/>
        <v>0.34400000000000003</v>
      </c>
      <c r="H243" s="225">
        <v>97615</v>
      </c>
      <c r="I243" s="225">
        <v>287</v>
      </c>
      <c r="J243" s="225">
        <f t="shared" si="63"/>
        <v>98658.333333333328</v>
      </c>
      <c r="K243" s="225">
        <f t="shared" si="64"/>
        <v>287</v>
      </c>
    </row>
    <row r="244" spans="1:11" x14ac:dyDescent="0.3">
      <c r="A244" s="221" t="str">
        <f t="shared" si="57"/>
        <v>SES24</v>
      </c>
      <c r="B244" s="146" t="s">
        <v>24</v>
      </c>
      <c r="C244" s="221">
        <v>2024</v>
      </c>
      <c r="D244" s="223">
        <v>0.34399999999999997</v>
      </c>
      <c r="E244" s="223">
        <v>0</v>
      </c>
      <c r="F244" s="223">
        <f t="shared" si="58"/>
        <v>0.34399999999999997</v>
      </c>
      <c r="G244" s="224">
        <f t="shared" si="62"/>
        <v>0.34400000000000003</v>
      </c>
      <c r="H244" s="225">
        <v>96571</v>
      </c>
      <c r="I244" s="225">
        <v>287</v>
      </c>
      <c r="J244" s="225">
        <f t="shared" si="63"/>
        <v>97614.666666666672</v>
      </c>
      <c r="K244" s="225">
        <f t="shared" si="64"/>
        <v>287</v>
      </c>
    </row>
    <row r="245" spans="1:11" x14ac:dyDescent="0.3">
      <c r="A245" s="221" t="str">
        <f t="shared" si="57"/>
        <v>SES25</v>
      </c>
      <c r="B245" s="146" t="s">
        <v>24</v>
      </c>
      <c r="C245" s="221">
        <v>2025</v>
      </c>
      <c r="D245" s="223">
        <v>0.34399999999999997</v>
      </c>
      <c r="E245" s="223">
        <v>0</v>
      </c>
      <c r="F245" s="223">
        <f t="shared" si="58"/>
        <v>0.34399999999999997</v>
      </c>
      <c r="G245" s="224">
        <f t="shared" si="62"/>
        <v>0.34400000000000003</v>
      </c>
      <c r="H245" s="225">
        <v>95527</v>
      </c>
      <c r="I245" s="225">
        <v>287</v>
      </c>
      <c r="J245" s="225">
        <f t="shared" si="63"/>
        <v>96571</v>
      </c>
      <c r="K245" s="225">
        <f t="shared" si="64"/>
        <v>287</v>
      </c>
    </row>
    <row r="246" spans="1:11" x14ac:dyDescent="0.3">
      <c r="A246" s="221" t="str">
        <f t="shared" si="57"/>
        <v>SEW12</v>
      </c>
      <c r="B246" s="146" t="s">
        <v>25</v>
      </c>
      <c r="C246" s="221">
        <v>2012</v>
      </c>
      <c r="D246" s="223">
        <v>0</v>
      </c>
      <c r="E246" s="223"/>
      <c r="F246" s="223">
        <f t="shared" si="58"/>
        <v>0</v>
      </c>
      <c r="G246" s="224"/>
      <c r="H246" s="225">
        <v>30679.170945987717</v>
      </c>
      <c r="I246" s="225">
        <v>2</v>
      </c>
      <c r="J246" s="225"/>
      <c r="K246" s="225"/>
    </row>
    <row r="247" spans="1:11" x14ac:dyDescent="0.3">
      <c r="A247" s="221" t="str">
        <f t="shared" si="57"/>
        <v>SEW13</v>
      </c>
      <c r="B247" s="146" t="s">
        <v>25</v>
      </c>
      <c r="C247" s="221">
        <v>2013</v>
      </c>
      <c r="D247" s="223">
        <v>0</v>
      </c>
      <c r="E247" s="223"/>
      <c r="F247" s="223">
        <f t="shared" si="58"/>
        <v>0</v>
      </c>
      <c r="G247" s="224"/>
      <c r="H247" s="225">
        <v>29335.381345967926</v>
      </c>
      <c r="I247" s="225">
        <v>3</v>
      </c>
      <c r="J247" s="225"/>
      <c r="K247" s="225"/>
    </row>
    <row r="248" spans="1:11" x14ac:dyDescent="0.3">
      <c r="A248" s="221" t="str">
        <f t="shared" si="57"/>
        <v>SEW14</v>
      </c>
      <c r="B248" s="146" t="s">
        <v>25</v>
      </c>
      <c r="C248" s="221">
        <v>2014</v>
      </c>
      <c r="D248" s="223">
        <v>0</v>
      </c>
      <c r="E248" s="223"/>
      <c r="F248" s="223">
        <f t="shared" si="58"/>
        <v>0</v>
      </c>
      <c r="G248" s="224">
        <f t="shared" ref="G248:G259" si="65">IF(OR(F246="",F247="",F248=""),"",AVERAGE(F246:F248))</f>
        <v>0</v>
      </c>
      <c r="H248" s="225">
        <v>27761.367724580639</v>
      </c>
      <c r="I248" s="225">
        <v>1</v>
      </c>
      <c r="J248" s="225">
        <f t="shared" ref="J248:J259" si="66">IFERROR(IF(OR(H246="",H247="",H248=""),"",AVERAGE(H246:H248)),"")</f>
        <v>29258.640005512094</v>
      </c>
      <c r="K248" s="225">
        <f t="shared" ref="K248:K259" si="67">IFERROR(IF(OR(I246="",I247="",I248=""),"",AVERAGE(I246:I248)),"")</f>
        <v>2</v>
      </c>
    </row>
    <row r="249" spans="1:11" x14ac:dyDescent="0.3">
      <c r="A249" s="221" t="str">
        <f t="shared" si="57"/>
        <v>SEW15</v>
      </c>
      <c r="B249" s="146" t="s">
        <v>25</v>
      </c>
      <c r="C249" s="221">
        <v>2015</v>
      </c>
      <c r="D249" s="223">
        <v>0</v>
      </c>
      <c r="E249" s="223"/>
      <c r="F249" s="223">
        <f t="shared" si="58"/>
        <v>0</v>
      </c>
      <c r="G249" s="224">
        <f t="shared" si="65"/>
        <v>0</v>
      </c>
      <c r="H249" s="225">
        <v>26230.408034073989</v>
      </c>
      <c r="I249" s="225">
        <v>3</v>
      </c>
      <c r="J249" s="225">
        <f t="shared" si="66"/>
        <v>27775.719034874186</v>
      </c>
      <c r="K249" s="225">
        <f t="shared" si="67"/>
        <v>2.3333333333333335</v>
      </c>
    </row>
    <row r="250" spans="1:11" x14ac:dyDescent="0.3">
      <c r="A250" s="221" t="str">
        <f t="shared" si="57"/>
        <v>SEW16</v>
      </c>
      <c r="B250" s="146" t="s">
        <v>25</v>
      </c>
      <c r="C250" s="221">
        <v>2016</v>
      </c>
      <c r="D250" s="223">
        <v>0</v>
      </c>
      <c r="E250" s="223"/>
      <c r="F250" s="223">
        <f t="shared" si="58"/>
        <v>0</v>
      </c>
      <c r="G250" s="224">
        <f t="shared" si="65"/>
        <v>0</v>
      </c>
      <c r="H250" s="225">
        <v>24424.848652404875</v>
      </c>
      <c r="I250" s="225">
        <v>1</v>
      </c>
      <c r="J250" s="225">
        <f t="shared" si="66"/>
        <v>26138.8748036865</v>
      </c>
      <c r="K250" s="225">
        <f t="shared" si="67"/>
        <v>1.6666666666666667</v>
      </c>
    </row>
    <row r="251" spans="1:11" x14ac:dyDescent="0.3">
      <c r="A251" s="221" t="str">
        <f t="shared" si="57"/>
        <v>SEW17</v>
      </c>
      <c r="B251" s="146" t="s">
        <v>25</v>
      </c>
      <c r="C251" s="221">
        <v>2017</v>
      </c>
      <c r="D251" s="223">
        <v>0</v>
      </c>
      <c r="E251" s="223"/>
      <c r="F251" s="223">
        <f t="shared" si="58"/>
        <v>0</v>
      </c>
      <c r="G251" s="224">
        <f t="shared" si="65"/>
        <v>0</v>
      </c>
      <c r="H251" s="225">
        <v>22437.586116731502</v>
      </c>
      <c r="I251" s="225">
        <v>4</v>
      </c>
      <c r="J251" s="225">
        <f t="shared" si="66"/>
        <v>24364.280934403458</v>
      </c>
      <c r="K251" s="225">
        <f t="shared" si="67"/>
        <v>2.6666666666666665</v>
      </c>
    </row>
    <row r="252" spans="1:11" x14ac:dyDescent="0.3">
      <c r="A252" s="221" t="str">
        <f t="shared" si="57"/>
        <v>SEW18</v>
      </c>
      <c r="B252" s="146" t="s">
        <v>25</v>
      </c>
      <c r="C252" s="221">
        <v>2018</v>
      </c>
      <c r="D252" s="223">
        <v>0</v>
      </c>
      <c r="E252" s="223"/>
      <c r="F252" s="223">
        <f t="shared" si="58"/>
        <v>0</v>
      </c>
      <c r="G252" s="224">
        <f t="shared" si="65"/>
        <v>0</v>
      </c>
      <c r="H252" s="225">
        <v>34516</v>
      </c>
      <c r="I252" s="225">
        <v>3</v>
      </c>
      <c r="J252" s="225">
        <f t="shared" si="66"/>
        <v>27126.14492304546</v>
      </c>
      <c r="K252" s="225">
        <f t="shared" si="67"/>
        <v>2.6666666666666665</v>
      </c>
    </row>
    <row r="253" spans="1:11" x14ac:dyDescent="0.3">
      <c r="A253" s="221" t="str">
        <f t="shared" si="57"/>
        <v>SEW19</v>
      </c>
      <c r="B253" s="146" t="s">
        <v>25</v>
      </c>
      <c r="C253" s="221">
        <v>2019</v>
      </c>
      <c r="D253" s="223">
        <v>0</v>
      </c>
      <c r="E253" s="223"/>
      <c r="F253" s="223">
        <f t="shared" si="58"/>
        <v>0</v>
      </c>
      <c r="G253" s="224">
        <f t="shared" si="65"/>
        <v>0</v>
      </c>
      <c r="H253" s="225">
        <v>34249</v>
      </c>
      <c r="I253" s="225">
        <v>4</v>
      </c>
      <c r="J253" s="225">
        <f t="shared" si="66"/>
        <v>30400.862038910502</v>
      </c>
      <c r="K253" s="225">
        <f t="shared" si="67"/>
        <v>3.6666666666666665</v>
      </c>
    </row>
    <row r="254" spans="1:11" x14ac:dyDescent="0.3">
      <c r="A254" s="221" t="str">
        <f t="shared" si="57"/>
        <v>SEW20</v>
      </c>
      <c r="B254" s="146" t="s">
        <v>25</v>
      </c>
      <c r="C254" s="221">
        <v>2020</v>
      </c>
      <c r="D254" s="223">
        <v>0</v>
      </c>
      <c r="E254" s="223"/>
      <c r="F254" s="223">
        <f t="shared" si="58"/>
        <v>0</v>
      </c>
      <c r="G254" s="224">
        <f t="shared" si="65"/>
        <v>0</v>
      </c>
      <c r="H254" s="225">
        <v>33801.9392619746</v>
      </c>
      <c r="I254" s="225">
        <v>184</v>
      </c>
      <c r="J254" s="225">
        <f t="shared" si="66"/>
        <v>34188.979753991531</v>
      </c>
      <c r="K254" s="225">
        <f t="shared" si="67"/>
        <v>63.666666666666664</v>
      </c>
    </row>
    <row r="255" spans="1:11" x14ac:dyDescent="0.3">
      <c r="A255" s="221" t="str">
        <f t="shared" si="57"/>
        <v>SEW21</v>
      </c>
      <c r="B255" s="146" t="s">
        <v>25</v>
      </c>
      <c r="C255" s="221">
        <v>2021</v>
      </c>
      <c r="D255" s="223">
        <v>0</v>
      </c>
      <c r="E255" s="223">
        <v>0</v>
      </c>
      <c r="F255" s="223">
        <f t="shared" si="58"/>
        <v>0</v>
      </c>
      <c r="G255" s="224">
        <f t="shared" si="65"/>
        <v>0</v>
      </c>
      <c r="H255" s="225">
        <v>33534.878523949199</v>
      </c>
      <c r="I255" s="225">
        <v>4</v>
      </c>
      <c r="J255" s="225">
        <f t="shared" si="66"/>
        <v>33861.9392619746</v>
      </c>
      <c r="K255" s="225">
        <f t="shared" si="67"/>
        <v>64</v>
      </c>
    </row>
    <row r="256" spans="1:11" x14ac:dyDescent="0.3">
      <c r="A256" s="221" t="str">
        <f t="shared" si="57"/>
        <v>SEW22</v>
      </c>
      <c r="B256" s="146" t="s">
        <v>25</v>
      </c>
      <c r="C256" s="221">
        <v>2022</v>
      </c>
      <c r="D256" s="223">
        <v>0</v>
      </c>
      <c r="E256" s="223">
        <v>0</v>
      </c>
      <c r="F256" s="223">
        <f t="shared" si="58"/>
        <v>0</v>
      </c>
      <c r="G256" s="224">
        <f t="shared" si="65"/>
        <v>0</v>
      </c>
      <c r="H256" s="225">
        <v>33267.817785923799</v>
      </c>
      <c r="I256" s="225">
        <v>4</v>
      </c>
      <c r="J256" s="225">
        <f t="shared" si="66"/>
        <v>33534.878523949206</v>
      </c>
      <c r="K256" s="225">
        <f t="shared" si="67"/>
        <v>64</v>
      </c>
    </row>
    <row r="257" spans="1:11" x14ac:dyDescent="0.3">
      <c r="A257" s="221" t="str">
        <f t="shared" si="57"/>
        <v>SEW23</v>
      </c>
      <c r="B257" s="146" t="s">
        <v>25</v>
      </c>
      <c r="C257" s="221">
        <v>2023</v>
      </c>
      <c r="D257" s="223">
        <v>0</v>
      </c>
      <c r="E257" s="223">
        <v>0</v>
      </c>
      <c r="F257" s="223">
        <f t="shared" si="58"/>
        <v>0</v>
      </c>
      <c r="G257" s="224">
        <f t="shared" si="65"/>
        <v>0</v>
      </c>
      <c r="H257" s="225">
        <v>33000.757047898303</v>
      </c>
      <c r="I257" s="225">
        <v>4</v>
      </c>
      <c r="J257" s="225">
        <f t="shared" si="66"/>
        <v>33267.817785923769</v>
      </c>
      <c r="K257" s="225">
        <f t="shared" si="67"/>
        <v>4</v>
      </c>
    </row>
    <row r="258" spans="1:11" x14ac:dyDescent="0.3">
      <c r="A258" s="221" t="str">
        <f t="shared" si="57"/>
        <v>SEW24</v>
      </c>
      <c r="B258" s="146" t="s">
        <v>25</v>
      </c>
      <c r="C258" s="221">
        <v>2024</v>
      </c>
      <c r="D258" s="223">
        <v>0</v>
      </c>
      <c r="E258" s="223">
        <v>0</v>
      </c>
      <c r="F258" s="223">
        <f t="shared" si="58"/>
        <v>0</v>
      </c>
      <c r="G258" s="224">
        <f t="shared" si="65"/>
        <v>0</v>
      </c>
      <c r="H258" s="225">
        <v>32733.696309872899</v>
      </c>
      <c r="I258" s="225">
        <v>4</v>
      </c>
      <c r="J258" s="225">
        <f t="shared" si="66"/>
        <v>33000.757047898333</v>
      </c>
      <c r="K258" s="225">
        <f t="shared" si="67"/>
        <v>4</v>
      </c>
    </row>
    <row r="259" spans="1:11" x14ac:dyDescent="0.3">
      <c r="A259" s="221" t="str">
        <f t="shared" ref="A259:A301" si="68">(B259&amp;RIGHT(C259,2))</f>
        <v>SEW25</v>
      </c>
      <c r="B259" s="146" t="s">
        <v>25</v>
      </c>
      <c r="C259" s="221">
        <v>2025</v>
      </c>
      <c r="D259" s="223">
        <v>0</v>
      </c>
      <c r="E259" s="223">
        <v>0</v>
      </c>
      <c r="F259" s="223">
        <f t="shared" ref="F259:F301" si="69">D259+E259</f>
        <v>0</v>
      </c>
      <c r="G259" s="224">
        <f t="shared" si="65"/>
        <v>0</v>
      </c>
      <c r="H259" s="225">
        <v>32466.635571847499</v>
      </c>
      <c r="I259" s="225">
        <v>4</v>
      </c>
      <c r="J259" s="225">
        <f t="shared" si="66"/>
        <v>32733.696309872899</v>
      </c>
      <c r="K259" s="225">
        <f t="shared" si="67"/>
        <v>4</v>
      </c>
    </row>
    <row r="260" spans="1:11" x14ac:dyDescent="0.3">
      <c r="A260" s="221" t="str">
        <f t="shared" si="68"/>
        <v>SSC12</v>
      </c>
      <c r="B260" s="146" t="s">
        <v>26</v>
      </c>
      <c r="C260" s="221">
        <v>2012</v>
      </c>
      <c r="D260" s="223">
        <v>6.7128952553999833E-3</v>
      </c>
      <c r="E260" s="223"/>
      <c r="F260" s="223">
        <f t="shared" si="69"/>
        <v>6.7128952553999833E-3</v>
      </c>
      <c r="G260" s="224"/>
      <c r="H260" s="225">
        <v>158179.14686647838</v>
      </c>
      <c r="I260" s="225">
        <v>206</v>
      </c>
      <c r="J260" s="225"/>
      <c r="K260" s="225"/>
    </row>
    <row r="261" spans="1:11" x14ac:dyDescent="0.3">
      <c r="A261" s="221" t="str">
        <f t="shared" si="68"/>
        <v>SSC13</v>
      </c>
      <c r="B261" s="146" t="s">
        <v>26</v>
      </c>
      <c r="C261" s="221">
        <v>2013</v>
      </c>
      <c r="D261" s="223">
        <v>9.9891234789271963E-2</v>
      </c>
      <c r="E261" s="223"/>
      <c r="F261" s="223">
        <f t="shared" si="69"/>
        <v>9.9891234789271963E-2</v>
      </c>
      <c r="G261" s="224"/>
      <c r="H261" s="225">
        <v>158036</v>
      </c>
      <c r="I261" s="225">
        <v>175</v>
      </c>
      <c r="J261" s="225"/>
      <c r="K261" s="225"/>
    </row>
    <row r="262" spans="1:11" x14ac:dyDescent="0.3">
      <c r="A262" s="221" t="str">
        <f t="shared" si="68"/>
        <v>SSC14</v>
      </c>
      <c r="B262" s="146" t="s">
        <v>26</v>
      </c>
      <c r="C262" s="221">
        <v>2014</v>
      </c>
      <c r="D262" s="223">
        <v>0.29931560433569981</v>
      </c>
      <c r="E262" s="223"/>
      <c r="F262" s="223">
        <f t="shared" si="69"/>
        <v>0.29931560433569981</v>
      </c>
      <c r="G262" s="224">
        <f t="shared" ref="G262:G301" si="70">IF(OR(F260="",F261="",F262=""),"",AVERAGE(F260:F262))</f>
        <v>0.13530657812679059</v>
      </c>
      <c r="H262" s="225">
        <v>157879</v>
      </c>
      <c r="I262" s="225">
        <v>154</v>
      </c>
      <c r="J262" s="225">
        <f t="shared" ref="J262:J273" si="71">IFERROR(IF(OR(H260="",H261="",H262=""),"",AVERAGE(H260:H262)),"")</f>
        <v>158031.38228882613</v>
      </c>
      <c r="K262" s="225">
        <f t="shared" ref="K262:K273" si="72">IFERROR(IF(OR(I260="",I261="",I262=""),"",AVERAGE(I260:I262)),"")</f>
        <v>178.33333333333334</v>
      </c>
    </row>
    <row r="263" spans="1:11" x14ac:dyDescent="0.3">
      <c r="A263" s="221" t="str">
        <f t="shared" si="68"/>
        <v>SSC15</v>
      </c>
      <c r="B263" s="146" t="s">
        <v>26</v>
      </c>
      <c r="C263" s="221">
        <v>2015</v>
      </c>
      <c r="D263" s="223">
        <v>0.15896188806217107</v>
      </c>
      <c r="E263" s="223"/>
      <c r="F263" s="223">
        <f t="shared" si="69"/>
        <v>0.15896188806217107</v>
      </c>
      <c r="G263" s="224">
        <f t="shared" si="70"/>
        <v>0.18605624239571428</v>
      </c>
      <c r="H263" s="225">
        <v>157721</v>
      </c>
      <c r="I263" s="225">
        <v>157</v>
      </c>
      <c r="J263" s="225">
        <f t="shared" si="71"/>
        <v>157878.66666666666</v>
      </c>
      <c r="K263" s="225">
        <f t="shared" si="72"/>
        <v>162</v>
      </c>
    </row>
    <row r="264" spans="1:11" x14ac:dyDescent="0.3">
      <c r="A264" s="221" t="str">
        <f t="shared" si="68"/>
        <v>SSC16</v>
      </c>
      <c r="B264" s="146" t="s">
        <v>26</v>
      </c>
      <c r="C264" s="221">
        <v>2016</v>
      </c>
      <c r="D264" s="223">
        <v>7.7938078685524156E-3</v>
      </c>
      <c r="E264" s="223"/>
      <c r="F264" s="223">
        <f t="shared" si="69"/>
        <v>7.7938078685524156E-3</v>
      </c>
      <c r="G264" s="224">
        <f t="shared" si="70"/>
        <v>0.15535710008880776</v>
      </c>
      <c r="H264" s="225">
        <v>157519</v>
      </c>
      <c r="I264" s="225">
        <v>198</v>
      </c>
      <c r="J264" s="225">
        <f t="shared" si="71"/>
        <v>157706.33333333334</v>
      </c>
      <c r="K264" s="225">
        <f t="shared" si="72"/>
        <v>169.66666666666666</v>
      </c>
    </row>
    <row r="265" spans="1:11" x14ac:dyDescent="0.3">
      <c r="A265" s="221" t="str">
        <f t="shared" si="68"/>
        <v>SSC17</v>
      </c>
      <c r="B265" s="146" t="s">
        <v>26</v>
      </c>
      <c r="C265" s="221">
        <v>2017</v>
      </c>
      <c r="D265" s="223">
        <v>3.8770279979888737E-2</v>
      </c>
      <c r="E265" s="223"/>
      <c r="F265" s="223">
        <f t="shared" si="69"/>
        <v>3.8770279979888737E-2</v>
      </c>
      <c r="G265" s="224">
        <f t="shared" si="70"/>
        <v>6.8508658636870737E-2</v>
      </c>
      <c r="H265" s="225">
        <v>156225</v>
      </c>
      <c r="I265" s="225">
        <v>142</v>
      </c>
      <c r="J265" s="225">
        <f t="shared" si="71"/>
        <v>157155</v>
      </c>
      <c r="K265" s="225">
        <f t="shared" si="72"/>
        <v>165.66666666666666</v>
      </c>
    </row>
    <row r="266" spans="1:11" x14ac:dyDescent="0.3">
      <c r="A266" s="221" t="str">
        <f t="shared" si="68"/>
        <v>SSC18</v>
      </c>
      <c r="B266" s="146" t="s">
        <v>26</v>
      </c>
      <c r="C266" s="221">
        <v>2018</v>
      </c>
      <c r="D266" s="223">
        <v>0.14170741000000001</v>
      </c>
      <c r="E266" s="223"/>
      <c r="F266" s="223">
        <f t="shared" si="69"/>
        <v>0.14170741000000001</v>
      </c>
      <c r="G266" s="224">
        <f t="shared" si="70"/>
        <v>6.2757165949480387E-2</v>
      </c>
      <c r="H266" s="225">
        <v>154776</v>
      </c>
      <c r="I266" s="225">
        <v>205</v>
      </c>
      <c r="J266" s="225">
        <f t="shared" si="71"/>
        <v>156173.33333333334</v>
      </c>
      <c r="K266" s="225">
        <f t="shared" si="72"/>
        <v>181.66666666666666</v>
      </c>
    </row>
    <row r="267" spans="1:11" x14ac:dyDescent="0.3">
      <c r="A267" s="221" t="str">
        <f t="shared" si="68"/>
        <v>SSC19</v>
      </c>
      <c r="B267" s="146" t="s">
        <v>26</v>
      </c>
      <c r="C267" s="221">
        <v>2019</v>
      </c>
      <c r="D267" s="223">
        <v>0.25993266650402536</v>
      </c>
      <c r="E267" s="223"/>
      <c r="F267" s="223">
        <f t="shared" si="69"/>
        <v>0.25993266650402536</v>
      </c>
      <c r="G267" s="224">
        <f t="shared" si="70"/>
        <v>0.14680345216130472</v>
      </c>
      <c r="H267" s="225">
        <v>153636</v>
      </c>
      <c r="I267" s="225">
        <v>177</v>
      </c>
      <c r="J267" s="225">
        <f t="shared" si="71"/>
        <v>154879</v>
      </c>
      <c r="K267" s="225">
        <f t="shared" si="72"/>
        <v>174.66666666666666</v>
      </c>
    </row>
    <row r="268" spans="1:11" x14ac:dyDescent="0.3">
      <c r="A268" s="221" t="str">
        <f t="shared" si="68"/>
        <v>SSC20</v>
      </c>
      <c r="B268" s="146" t="s">
        <v>26</v>
      </c>
      <c r="C268" s="221">
        <v>2020</v>
      </c>
      <c r="D268" s="223">
        <v>0.24396570080044649</v>
      </c>
      <c r="E268" s="223"/>
      <c r="F268" s="223">
        <f t="shared" si="69"/>
        <v>0.24396570080044649</v>
      </c>
      <c r="G268" s="224">
        <f t="shared" si="70"/>
        <v>0.2152019257681573</v>
      </c>
      <c r="H268" s="225">
        <v>152496</v>
      </c>
      <c r="I268" s="225">
        <v>177</v>
      </c>
      <c r="J268" s="225">
        <f t="shared" si="71"/>
        <v>153636</v>
      </c>
      <c r="K268" s="225">
        <f t="shared" si="72"/>
        <v>186.33333333333334</v>
      </c>
    </row>
    <row r="269" spans="1:11" x14ac:dyDescent="0.3">
      <c r="A269" s="221" t="str">
        <f t="shared" si="68"/>
        <v>SSC21</v>
      </c>
      <c r="B269" s="146" t="s">
        <v>26</v>
      </c>
      <c r="C269" s="221">
        <v>2021</v>
      </c>
      <c r="D269" s="223">
        <v>0.70016035539591903</v>
      </c>
      <c r="E269" s="223">
        <v>0</v>
      </c>
      <c r="F269" s="223">
        <f t="shared" si="69"/>
        <v>0.70016035539591903</v>
      </c>
      <c r="G269" s="224">
        <f t="shared" si="70"/>
        <v>0.40135290756679698</v>
      </c>
      <c r="H269" s="225">
        <v>150439</v>
      </c>
      <c r="I269" s="225">
        <v>333</v>
      </c>
      <c r="J269" s="225">
        <f t="shared" si="71"/>
        <v>152190.33333333334</v>
      </c>
      <c r="K269" s="225">
        <f t="shared" si="72"/>
        <v>229</v>
      </c>
    </row>
    <row r="270" spans="1:11" x14ac:dyDescent="0.3">
      <c r="A270" s="221" t="str">
        <f t="shared" si="68"/>
        <v>SSC22</v>
      </c>
      <c r="B270" s="146" t="s">
        <v>26</v>
      </c>
      <c r="C270" s="221">
        <v>2022</v>
      </c>
      <c r="D270" s="223">
        <v>0.70016035539592003</v>
      </c>
      <c r="E270" s="223">
        <v>0</v>
      </c>
      <c r="F270" s="223">
        <f t="shared" si="69"/>
        <v>0.70016035539592003</v>
      </c>
      <c r="G270" s="224">
        <f t="shared" si="70"/>
        <v>0.54809547053076191</v>
      </c>
      <c r="H270" s="225">
        <v>148382</v>
      </c>
      <c r="I270" s="225">
        <v>333</v>
      </c>
      <c r="J270" s="225">
        <f t="shared" si="71"/>
        <v>150439</v>
      </c>
      <c r="K270" s="225">
        <f t="shared" si="72"/>
        <v>281</v>
      </c>
    </row>
    <row r="271" spans="1:11" x14ac:dyDescent="0.3">
      <c r="A271" s="221" t="str">
        <f t="shared" si="68"/>
        <v>SSC23</v>
      </c>
      <c r="B271" s="146" t="s">
        <v>26</v>
      </c>
      <c r="C271" s="221">
        <v>2023</v>
      </c>
      <c r="D271" s="223">
        <v>0.70016035539591903</v>
      </c>
      <c r="E271" s="223">
        <v>0</v>
      </c>
      <c r="F271" s="223">
        <f t="shared" si="69"/>
        <v>0.70016035539591903</v>
      </c>
      <c r="G271" s="224">
        <f t="shared" si="70"/>
        <v>0.70016035539591925</v>
      </c>
      <c r="H271" s="225">
        <v>146325</v>
      </c>
      <c r="I271" s="225">
        <v>333</v>
      </c>
      <c r="J271" s="225">
        <f t="shared" si="71"/>
        <v>148382</v>
      </c>
      <c r="K271" s="225">
        <f t="shared" si="72"/>
        <v>333</v>
      </c>
    </row>
    <row r="272" spans="1:11" x14ac:dyDescent="0.3">
      <c r="A272" s="221" t="str">
        <f t="shared" si="68"/>
        <v>SSC24</v>
      </c>
      <c r="B272" s="146" t="s">
        <v>26</v>
      </c>
      <c r="C272" s="221">
        <v>2024</v>
      </c>
      <c r="D272" s="223">
        <v>0.70016035539591903</v>
      </c>
      <c r="E272" s="223">
        <v>0</v>
      </c>
      <c r="F272" s="223">
        <f t="shared" si="69"/>
        <v>0.70016035539591903</v>
      </c>
      <c r="G272" s="224">
        <f t="shared" si="70"/>
        <v>0.70016035539591925</v>
      </c>
      <c r="H272" s="225">
        <v>144268</v>
      </c>
      <c r="I272" s="225">
        <v>333</v>
      </c>
      <c r="J272" s="225">
        <f t="shared" si="71"/>
        <v>146325</v>
      </c>
      <c r="K272" s="225">
        <f t="shared" si="72"/>
        <v>333</v>
      </c>
    </row>
    <row r="273" spans="1:11" x14ac:dyDescent="0.3">
      <c r="A273" s="221" t="str">
        <f t="shared" si="68"/>
        <v>SSC25</v>
      </c>
      <c r="B273" s="146" t="s">
        <v>26</v>
      </c>
      <c r="C273" s="221">
        <v>2025</v>
      </c>
      <c r="D273" s="223">
        <v>0.70016035539591903</v>
      </c>
      <c r="E273" s="223">
        <v>0</v>
      </c>
      <c r="F273" s="223">
        <f t="shared" si="69"/>
        <v>0.70016035539591903</v>
      </c>
      <c r="G273" s="224">
        <f t="shared" si="70"/>
        <v>0.70016035539591892</v>
      </c>
      <c r="H273" s="225">
        <v>142211</v>
      </c>
      <c r="I273" s="225">
        <v>333</v>
      </c>
      <c r="J273" s="225">
        <f t="shared" si="71"/>
        <v>144268</v>
      </c>
      <c r="K273" s="225">
        <f t="shared" si="72"/>
        <v>333</v>
      </c>
    </row>
    <row r="274" spans="1:11" x14ac:dyDescent="0.3">
      <c r="A274" s="221" t="str">
        <f t="shared" si="68"/>
        <v>SVE12</v>
      </c>
      <c r="B274" s="146" t="s">
        <v>27</v>
      </c>
      <c r="C274" s="221">
        <v>2012</v>
      </c>
      <c r="D274" s="223">
        <v>0</v>
      </c>
      <c r="E274" s="223"/>
      <c r="F274" s="223">
        <f t="shared" si="69"/>
        <v>0</v>
      </c>
      <c r="G274" s="224">
        <f t="shared" si="70"/>
        <v>0.466773570263946</v>
      </c>
      <c r="H274" s="225">
        <v>0</v>
      </c>
      <c r="I274" s="225">
        <v>0</v>
      </c>
      <c r="J274" s="225"/>
      <c r="K274" s="225"/>
    </row>
    <row r="275" spans="1:11" x14ac:dyDescent="0.3">
      <c r="A275" s="221" t="str">
        <f t="shared" si="68"/>
        <v>SVE13</v>
      </c>
      <c r="B275" s="146" t="s">
        <v>27</v>
      </c>
      <c r="C275" s="221">
        <v>2013</v>
      </c>
      <c r="D275" s="223">
        <v>0</v>
      </c>
      <c r="E275" s="223"/>
      <c r="F275" s="223">
        <f t="shared" si="69"/>
        <v>0</v>
      </c>
      <c r="G275" s="224">
        <f t="shared" si="70"/>
        <v>0.233386785131973</v>
      </c>
      <c r="H275" s="225">
        <v>0</v>
      </c>
      <c r="I275" s="225">
        <v>0</v>
      </c>
      <c r="J275" s="225"/>
      <c r="K275" s="225"/>
    </row>
    <row r="276" spans="1:11" x14ac:dyDescent="0.3">
      <c r="A276" s="221" t="str">
        <f t="shared" si="68"/>
        <v>SVE14</v>
      </c>
      <c r="B276" s="146" t="s">
        <v>27</v>
      </c>
      <c r="C276" s="221">
        <v>2014</v>
      </c>
      <c r="D276" s="223">
        <v>0</v>
      </c>
      <c r="E276" s="223"/>
      <c r="F276" s="223">
        <f t="shared" si="69"/>
        <v>0</v>
      </c>
      <c r="G276" s="224">
        <f t="shared" si="70"/>
        <v>0</v>
      </c>
      <c r="H276" s="225">
        <v>0</v>
      </c>
      <c r="I276" s="225">
        <v>0</v>
      </c>
      <c r="J276" s="225">
        <f t="shared" ref="J276:J287" si="73">IFERROR(IF(OR(H274="",H275="",H276=""),"",AVERAGE(H274:H276)),"")</f>
        <v>0</v>
      </c>
      <c r="K276" s="225">
        <f t="shared" ref="K276:K287" si="74">IFERROR(IF(OR(I274="",I275="",I276=""),"",AVERAGE(I274:I276)),"")</f>
        <v>0</v>
      </c>
    </row>
    <row r="277" spans="1:11" x14ac:dyDescent="0.3">
      <c r="A277" s="221" t="str">
        <f t="shared" si="68"/>
        <v>SVE15</v>
      </c>
      <c r="B277" s="146" t="s">
        <v>27</v>
      </c>
      <c r="C277" s="221">
        <v>2015</v>
      </c>
      <c r="D277" s="223">
        <v>0</v>
      </c>
      <c r="E277" s="223"/>
      <c r="F277" s="223">
        <f t="shared" si="69"/>
        <v>0</v>
      </c>
      <c r="G277" s="224">
        <f t="shared" si="70"/>
        <v>0</v>
      </c>
      <c r="H277" s="225">
        <v>0</v>
      </c>
      <c r="I277" s="225">
        <v>0</v>
      </c>
      <c r="J277" s="225">
        <f t="shared" si="73"/>
        <v>0</v>
      </c>
      <c r="K277" s="225">
        <f t="shared" si="74"/>
        <v>0</v>
      </c>
    </row>
    <row r="278" spans="1:11" x14ac:dyDescent="0.3">
      <c r="A278" s="221" t="str">
        <f t="shared" si="68"/>
        <v>SVE16</v>
      </c>
      <c r="B278" s="146" t="s">
        <v>27</v>
      </c>
      <c r="C278" s="221">
        <v>2016</v>
      </c>
      <c r="D278" s="223">
        <v>0</v>
      </c>
      <c r="E278" s="223"/>
      <c r="F278" s="223">
        <f t="shared" si="69"/>
        <v>0</v>
      </c>
      <c r="G278" s="224">
        <f t="shared" si="70"/>
        <v>0</v>
      </c>
      <c r="H278" s="225">
        <v>0</v>
      </c>
      <c r="I278" s="225">
        <v>0</v>
      </c>
      <c r="J278" s="225">
        <f t="shared" si="73"/>
        <v>0</v>
      </c>
      <c r="K278" s="225">
        <f t="shared" si="74"/>
        <v>0</v>
      </c>
    </row>
    <row r="279" spans="1:11" x14ac:dyDescent="0.3">
      <c r="A279" s="221" t="str">
        <f t="shared" si="68"/>
        <v>SVE17</v>
      </c>
      <c r="B279" s="146" t="s">
        <v>27</v>
      </c>
      <c r="C279" s="221">
        <v>2017</v>
      </c>
      <c r="D279" s="223">
        <v>0</v>
      </c>
      <c r="E279" s="223"/>
      <c r="F279" s="223">
        <f t="shared" si="69"/>
        <v>0</v>
      </c>
      <c r="G279" s="224">
        <f t="shared" si="70"/>
        <v>0</v>
      </c>
      <c r="H279" s="225">
        <v>0</v>
      </c>
      <c r="I279" s="225">
        <v>0</v>
      </c>
      <c r="J279" s="225">
        <f t="shared" si="73"/>
        <v>0</v>
      </c>
      <c r="K279" s="225">
        <f t="shared" si="74"/>
        <v>0</v>
      </c>
    </row>
    <row r="280" spans="1:11" x14ac:dyDescent="0.3">
      <c r="A280" s="221" t="str">
        <f t="shared" si="68"/>
        <v>SVE18</v>
      </c>
      <c r="B280" s="146" t="s">
        <v>27</v>
      </c>
      <c r="C280" s="221">
        <v>2018</v>
      </c>
      <c r="D280" s="223">
        <v>2.3650000000000002</v>
      </c>
      <c r="E280" s="223"/>
      <c r="F280" s="223">
        <f t="shared" si="69"/>
        <v>2.3650000000000002</v>
      </c>
      <c r="G280" s="224">
        <f t="shared" si="70"/>
        <v>0.78833333333333344</v>
      </c>
      <c r="H280" s="225">
        <v>637844</v>
      </c>
      <c r="I280" s="225">
        <v>924</v>
      </c>
      <c r="J280" s="225">
        <f t="shared" si="73"/>
        <v>212614.66666666666</v>
      </c>
      <c r="K280" s="225">
        <f t="shared" si="74"/>
        <v>308</v>
      </c>
    </row>
    <row r="281" spans="1:11" x14ac:dyDescent="0.3">
      <c r="A281" s="221" t="str">
        <f t="shared" si="68"/>
        <v>SVE19</v>
      </c>
      <c r="B281" s="146" t="s">
        <v>27</v>
      </c>
      <c r="C281" s="221">
        <v>2019</v>
      </c>
      <c r="D281" s="223">
        <v>2.3134879859817228</v>
      </c>
      <c r="E281" s="223"/>
      <c r="F281" s="223">
        <f t="shared" si="69"/>
        <v>2.3134879859817228</v>
      </c>
      <c r="G281" s="224">
        <f t="shared" si="70"/>
        <v>1.5594959953272411</v>
      </c>
      <c r="H281" s="225">
        <v>636011.39408353902</v>
      </c>
      <c r="I281" s="225">
        <v>1109</v>
      </c>
      <c r="J281" s="225">
        <f t="shared" si="73"/>
        <v>424618.46469451301</v>
      </c>
      <c r="K281" s="225">
        <f t="shared" si="74"/>
        <v>677.66666666666663</v>
      </c>
    </row>
    <row r="282" spans="1:11" x14ac:dyDescent="0.3">
      <c r="A282" s="221" t="str">
        <f t="shared" si="68"/>
        <v>SVE20</v>
      </c>
      <c r="B282" s="146" t="s">
        <v>27</v>
      </c>
      <c r="C282" s="221">
        <v>2020</v>
      </c>
      <c r="D282" s="223">
        <v>3.0120537426048282</v>
      </c>
      <c r="E282" s="223"/>
      <c r="F282" s="223">
        <f t="shared" si="69"/>
        <v>3.0120537426048282</v>
      </c>
      <c r="G282" s="224">
        <f t="shared" si="70"/>
        <v>2.5635139095288504</v>
      </c>
      <c r="H282" s="225">
        <v>634122.27486127301</v>
      </c>
      <c r="I282" s="225">
        <v>709</v>
      </c>
      <c r="J282" s="225">
        <f t="shared" si="73"/>
        <v>635992.5563149373</v>
      </c>
      <c r="K282" s="225">
        <f t="shared" si="74"/>
        <v>914</v>
      </c>
    </row>
    <row r="283" spans="1:11" x14ac:dyDescent="0.3">
      <c r="A283" s="221" t="str">
        <f t="shared" si="68"/>
        <v>SVE21</v>
      </c>
      <c r="B283" s="146" t="s">
        <v>27</v>
      </c>
      <c r="C283" s="221">
        <v>2021</v>
      </c>
      <c r="D283" s="223">
        <v>3.919</v>
      </c>
      <c r="E283" s="223">
        <v>0</v>
      </c>
      <c r="F283" s="223">
        <f t="shared" si="69"/>
        <v>3.919</v>
      </c>
      <c r="G283" s="224">
        <f t="shared" si="70"/>
        <v>3.0815139095288502</v>
      </c>
      <c r="H283" s="225">
        <v>632238.79543348996</v>
      </c>
      <c r="I283" s="225">
        <v>796</v>
      </c>
      <c r="J283" s="225">
        <f t="shared" si="73"/>
        <v>634124.15479276737</v>
      </c>
      <c r="K283" s="225">
        <f t="shared" si="74"/>
        <v>871.33333333333337</v>
      </c>
    </row>
    <row r="284" spans="1:11" x14ac:dyDescent="0.3">
      <c r="A284" s="221" t="str">
        <f t="shared" si="68"/>
        <v>SVE22</v>
      </c>
      <c r="B284" s="146" t="s">
        <v>27</v>
      </c>
      <c r="C284" s="221">
        <v>2022</v>
      </c>
      <c r="D284" s="223">
        <v>4.5629999999999997</v>
      </c>
      <c r="E284" s="223">
        <v>0</v>
      </c>
      <c r="F284" s="223">
        <f t="shared" si="69"/>
        <v>4.5629999999999997</v>
      </c>
      <c r="G284" s="224">
        <f t="shared" si="70"/>
        <v>3.8313512475349421</v>
      </c>
      <c r="H284" s="225">
        <v>630360.93892097299</v>
      </c>
      <c r="I284" s="225">
        <v>796</v>
      </c>
      <c r="J284" s="225">
        <f t="shared" si="73"/>
        <v>632240.66973857861</v>
      </c>
      <c r="K284" s="225">
        <f t="shared" si="74"/>
        <v>767</v>
      </c>
    </row>
    <row r="285" spans="1:11" x14ac:dyDescent="0.3">
      <c r="A285" s="221" t="str">
        <f t="shared" si="68"/>
        <v>SVE23</v>
      </c>
      <c r="B285" s="146" t="s">
        <v>27</v>
      </c>
      <c r="C285" s="221">
        <v>2023</v>
      </c>
      <c r="D285" s="223">
        <v>3.919</v>
      </c>
      <c r="E285" s="223">
        <v>0</v>
      </c>
      <c r="F285" s="223">
        <f t="shared" si="69"/>
        <v>3.919</v>
      </c>
      <c r="G285" s="224">
        <f t="shared" si="70"/>
        <v>4.1336666666666666</v>
      </c>
      <c r="H285" s="225">
        <v>628488.68849508197</v>
      </c>
      <c r="I285" s="225">
        <v>796</v>
      </c>
      <c r="J285" s="225">
        <f t="shared" si="73"/>
        <v>630362.80761651497</v>
      </c>
      <c r="K285" s="225">
        <f t="shared" si="74"/>
        <v>796</v>
      </c>
    </row>
    <row r="286" spans="1:11" x14ac:dyDescent="0.3">
      <c r="A286" s="221" t="str">
        <f t="shared" si="68"/>
        <v>SVE24</v>
      </c>
      <c r="B286" s="146" t="s">
        <v>27</v>
      </c>
      <c r="C286" s="221">
        <v>2024</v>
      </c>
      <c r="D286" s="223">
        <v>1.9890000000000001</v>
      </c>
      <c r="E286" s="223">
        <v>0</v>
      </c>
      <c r="F286" s="223">
        <f t="shared" si="69"/>
        <v>1.9890000000000001</v>
      </c>
      <c r="G286" s="224">
        <f t="shared" si="70"/>
        <v>3.4903333333333335</v>
      </c>
      <c r="H286" s="225">
        <v>626622.02737760602</v>
      </c>
      <c r="I286" s="225">
        <v>796</v>
      </c>
      <c r="J286" s="225">
        <f t="shared" si="73"/>
        <v>628490.55159788707</v>
      </c>
      <c r="K286" s="225">
        <f t="shared" si="74"/>
        <v>796</v>
      </c>
    </row>
    <row r="287" spans="1:11" x14ac:dyDescent="0.3">
      <c r="A287" s="221" t="str">
        <f t="shared" si="68"/>
        <v>SVE25</v>
      </c>
      <c r="B287" s="146" t="s">
        <v>27</v>
      </c>
      <c r="C287" s="221">
        <v>2025</v>
      </c>
      <c r="D287" s="223">
        <v>1.9890000000000001</v>
      </c>
      <c r="E287" s="223">
        <v>0</v>
      </c>
      <c r="F287" s="223">
        <f t="shared" si="69"/>
        <v>1.9890000000000001</v>
      </c>
      <c r="G287" s="224">
        <f t="shared" si="70"/>
        <v>2.6323333333333334</v>
      </c>
      <c r="H287" s="225">
        <v>624760.93884060998</v>
      </c>
      <c r="I287" s="225">
        <v>796</v>
      </c>
      <c r="J287" s="225">
        <f t="shared" si="73"/>
        <v>626623.88490443269</v>
      </c>
      <c r="K287" s="225">
        <f t="shared" si="74"/>
        <v>796</v>
      </c>
    </row>
    <row r="288" spans="1:11" x14ac:dyDescent="0.3">
      <c r="A288" s="221" t="str">
        <f t="shared" si="68"/>
        <v>HDD12</v>
      </c>
      <c r="B288" s="146" t="s">
        <v>28</v>
      </c>
      <c r="C288" s="221">
        <v>2012</v>
      </c>
      <c r="D288" s="223">
        <v>0</v>
      </c>
      <c r="E288" s="223"/>
      <c r="F288" s="223">
        <f t="shared" si="69"/>
        <v>0</v>
      </c>
      <c r="G288" s="224">
        <f t="shared" si="70"/>
        <v>1.3260000000000001</v>
      </c>
      <c r="H288" s="225">
        <v>0</v>
      </c>
      <c r="I288" s="225">
        <v>0</v>
      </c>
      <c r="J288" s="225"/>
      <c r="K288" s="225"/>
    </row>
    <row r="289" spans="1:11" x14ac:dyDescent="0.3">
      <c r="A289" s="221" t="str">
        <f t="shared" si="68"/>
        <v>HDD13</v>
      </c>
      <c r="B289" s="146" t="s">
        <v>28</v>
      </c>
      <c r="C289" s="221">
        <v>2013</v>
      </c>
      <c r="D289" s="223">
        <v>0</v>
      </c>
      <c r="E289" s="223"/>
      <c r="F289" s="223">
        <f t="shared" si="69"/>
        <v>0</v>
      </c>
      <c r="G289" s="224">
        <f t="shared" si="70"/>
        <v>0.66300000000000003</v>
      </c>
      <c r="H289" s="225">
        <v>0</v>
      </c>
      <c r="I289" s="225">
        <v>0</v>
      </c>
      <c r="J289" s="225"/>
      <c r="K289" s="225"/>
    </row>
    <row r="290" spans="1:11" x14ac:dyDescent="0.3">
      <c r="A290" s="221" t="str">
        <f t="shared" si="68"/>
        <v>HDD14</v>
      </c>
      <c r="B290" s="146" t="s">
        <v>28</v>
      </c>
      <c r="C290" s="221">
        <v>2014</v>
      </c>
      <c r="D290" s="223">
        <v>0</v>
      </c>
      <c r="E290" s="223"/>
      <c r="F290" s="223">
        <f t="shared" si="69"/>
        <v>0</v>
      </c>
      <c r="G290" s="224">
        <f t="shared" si="70"/>
        <v>0</v>
      </c>
      <c r="H290" s="225">
        <v>0</v>
      </c>
      <c r="I290" s="225">
        <v>0</v>
      </c>
      <c r="J290" s="225">
        <f t="shared" ref="J290:J301" si="75">IFERROR(IF(OR(H288="",H289="",H290=""),"",AVERAGE(H288:H290)),"")</f>
        <v>0</v>
      </c>
      <c r="K290" s="225">
        <f t="shared" ref="K290:K301" si="76">IFERROR(IF(OR(I288="",I289="",I290=""),"",AVERAGE(I288:I290)),"")</f>
        <v>0</v>
      </c>
    </row>
    <row r="291" spans="1:11" x14ac:dyDescent="0.3">
      <c r="A291" s="221" t="str">
        <f t="shared" si="68"/>
        <v>HDD15</v>
      </c>
      <c r="B291" s="146" t="s">
        <v>28</v>
      </c>
      <c r="C291" s="221">
        <v>2015</v>
      </c>
      <c r="D291" s="223">
        <v>0</v>
      </c>
      <c r="E291" s="223"/>
      <c r="F291" s="223">
        <f t="shared" si="69"/>
        <v>0</v>
      </c>
      <c r="G291" s="224">
        <f t="shared" si="70"/>
        <v>0</v>
      </c>
      <c r="H291" s="225">
        <v>0</v>
      </c>
      <c r="I291" s="225">
        <v>0</v>
      </c>
      <c r="J291" s="225">
        <f t="shared" si="75"/>
        <v>0</v>
      </c>
      <c r="K291" s="225">
        <f t="shared" si="76"/>
        <v>0</v>
      </c>
    </row>
    <row r="292" spans="1:11" x14ac:dyDescent="0.3">
      <c r="A292" s="221" t="str">
        <f t="shared" si="68"/>
        <v>HDD16</v>
      </c>
      <c r="B292" s="146" t="s">
        <v>28</v>
      </c>
      <c r="C292" s="221">
        <v>2016</v>
      </c>
      <c r="D292" s="223">
        <v>0</v>
      </c>
      <c r="E292" s="223"/>
      <c r="F292" s="223">
        <f t="shared" si="69"/>
        <v>0</v>
      </c>
      <c r="G292" s="224">
        <f t="shared" si="70"/>
        <v>0</v>
      </c>
      <c r="H292" s="225">
        <v>0</v>
      </c>
      <c r="I292" s="225">
        <v>0</v>
      </c>
      <c r="J292" s="225">
        <f t="shared" si="75"/>
        <v>0</v>
      </c>
      <c r="K292" s="225">
        <f t="shared" si="76"/>
        <v>0</v>
      </c>
    </row>
    <row r="293" spans="1:11" x14ac:dyDescent="0.3">
      <c r="A293" s="221" t="str">
        <f t="shared" si="68"/>
        <v>HDD17</v>
      </c>
      <c r="B293" s="146" t="s">
        <v>28</v>
      </c>
      <c r="C293" s="221">
        <v>2017</v>
      </c>
      <c r="D293" s="223">
        <v>0</v>
      </c>
      <c r="E293" s="223"/>
      <c r="F293" s="223">
        <f t="shared" si="69"/>
        <v>0</v>
      </c>
      <c r="G293" s="224">
        <f t="shared" si="70"/>
        <v>0</v>
      </c>
      <c r="H293" s="225">
        <v>0</v>
      </c>
      <c r="I293" s="225">
        <v>0</v>
      </c>
      <c r="J293" s="225">
        <f t="shared" si="75"/>
        <v>0</v>
      </c>
      <c r="K293" s="225">
        <f t="shared" si="76"/>
        <v>0</v>
      </c>
    </row>
    <row r="294" spans="1:11" x14ac:dyDescent="0.3">
      <c r="A294" s="221" t="str">
        <f t="shared" si="68"/>
        <v>HDD18</v>
      </c>
      <c r="B294" s="146" t="s">
        <v>28</v>
      </c>
      <c r="C294" s="221">
        <v>2018</v>
      </c>
      <c r="D294" s="223">
        <v>3.7939485371058103E-2</v>
      </c>
      <c r="E294" s="223"/>
      <c r="F294" s="223">
        <f t="shared" si="69"/>
        <v>3.7939485371058103E-2</v>
      </c>
      <c r="G294" s="224">
        <f t="shared" si="70"/>
        <v>1.2646495123686034E-2</v>
      </c>
      <c r="H294" s="225">
        <v>23002</v>
      </c>
      <c r="I294" s="225">
        <v>26</v>
      </c>
      <c r="J294" s="225">
        <f t="shared" si="75"/>
        <v>7667.333333333333</v>
      </c>
      <c r="K294" s="225">
        <f t="shared" si="76"/>
        <v>8.6666666666666661</v>
      </c>
    </row>
    <row r="295" spans="1:11" x14ac:dyDescent="0.3">
      <c r="A295" s="221" t="str">
        <f t="shared" si="68"/>
        <v>HDD19</v>
      </c>
      <c r="B295" s="146" t="s">
        <v>28</v>
      </c>
      <c r="C295" s="221">
        <v>2019</v>
      </c>
      <c r="D295" s="223">
        <v>1.9967057716693958E-2</v>
      </c>
      <c r="E295" s="223"/>
      <c r="F295" s="223">
        <f t="shared" si="69"/>
        <v>1.9967057716693958E-2</v>
      </c>
      <c r="G295" s="224">
        <f t="shared" si="70"/>
        <v>1.9302181029250687E-2</v>
      </c>
      <c r="H295" s="225">
        <v>23012.509125308101</v>
      </c>
      <c r="I295" s="225">
        <v>26</v>
      </c>
      <c r="J295" s="225">
        <f t="shared" si="75"/>
        <v>15338.169708436035</v>
      </c>
      <c r="K295" s="225">
        <f t="shared" si="76"/>
        <v>17.333333333333332</v>
      </c>
    </row>
    <row r="296" spans="1:11" x14ac:dyDescent="0.3">
      <c r="A296" s="221" t="str">
        <f t="shared" si="68"/>
        <v>HDD20</v>
      </c>
      <c r="B296" s="146" t="s">
        <v>28</v>
      </c>
      <c r="C296" s="221">
        <v>2020</v>
      </c>
      <c r="D296" s="223">
        <v>2.5834441881971315E-2</v>
      </c>
      <c r="E296" s="223"/>
      <c r="F296" s="223">
        <f t="shared" si="69"/>
        <v>2.5834441881971315E-2</v>
      </c>
      <c r="G296" s="224">
        <f t="shared" si="70"/>
        <v>2.7913661656574457E-2</v>
      </c>
      <c r="H296" s="225">
        <v>22971.844037909399</v>
      </c>
      <c r="I296" s="225">
        <v>26</v>
      </c>
      <c r="J296" s="225">
        <f t="shared" si="75"/>
        <v>22995.451054405832</v>
      </c>
      <c r="K296" s="225">
        <f t="shared" si="76"/>
        <v>26</v>
      </c>
    </row>
    <row r="297" spans="1:11" x14ac:dyDescent="0.3">
      <c r="A297" s="221" t="str">
        <f t="shared" si="68"/>
        <v>HDD21</v>
      </c>
      <c r="B297" s="146" t="s">
        <v>28</v>
      </c>
      <c r="C297" s="221">
        <v>2021</v>
      </c>
      <c r="D297" s="223">
        <v>0.58599999999999997</v>
      </c>
      <c r="E297" s="223">
        <v>0</v>
      </c>
      <c r="F297" s="223">
        <f t="shared" si="69"/>
        <v>0.58599999999999997</v>
      </c>
      <c r="G297" s="224">
        <f t="shared" si="70"/>
        <v>0.21060049986622176</v>
      </c>
      <c r="H297" s="225">
        <v>22931.2596009974</v>
      </c>
      <c r="I297" s="225">
        <v>51</v>
      </c>
      <c r="J297" s="225">
        <f t="shared" si="75"/>
        <v>22971.870921404963</v>
      </c>
      <c r="K297" s="225">
        <f t="shared" si="76"/>
        <v>34.333333333333336</v>
      </c>
    </row>
    <row r="298" spans="1:11" x14ac:dyDescent="0.3">
      <c r="A298" s="221" t="str">
        <f t="shared" si="68"/>
        <v>HDD22</v>
      </c>
      <c r="B298" s="146" t="s">
        <v>28</v>
      </c>
      <c r="C298" s="221">
        <v>2022</v>
      </c>
      <c r="D298" s="223">
        <v>0.58599999999999997</v>
      </c>
      <c r="E298" s="223">
        <v>0</v>
      </c>
      <c r="F298" s="223">
        <f t="shared" si="69"/>
        <v>0.58599999999999997</v>
      </c>
      <c r="G298" s="224">
        <f t="shared" si="70"/>
        <v>0.39927814729399042</v>
      </c>
      <c r="H298" s="225">
        <v>22890.755632868899</v>
      </c>
      <c r="I298" s="225">
        <v>51</v>
      </c>
      <c r="J298" s="225">
        <f t="shared" si="75"/>
        <v>22931.286423925234</v>
      </c>
      <c r="K298" s="225">
        <f t="shared" si="76"/>
        <v>42.666666666666664</v>
      </c>
    </row>
    <row r="299" spans="1:11" x14ac:dyDescent="0.3">
      <c r="A299" s="221" t="str">
        <f t="shared" si="68"/>
        <v>HDD23</v>
      </c>
      <c r="B299" s="146" t="s">
        <v>28</v>
      </c>
      <c r="C299" s="221">
        <v>2023</v>
      </c>
      <c r="D299" s="223">
        <v>0.58599999999999997</v>
      </c>
      <c r="E299" s="223">
        <v>0</v>
      </c>
      <c r="F299" s="223">
        <f t="shared" si="69"/>
        <v>0.58599999999999997</v>
      </c>
      <c r="G299" s="224">
        <f t="shared" si="70"/>
        <v>0.58599999999999997</v>
      </c>
      <c r="H299" s="225">
        <v>22850.331952278</v>
      </c>
      <c r="I299" s="225">
        <v>51</v>
      </c>
      <c r="J299" s="225">
        <f t="shared" si="75"/>
        <v>22890.782395381433</v>
      </c>
      <c r="K299" s="225">
        <f t="shared" si="76"/>
        <v>51</v>
      </c>
    </row>
    <row r="300" spans="1:11" x14ac:dyDescent="0.3">
      <c r="A300" s="221" t="str">
        <f t="shared" si="68"/>
        <v>HDD24</v>
      </c>
      <c r="B300" s="146" t="s">
        <v>28</v>
      </c>
      <c r="C300" s="221">
        <v>2024</v>
      </c>
      <c r="D300" s="223">
        <v>0.58599999999999997</v>
      </c>
      <c r="E300" s="223">
        <v>0</v>
      </c>
      <c r="F300" s="223">
        <f t="shared" si="69"/>
        <v>0.58599999999999997</v>
      </c>
      <c r="G300" s="224">
        <f t="shared" si="70"/>
        <v>0.58599999999999997</v>
      </c>
      <c r="H300" s="225">
        <v>22809.9883784349</v>
      </c>
      <c r="I300" s="225">
        <v>51</v>
      </c>
      <c r="J300" s="225">
        <f t="shared" si="75"/>
        <v>22850.358654527266</v>
      </c>
      <c r="K300" s="225">
        <f t="shared" si="76"/>
        <v>51</v>
      </c>
    </row>
    <row r="301" spans="1:11" x14ac:dyDescent="0.3">
      <c r="A301" s="221" t="str">
        <f t="shared" si="68"/>
        <v>HDD25</v>
      </c>
      <c r="B301" s="146" t="s">
        <v>28</v>
      </c>
      <c r="C301" s="221">
        <v>2025</v>
      </c>
      <c r="D301" s="223">
        <v>0.58599999999999997</v>
      </c>
      <c r="E301" s="223">
        <v>0</v>
      </c>
      <c r="F301" s="223">
        <f t="shared" si="69"/>
        <v>0.58599999999999997</v>
      </c>
      <c r="G301" s="224">
        <f t="shared" si="70"/>
        <v>0.58599999999999997</v>
      </c>
      <c r="H301" s="225">
        <v>22769.7247310046</v>
      </c>
      <c r="I301" s="225">
        <v>51</v>
      </c>
      <c r="J301" s="225">
        <f t="shared" si="75"/>
        <v>22810.015020572504</v>
      </c>
      <c r="K301" s="225">
        <f t="shared" si="76"/>
        <v>51</v>
      </c>
    </row>
  </sheetData>
  <conditionalFormatting sqref="D148">
    <cfRule type="cellIs" dxfId="18" priority="6" operator="equal">
      <formula>TRUE</formula>
    </cfRule>
  </conditionalFormatting>
  <conditionalFormatting sqref="H148">
    <cfRule type="cellIs" dxfId="17" priority="2" operator="equal">
      <formula>TRUE</formula>
    </cfRule>
  </conditionalFormatting>
  <conditionalFormatting sqref="E148">
    <cfRule type="cellIs" dxfId="16" priority="1" operator="equal">
      <formula>TRUE</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3"/>
  <sheetViews>
    <sheetView showGridLines="0" workbookViewId="0"/>
  </sheetViews>
  <sheetFormatPr defaultColWidth="9" defaultRowHeight="13" x14ac:dyDescent="0.3"/>
  <cols>
    <col min="1" max="1" width="15.1640625" style="22" customWidth="1"/>
    <col min="2" max="2" width="28.6640625" style="22" customWidth="1"/>
    <col min="3" max="3" width="28.1640625" style="22" customWidth="1"/>
    <col min="4" max="4" width="22.1640625" style="22" customWidth="1"/>
    <col min="5" max="16384" width="9" style="22"/>
  </cols>
  <sheetData>
    <row r="1" spans="1:4" ht="15.5" x14ac:dyDescent="0.35">
      <c r="A1" s="218" t="s">
        <v>35</v>
      </c>
    </row>
    <row r="3" spans="1:4" x14ac:dyDescent="0.3">
      <c r="A3" s="26" t="s">
        <v>79</v>
      </c>
    </row>
    <row r="4" spans="1:4" x14ac:dyDescent="0.3">
      <c r="B4" s="28"/>
      <c r="C4" s="28"/>
      <c r="D4" s="28"/>
    </row>
    <row r="5" spans="1:4" ht="33.65" customHeight="1" x14ac:dyDescent="0.3">
      <c r="A5" s="26"/>
      <c r="C5" s="230" t="s">
        <v>251</v>
      </c>
      <c r="D5" s="231"/>
    </row>
    <row r="6" spans="1:4" x14ac:dyDescent="0.3">
      <c r="B6" s="28"/>
      <c r="C6" s="28"/>
      <c r="D6" s="28"/>
    </row>
    <row r="7" spans="1:4" x14ac:dyDescent="0.3">
      <c r="A7" s="27"/>
      <c r="B7" s="26"/>
      <c r="C7" s="25" t="s">
        <v>34</v>
      </c>
      <c r="D7" s="25"/>
    </row>
    <row r="8" spans="1:4" x14ac:dyDescent="0.3">
      <c r="C8" s="24" t="s">
        <v>32</v>
      </c>
      <c r="D8" s="24" t="s">
        <v>33</v>
      </c>
    </row>
    <row r="9" spans="1:4" x14ac:dyDescent="0.3">
      <c r="C9" s="24" t="s">
        <v>78</v>
      </c>
      <c r="D9" s="24" t="s">
        <v>77</v>
      </c>
    </row>
    <row r="10" spans="1:4" x14ac:dyDescent="0.3">
      <c r="A10" s="219" t="s">
        <v>1</v>
      </c>
      <c r="B10" s="219" t="s">
        <v>2</v>
      </c>
      <c r="C10" s="29" t="s">
        <v>80</v>
      </c>
      <c r="D10" s="29" t="s">
        <v>80</v>
      </c>
    </row>
    <row r="11" spans="1:4" ht="17.25" customHeight="1" x14ac:dyDescent="0.3">
      <c r="A11" s="23" t="s">
        <v>136</v>
      </c>
      <c r="B11" s="23" t="s">
        <v>69</v>
      </c>
      <c r="C11" s="220">
        <v>2.3999999999999999E-6</v>
      </c>
      <c r="D11" s="220">
        <v>3.2200000000000001E-6</v>
      </c>
    </row>
    <row r="12" spans="1:4" ht="29.25" customHeight="1" x14ac:dyDescent="0.3">
      <c r="A12" s="23" t="s">
        <v>137</v>
      </c>
      <c r="B12" s="30" t="s">
        <v>82</v>
      </c>
      <c r="C12" s="220">
        <v>3.4390000000000001E-4</v>
      </c>
      <c r="D12" s="220">
        <v>4.5199999999999998E-4</v>
      </c>
    </row>
    <row r="13" spans="1:4" ht="17.25" customHeight="1" x14ac:dyDescent="0.3">
      <c r="A13" s="23" t="s">
        <v>3</v>
      </c>
      <c r="B13" s="23" t="s">
        <v>4</v>
      </c>
      <c r="C13" s="220">
        <v>8.8637800000000003E-2</v>
      </c>
      <c r="D13" s="220">
        <v>0.18471960000000001</v>
      </c>
    </row>
  </sheetData>
  <mergeCells count="1">
    <mergeCell ref="C5:D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G57"/>
  <sheetViews>
    <sheetView showGridLines="0" zoomScale="85" zoomScaleNormal="85" workbookViewId="0"/>
  </sheetViews>
  <sheetFormatPr defaultColWidth="9" defaultRowHeight="14.5" x14ac:dyDescent="0.35"/>
  <cols>
    <col min="1" max="1" width="20.83203125" style="214" customWidth="1"/>
    <col min="2" max="22" width="10.6640625" style="214" bestFit="1" customWidth="1"/>
    <col min="23" max="23" width="11.6640625" style="214" customWidth="1"/>
    <col min="24" max="24" width="9" style="214" bestFit="1" customWidth="1"/>
    <col min="25" max="25" width="10.6640625" style="214" customWidth="1"/>
    <col min="26" max="29" width="9" style="214" bestFit="1" customWidth="1"/>
    <col min="30" max="30" width="9" style="214"/>
    <col min="31" max="31" width="15.33203125" style="214" customWidth="1"/>
    <col min="32" max="32" width="15.5" style="214" customWidth="1"/>
    <col min="33" max="16384" width="9" style="214"/>
  </cols>
  <sheetData>
    <row r="1" spans="1:33" ht="21.5" thickTop="1" x14ac:dyDescent="0.35">
      <c r="A1" s="213" t="s">
        <v>89</v>
      </c>
      <c r="B1" s="50"/>
      <c r="C1" s="51"/>
      <c r="D1" s="51"/>
      <c r="E1" s="51"/>
      <c r="F1" s="51"/>
      <c r="G1" s="51"/>
      <c r="H1" s="51"/>
      <c r="I1" s="51"/>
      <c r="J1" s="51"/>
      <c r="K1" s="51"/>
      <c r="L1" s="51"/>
      <c r="M1" s="51"/>
      <c r="N1" s="51"/>
      <c r="O1" s="51"/>
      <c r="P1" s="51"/>
      <c r="Q1" s="51"/>
      <c r="R1" s="51"/>
      <c r="S1" s="51"/>
      <c r="T1" s="51"/>
      <c r="U1" s="51"/>
      <c r="V1" s="51"/>
      <c r="W1" s="51"/>
      <c r="X1" s="51"/>
      <c r="Y1" s="51"/>
      <c r="Z1" s="51"/>
      <c r="AA1" s="51"/>
      <c r="AB1" s="51"/>
      <c r="AC1" s="51"/>
    </row>
    <row r="2" spans="1:33" x14ac:dyDescent="0.35">
      <c r="B2" s="52"/>
      <c r="C2" s="53"/>
      <c r="D2" s="53"/>
      <c r="E2" s="53"/>
      <c r="F2" s="53"/>
      <c r="G2" s="53"/>
      <c r="H2" s="53"/>
      <c r="I2" s="53"/>
      <c r="J2" s="53"/>
      <c r="K2" s="53"/>
      <c r="L2" s="53"/>
      <c r="M2" s="53"/>
      <c r="N2" s="53"/>
      <c r="O2" s="53"/>
      <c r="P2" s="53"/>
      <c r="Q2" s="53"/>
      <c r="R2" s="53"/>
      <c r="S2" s="53"/>
      <c r="T2" s="53"/>
      <c r="U2" s="53"/>
      <c r="V2" s="53"/>
      <c r="W2" s="53"/>
      <c r="X2" s="53"/>
      <c r="Y2" s="53"/>
      <c r="Z2" s="53"/>
      <c r="AA2" s="53"/>
    </row>
    <row r="3" spans="1:33" x14ac:dyDescent="0.35">
      <c r="C3" s="53"/>
      <c r="D3" s="53"/>
      <c r="E3" s="53"/>
      <c r="F3" s="53"/>
      <c r="G3" s="53"/>
      <c r="H3" s="53"/>
      <c r="I3" s="53"/>
      <c r="J3" s="53"/>
      <c r="K3" s="53"/>
      <c r="L3" s="53"/>
      <c r="M3" s="53"/>
      <c r="N3" s="53"/>
      <c r="O3" s="53"/>
      <c r="P3" s="53"/>
      <c r="Q3" s="53"/>
      <c r="R3" s="53"/>
      <c r="S3" s="53"/>
      <c r="T3" s="53"/>
      <c r="U3" s="53"/>
      <c r="V3" s="53"/>
      <c r="W3" s="53"/>
      <c r="X3" s="53"/>
      <c r="Y3" s="53"/>
      <c r="Z3" s="53"/>
      <c r="AA3" s="53"/>
    </row>
    <row r="4" spans="1:33" ht="18.5" x14ac:dyDescent="0.45">
      <c r="A4" s="215" t="s">
        <v>113</v>
      </c>
      <c r="B4" s="216"/>
      <c r="C4" s="76"/>
      <c r="D4" s="76"/>
      <c r="E4" s="76"/>
      <c r="F4" s="76"/>
      <c r="G4" s="76"/>
      <c r="H4" s="76"/>
      <c r="I4" s="76"/>
      <c r="J4" s="76"/>
      <c r="K4" s="76"/>
      <c r="L4" s="76"/>
      <c r="M4" s="76"/>
      <c r="N4" s="76"/>
      <c r="O4" s="76"/>
      <c r="P4" s="76"/>
      <c r="Q4" s="76"/>
      <c r="R4" s="76"/>
      <c r="S4" s="76"/>
      <c r="T4" s="76"/>
      <c r="U4" s="76"/>
      <c r="V4" s="76"/>
      <c r="W4" s="76"/>
      <c r="X4" s="76"/>
      <c r="Y4" s="76"/>
      <c r="Z4" s="76"/>
      <c r="AA4" s="76"/>
      <c r="AB4" s="76"/>
      <c r="AC4" s="76"/>
    </row>
    <row r="5" spans="1:33" x14ac:dyDescent="0.35">
      <c r="A5" s="217" t="s">
        <v>68</v>
      </c>
      <c r="B5" s="217"/>
      <c r="C5" s="53"/>
      <c r="D5" s="53"/>
      <c r="E5" s="53"/>
      <c r="F5" s="53"/>
      <c r="G5" s="53"/>
      <c r="H5" s="53"/>
      <c r="I5" s="53"/>
      <c r="J5" s="53"/>
      <c r="K5" s="53"/>
      <c r="L5" s="53"/>
      <c r="M5" s="53"/>
      <c r="N5" s="53"/>
      <c r="O5" s="53"/>
      <c r="P5" s="53"/>
      <c r="Q5" s="53"/>
      <c r="R5" s="53"/>
      <c r="S5" s="53"/>
      <c r="T5" s="53"/>
      <c r="U5" s="53"/>
      <c r="V5" s="53"/>
      <c r="W5" s="53"/>
      <c r="X5" s="53"/>
      <c r="Y5" s="53"/>
      <c r="Z5" s="53"/>
      <c r="AA5" s="53"/>
    </row>
    <row r="6" spans="1:33" ht="15.5" x14ac:dyDescent="0.35">
      <c r="A6" s="77"/>
      <c r="B6" s="77"/>
      <c r="C6" s="53"/>
      <c r="D6" s="78"/>
      <c r="E6" s="78"/>
      <c r="F6" s="78"/>
      <c r="G6" s="78"/>
      <c r="H6" s="78"/>
      <c r="I6" s="94"/>
      <c r="J6" s="95"/>
      <c r="K6" s="96"/>
      <c r="L6" s="97"/>
      <c r="M6" s="78"/>
      <c r="N6" s="78"/>
      <c r="O6" s="78"/>
      <c r="P6" s="78"/>
      <c r="Q6" s="78"/>
      <c r="R6" s="53"/>
      <c r="S6" s="53"/>
      <c r="T6" s="53"/>
      <c r="U6" s="53"/>
      <c r="V6" s="53"/>
      <c r="W6" s="53"/>
      <c r="X6" s="53"/>
      <c r="Y6" s="53"/>
      <c r="Z6" s="53"/>
      <c r="AE6" s="98"/>
      <c r="AF6" s="98"/>
      <c r="AG6" s="98"/>
    </row>
    <row r="7" spans="1:33" x14ac:dyDescent="0.35">
      <c r="A7" s="52"/>
      <c r="B7" s="79" t="s">
        <v>32</v>
      </c>
      <c r="C7" s="54"/>
      <c r="D7" s="54"/>
      <c r="E7" s="54"/>
      <c r="F7" s="54"/>
      <c r="G7" s="54"/>
      <c r="H7" s="55"/>
      <c r="I7" s="80" t="s">
        <v>91</v>
      </c>
      <c r="J7" s="81"/>
      <c r="K7" s="81"/>
      <c r="L7" s="81"/>
      <c r="M7" s="81"/>
      <c r="N7" s="81"/>
      <c r="O7" s="82"/>
      <c r="P7" s="83" t="s">
        <v>108</v>
      </c>
      <c r="Q7" s="56"/>
      <c r="R7" s="56"/>
      <c r="S7" s="56"/>
      <c r="T7" s="56"/>
      <c r="U7" s="56"/>
      <c r="V7" s="57"/>
      <c r="W7" s="58" t="s">
        <v>92</v>
      </c>
      <c r="X7" s="59"/>
      <c r="Y7" s="59"/>
      <c r="Z7" s="59"/>
      <c r="AA7" s="59"/>
      <c r="AB7" s="59"/>
      <c r="AC7" s="60"/>
      <c r="AD7" s="84"/>
      <c r="AE7" s="98"/>
      <c r="AF7" s="98"/>
      <c r="AG7" s="98"/>
    </row>
    <row r="8" spans="1:33" ht="15" customHeight="1" x14ac:dyDescent="0.35">
      <c r="A8" s="85"/>
      <c r="B8" s="61" t="s">
        <v>93</v>
      </c>
      <c r="C8" s="61" t="s">
        <v>94</v>
      </c>
      <c r="D8" s="61" t="s">
        <v>95</v>
      </c>
      <c r="E8" s="61" t="s">
        <v>96</v>
      </c>
      <c r="F8" s="61" t="s">
        <v>97</v>
      </c>
      <c r="G8" s="61" t="s">
        <v>98</v>
      </c>
      <c r="H8" s="61" t="s">
        <v>99</v>
      </c>
      <c r="I8" s="62" t="s">
        <v>100</v>
      </c>
      <c r="J8" s="62" t="s">
        <v>101</v>
      </c>
      <c r="K8" s="62" t="s">
        <v>102</v>
      </c>
      <c r="L8" s="62" t="s">
        <v>103</v>
      </c>
      <c r="M8" s="62" t="s">
        <v>104</v>
      </c>
      <c r="N8" s="62" t="s">
        <v>105</v>
      </c>
      <c r="O8" s="62" t="s">
        <v>106</v>
      </c>
      <c r="P8" s="63" t="s">
        <v>100</v>
      </c>
      <c r="Q8" s="63" t="s">
        <v>101</v>
      </c>
      <c r="R8" s="63" t="s">
        <v>102</v>
      </c>
      <c r="S8" s="63" t="s">
        <v>103</v>
      </c>
      <c r="T8" s="63" t="s">
        <v>104</v>
      </c>
      <c r="U8" s="63" t="s">
        <v>105</v>
      </c>
      <c r="V8" s="63" t="s">
        <v>106</v>
      </c>
      <c r="W8" s="64" t="s">
        <v>100</v>
      </c>
      <c r="X8" s="64" t="s">
        <v>101</v>
      </c>
      <c r="Y8" s="64" t="s">
        <v>102</v>
      </c>
      <c r="Z8" s="64" t="s">
        <v>103</v>
      </c>
      <c r="AA8" s="64" t="s">
        <v>104</v>
      </c>
      <c r="AB8" s="64" t="s">
        <v>105</v>
      </c>
      <c r="AC8" s="64" t="s">
        <v>106</v>
      </c>
      <c r="AD8" s="84"/>
      <c r="AE8" s="232" t="s">
        <v>109</v>
      </c>
      <c r="AF8" s="232" t="s">
        <v>110</v>
      </c>
      <c r="AG8" s="232" t="s">
        <v>111</v>
      </c>
    </row>
    <row r="9" spans="1:33" x14ac:dyDescent="0.35">
      <c r="A9" s="86" t="s">
        <v>112</v>
      </c>
      <c r="B9" s="87">
        <v>1</v>
      </c>
      <c r="C9" s="87">
        <v>2</v>
      </c>
      <c r="D9" s="87">
        <v>3</v>
      </c>
      <c r="E9" s="87">
        <v>4</v>
      </c>
      <c r="F9" s="87">
        <v>5</v>
      </c>
      <c r="G9" s="87">
        <v>6</v>
      </c>
      <c r="H9" s="87">
        <v>7</v>
      </c>
      <c r="I9" s="88">
        <v>8</v>
      </c>
      <c r="J9" s="88">
        <v>9</v>
      </c>
      <c r="K9" s="88">
        <v>10</v>
      </c>
      <c r="L9" s="88">
        <v>11</v>
      </c>
      <c r="M9" s="88">
        <v>12</v>
      </c>
      <c r="N9" s="88">
        <v>13</v>
      </c>
      <c r="O9" s="88">
        <v>14</v>
      </c>
      <c r="P9" s="89">
        <v>8</v>
      </c>
      <c r="Q9" s="89">
        <v>9</v>
      </c>
      <c r="R9" s="89">
        <v>10</v>
      </c>
      <c r="S9" s="89">
        <v>11</v>
      </c>
      <c r="T9" s="89">
        <v>12</v>
      </c>
      <c r="U9" s="89">
        <v>13</v>
      </c>
      <c r="V9" s="89">
        <v>14</v>
      </c>
      <c r="W9" s="64">
        <v>8</v>
      </c>
      <c r="X9" s="64">
        <v>9</v>
      </c>
      <c r="Y9" s="64">
        <v>10</v>
      </c>
      <c r="Z9" s="64">
        <v>11</v>
      </c>
      <c r="AA9" s="64">
        <v>12</v>
      </c>
      <c r="AB9" s="64">
        <v>13</v>
      </c>
      <c r="AC9" s="64">
        <v>14</v>
      </c>
      <c r="AD9" s="84"/>
      <c r="AE9" s="232"/>
      <c r="AF9" s="232"/>
      <c r="AG9" s="232"/>
    </row>
    <row r="10" spans="1:33" x14ac:dyDescent="0.35">
      <c r="A10" s="70" t="s">
        <v>8</v>
      </c>
      <c r="B10" s="107">
        <f>IFERROR(INDEX(Data!$A$5:$K$301,MATCH('Forecast drivers'!$A10&amp;RIGHT(B$8,2),Data!$A$5:$A$301,0), MATCH($A$5, Data!$A$5:$K$5,0)),"")</f>
        <v>535574</v>
      </c>
      <c r="C10" s="107">
        <f>IFERROR(INDEX(Data!$A$5:$K$301,MATCH('Forecast drivers'!$A10&amp;RIGHT(C$8,2),Data!$A$5:$A$301,0), MATCH($A$5, Data!$A$5:$K$5,0)),"")</f>
        <v>531072</v>
      </c>
      <c r="D10" s="107">
        <f>IFERROR(INDEX(Data!$A$5:$K$301,MATCH('Forecast drivers'!$A10&amp;RIGHT(D$8,2),Data!$A$5:$A$301,0), MATCH($A$5, Data!$A$5:$K$5,0)),"")</f>
        <v>528026</v>
      </c>
      <c r="E10" s="107">
        <f>IFERROR(INDEX(Data!$A$5:$K$301,MATCH('Forecast drivers'!$A10&amp;RIGHT(E$8,2),Data!$A$5:$A$301,0), MATCH($A$5, Data!$A$5:$K$5,0)),"")</f>
        <v>523920</v>
      </c>
      <c r="F10" s="107">
        <f>IFERROR(INDEX(Data!$A$5:$K$301,MATCH('Forecast drivers'!$A10&amp;RIGHT(F$8,2),Data!$A$5:$A$301,0), MATCH($A$5, Data!$A$5:$K$5,0)),"")</f>
        <v>519751</v>
      </c>
      <c r="G10" s="107">
        <f>IFERROR(INDEX(Data!$A$5:$K$301,MATCH('Forecast drivers'!$A10&amp;RIGHT(G$8,2),Data!$A$5:$A$301,0), MATCH($A$5, Data!$A$5:$K$5,0)),"")</f>
        <v>517721</v>
      </c>
      <c r="H10" s="107">
        <f>IFERROR(INDEX(Data!$A$5:$K$301,MATCH('Forecast drivers'!$A10&amp;RIGHT(H$8,2),Data!$A$5:$A$301,0), MATCH($A$5, Data!$A$5:$K$5,0)),"")</f>
        <v>516924</v>
      </c>
      <c r="I10" s="99">
        <f>IFERROR(INDEX(Data!$A$5:$K$301,MATCH('Forecast drivers'!$A10&amp;RIGHT(I$8,2),Data!$A$5:$A$301,0), MATCH($A$5, Data!$A$5:$K$5,0)),"")</f>
        <v>516612</v>
      </c>
      <c r="J10" s="99">
        <f>IFERROR(INDEX(Data!$A$5:$K$301,MATCH('Forecast drivers'!$A10&amp;RIGHT(J$8,2),Data!$A$5:$A$301,0), MATCH($A$5, Data!$A$5:$K$5,0)),"")</f>
        <v>516300</v>
      </c>
      <c r="K10" s="99">
        <f>IFERROR(INDEX(Data!$A$5:$K$301,MATCH('Forecast drivers'!$A10&amp;RIGHT(K$8,2),Data!$A$5:$A$301,0), MATCH($A$5, Data!$A$5:$K$5,0)),"")</f>
        <v>515450</v>
      </c>
      <c r="L10" s="99">
        <f>IFERROR(INDEX(Data!$A$5:$K$301,MATCH('Forecast drivers'!$A10&amp;RIGHT(L$8,2),Data!$A$5:$A$301,0), MATCH($A$5, Data!$A$5:$K$5,0)),"")</f>
        <v>513760</v>
      </c>
      <c r="M10" s="99">
        <f>IFERROR(INDEX(Data!$A$5:$K$301,MATCH('Forecast drivers'!$A10&amp;RIGHT(M$8,2),Data!$A$5:$A$301,0), MATCH($A$5, Data!$A$5:$K$5,0)),"")</f>
        <v>512080</v>
      </c>
      <c r="N10" s="99">
        <f>IFERROR(INDEX(Data!$A$5:$K$301,MATCH('Forecast drivers'!$A10&amp;RIGHT(N$8,2),Data!$A$5:$A$301,0), MATCH($A$5, Data!$A$5:$K$5,0)),"")</f>
        <v>510400</v>
      </c>
      <c r="O10" s="99">
        <f>IFERROR(INDEX(Data!$A$5:$K$301,MATCH('Forecast drivers'!$A10&amp;RIGHT(O$8,2),Data!$A$5:$A$301,0), MATCH($A$5, Data!$A$5:$K$5,0)),"")</f>
        <v>509550</v>
      </c>
      <c r="P10" s="100">
        <f t="shared" ref="P10:V10" si="0">IFERROR(INTERCEPT($B10:$H10,$B$9:$H$9)+SLOPE($B10:$H10,$B$37:$H$37)*P$9,"")</f>
        <v>511723.00000000012</v>
      </c>
      <c r="Q10" s="100">
        <f t="shared" si="0"/>
        <v>508475.60714285722</v>
      </c>
      <c r="R10" s="100">
        <f t="shared" si="0"/>
        <v>505228.21428571438</v>
      </c>
      <c r="S10" s="100">
        <f t="shared" si="0"/>
        <v>501980.82142857154</v>
      </c>
      <c r="T10" s="100">
        <f t="shared" si="0"/>
        <v>498733.42857142864</v>
      </c>
      <c r="U10" s="100">
        <f t="shared" si="0"/>
        <v>495486.0357142858</v>
      </c>
      <c r="V10" s="100">
        <f t="shared" si="0"/>
        <v>492238.64285714296</v>
      </c>
      <c r="W10" s="101">
        <f t="shared" ref="W10:W28" si="1" xml:space="preserve"> IF($AE10="Company forecast",J10, IF($AE10="Ofwat forecast",Q10))</f>
        <v>516300</v>
      </c>
      <c r="X10" s="101">
        <f t="shared" ref="X10:X28" si="2" xml:space="preserve"> IF($AE10="Company forecast",J10, IF($AE10="Ofwat forecast",Q10))</f>
        <v>516300</v>
      </c>
      <c r="Y10" s="101">
        <f t="shared" ref="Y10:Y28" si="3" xml:space="preserve"> IF($AE10="Company forecast",K10, IF($AE10="Ofwat forecast",R10))</f>
        <v>515450</v>
      </c>
      <c r="Z10" s="101">
        <f t="shared" ref="Z10:Z28" si="4" xml:space="preserve"> IF($AE10="Company forecast",L10, IF($AE10="Ofwat forecast",S10))</f>
        <v>513760</v>
      </c>
      <c r="AA10" s="101">
        <f t="shared" ref="AA10:AA28" si="5" xml:space="preserve"> IF($AE10="Company forecast",M10, IF($AE10="Ofwat forecast",T10))</f>
        <v>512080</v>
      </c>
      <c r="AB10" s="101">
        <f t="shared" ref="AB10:AB28" si="6" xml:space="preserve"> IF($AE10="Company forecast",N10, IF($AE10="Ofwat forecast",U10))</f>
        <v>510400</v>
      </c>
      <c r="AC10" s="101">
        <f t="shared" ref="AC10:AC28" si="7" xml:space="preserve"> IF($AE10="Company forecast",O10, IF($AE10="Ofwat forecast",V10))</f>
        <v>509550</v>
      </c>
      <c r="AD10" s="84"/>
      <c r="AE10" s="91" t="s">
        <v>91</v>
      </c>
      <c r="AF10" s="92" t="s">
        <v>91</v>
      </c>
      <c r="AG10" s="93" t="str">
        <f t="shared" ref="AG10:AG29" si="8" xml:space="preserve"> IF(AE10=AF10, "OK", "error")</f>
        <v>OK</v>
      </c>
    </row>
    <row r="11" spans="1:33" x14ac:dyDescent="0.35">
      <c r="A11" s="70" t="s">
        <v>28</v>
      </c>
      <c r="B11" s="108"/>
      <c r="C11" s="108"/>
      <c r="D11" s="108"/>
      <c r="E11" s="108"/>
      <c r="F11" s="108"/>
      <c r="G11" s="108"/>
      <c r="H11" s="107">
        <f>IFERROR(INDEX(Data!$A$5:$K$301,MATCH('Forecast drivers'!$A11&amp;RIGHT(H$8,2),Data!$A$5:$A$301,0), MATCH($A$5, Data!$A$5:$K$5,0)),"")</f>
        <v>23002</v>
      </c>
      <c r="I11" s="99">
        <f>IFERROR(INDEX(Data!$A$5:$K$301,MATCH('Forecast drivers'!$A11&amp;RIGHT(I$8,2),Data!$A$5:$A$301,0), MATCH($A$5, Data!$A$5:$K$5,0)),"")</f>
        <v>23012.509125308101</v>
      </c>
      <c r="J11" s="99">
        <f>IFERROR(INDEX(Data!$A$5:$K$301,MATCH('Forecast drivers'!$A11&amp;RIGHT(J$8,2),Data!$A$5:$A$301,0), MATCH($A$5, Data!$A$5:$K$5,0)),"")</f>
        <v>22971.844037909399</v>
      </c>
      <c r="K11" s="99">
        <f>IFERROR(INDEX(Data!$A$5:$K$301,MATCH('Forecast drivers'!$A11&amp;RIGHT(K$8,2),Data!$A$5:$A$301,0), MATCH($A$5, Data!$A$5:$K$5,0)),"")</f>
        <v>22931.2596009974</v>
      </c>
      <c r="L11" s="99">
        <f>IFERROR(INDEX(Data!$A$5:$K$301,MATCH('Forecast drivers'!$A11&amp;RIGHT(L$8,2),Data!$A$5:$A$301,0), MATCH($A$5, Data!$A$5:$K$5,0)),"")</f>
        <v>22890.755632868899</v>
      </c>
      <c r="M11" s="99">
        <f>IFERROR(INDEX(Data!$A$5:$K$301,MATCH('Forecast drivers'!$A11&amp;RIGHT(M$8,2),Data!$A$5:$A$301,0), MATCH($A$5, Data!$A$5:$K$5,0)),"")</f>
        <v>22850.331952278</v>
      </c>
      <c r="N11" s="99">
        <f>IFERROR(INDEX(Data!$A$5:$K$301,MATCH('Forecast drivers'!$A11&amp;RIGHT(N$8,2),Data!$A$5:$A$301,0), MATCH($A$5, Data!$A$5:$K$5,0)),"")</f>
        <v>22809.9883784349</v>
      </c>
      <c r="O11" s="99">
        <f>IFERROR(INDEX(Data!$A$5:$K$301,MATCH('Forecast drivers'!$A11&amp;RIGHT(O$8,2),Data!$A$5:$A$301,0), MATCH($A$5, Data!$A$5:$K$5,0)),"")</f>
        <v>22769.7247310046</v>
      </c>
      <c r="P11" s="102"/>
      <c r="Q11" s="102"/>
      <c r="R11" s="102"/>
      <c r="S11" s="102"/>
      <c r="T11" s="102"/>
      <c r="U11" s="102"/>
      <c r="V11" s="102"/>
      <c r="W11" s="101">
        <f t="shared" si="1"/>
        <v>22971.844037909399</v>
      </c>
      <c r="X11" s="101">
        <f t="shared" si="2"/>
        <v>22971.844037909399</v>
      </c>
      <c r="Y11" s="101">
        <f t="shared" si="3"/>
        <v>22931.2596009974</v>
      </c>
      <c r="Z11" s="101">
        <f t="shared" si="4"/>
        <v>22890.755632868899</v>
      </c>
      <c r="AA11" s="101">
        <f t="shared" si="5"/>
        <v>22850.331952278</v>
      </c>
      <c r="AB11" s="101">
        <f t="shared" si="6"/>
        <v>22809.9883784349</v>
      </c>
      <c r="AC11" s="101">
        <f t="shared" si="7"/>
        <v>22769.7247310046</v>
      </c>
      <c r="AD11" s="84"/>
      <c r="AE11" s="91" t="s">
        <v>91</v>
      </c>
      <c r="AF11" s="92" t="s">
        <v>91</v>
      </c>
      <c r="AG11" s="93" t="str">
        <f t="shared" si="8"/>
        <v>OK</v>
      </c>
    </row>
    <row r="12" spans="1:33" x14ac:dyDescent="0.35">
      <c r="A12" s="70" t="s">
        <v>9</v>
      </c>
      <c r="B12" s="107">
        <f>IFERROR(INDEX(Data!$A$5:$K$301,MATCH('Forecast drivers'!$A12&amp;RIGHT(B$8,2),Data!$A$5:$A$301,0), MATCH($A$5, Data!$A$5:$K$5,0)),"")</f>
        <v>618409</v>
      </c>
      <c r="C12" s="107">
        <f>IFERROR(INDEX(Data!$A$5:$K$301,MATCH('Forecast drivers'!$A12&amp;RIGHT(C$8,2),Data!$A$5:$A$301,0), MATCH($A$5, Data!$A$5:$K$5,0)),"")</f>
        <v>606617</v>
      </c>
      <c r="D12" s="107">
        <f>IFERROR(INDEX(Data!$A$5:$K$301,MATCH('Forecast drivers'!$A12&amp;RIGHT(D$8,2),Data!$A$5:$A$301,0), MATCH($A$5, Data!$A$5:$K$5,0)),"")</f>
        <v>602471</v>
      </c>
      <c r="E12" s="107">
        <f>IFERROR(INDEX(Data!$A$5:$K$301,MATCH('Forecast drivers'!$A12&amp;RIGHT(E$8,2),Data!$A$5:$A$301,0), MATCH($A$5, Data!$A$5:$K$5,0)),"")</f>
        <v>596336</v>
      </c>
      <c r="F12" s="107">
        <f>IFERROR(INDEX(Data!$A$5:$K$301,MATCH('Forecast drivers'!$A12&amp;RIGHT(F$8,2),Data!$A$5:$A$301,0), MATCH($A$5, Data!$A$5:$K$5,0)),"")</f>
        <v>564013</v>
      </c>
      <c r="G12" s="107">
        <f>IFERROR(INDEX(Data!$A$5:$K$301,MATCH('Forecast drivers'!$A12&amp;RIGHT(G$8,2),Data!$A$5:$A$301,0), MATCH($A$5, Data!$A$5:$K$5,0)),"")</f>
        <v>560453</v>
      </c>
      <c r="H12" s="107">
        <f>IFERROR(INDEX(Data!$A$5:$K$301,MATCH('Forecast drivers'!$A12&amp;RIGHT(H$8,2),Data!$A$5:$A$301,0), MATCH($A$5, Data!$A$5:$K$5,0)),"")</f>
        <v>553799</v>
      </c>
      <c r="I12" s="99">
        <f>IFERROR(INDEX(Data!$A$5:$K$301,MATCH('Forecast drivers'!$A12&amp;RIGHT(I$8,2),Data!$A$5:$A$301,0), MATCH($A$5, Data!$A$5:$K$5,0)),"")</f>
        <v>547450</v>
      </c>
      <c r="J12" s="99">
        <f>IFERROR(INDEX(Data!$A$5:$K$301,MATCH('Forecast drivers'!$A12&amp;RIGHT(J$8,2),Data!$A$5:$A$301,0), MATCH($A$5, Data!$A$5:$K$5,0)),"")</f>
        <v>541101</v>
      </c>
      <c r="K12" s="99">
        <f>IFERROR(INDEX(Data!$A$5:$K$301,MATCH('Forecast drivers'!$A12&amp;RIGHT(K$8,2),Data!$A$5:$A$301,0), MATCH($A$5, Data!$A$5:$K$5,0)),"")</f>
        <v>534475</v>
      </c>
      <c r="L12" s="99">
        <f>IFERROR(INDEX(Data!$A$5:$K$301,MATCH('Forecast drivers'!$A12&amp;RIGHT(L$8,2),Data!$A$5:$A$301,0), MATCH($A$5, Data!$A$5:$K$5,0)),"")</f>
        <v>527671</v>
      </c>
      <c r="M12" s="99">
        <f>IFERROR(INDEX(Data!$A$5:$K$301,MATCH('Forecast drivers'!$A12&amp;RIGHT(M$8,2),Data!$A$5:$A$301,0), MATCH($A$5, Data!$A$5:$K$5,0)),"")</f>
        <v>520867</v>
      </c>
      <c r="N12" s="99">
        <f>IFERROR(INDEX(Data!$A$5:$K$301,MATCH('Forecast drivers'!$A12&amp;RIGHT(N$8,2),Data!$A$5:$A$301,0), MATCH($A$5, Data!$A$5:$K$5,0)),"")</f>
        <v>514063</v>
      </c>
      <c r="O12" s="99">
        <f>IFERROR(INDEX(Data!$A$5:$K$301,MATCH('Forecast drivers'!$A12&amp;RIGHT(O$8,2),Data!$A$5:$A$301,0), MATCH($A$5, Data!$A$5:$K$5,0)),"")</f>
        <v>507274</v>
      </c>
      <c r="P12" s="100">
        <f t="shared" ref="P12:V14" si="9">IFERROR(INTERCEPT($B12:$H12,$B$9:$H$9)+SLOPE($B12:$H12,$B$37:$H$37)*P$9,"")</f>
        <v>539640.2857142858</v>
      </c>
      <c r="Q12" s="100">
        <f t="shared" si="9"/>
        <v>528046.85714285716</v>
      </c>
      <c r="R12" s="100">
        <f t="shared" si="9"/>
        <v>516453.42857142864</v>
      </c>
      <c r="S12" s="100">
        <f t="shared" si="9"/>
        <v>504860.00000000006</v>
      </c>
      <c r="T12" s="100">
        <f t="shared" si="9"/>
        <v>493266.57142857148</v>
      </c>
      <c r="U12" s="100">
        <f t="shared" si="9"/>
        <v>481673.1428571429</v>
      </c>
      <c r="V12" s="100">
        <f t="shared" si="9"/>
        <v>470079.71428571432</v>
      </c>
      <c r="W12" s="101">
        <f t="shared" si="1"/>
        <v>541101</v>
      </c>
      <c r="X12" s="101">
        <f t="shared" si="2"/>
        <v>541101</v>
      </c>
      <c r="Y12" s="101">
        <f t="shared" si="3"/>
        <v>534475</v>
      </c>
      <c r="Z12" s="101">
        <f t="shared" si="4"/>
        <v>527671</v>
      </c>
      <c r="AA12" s="101">
        <f t="shared" si="5"/>
        <v>520867</v>
      </c>
      <c r="AB12" s="101">
        <f t="shared" si="6"/>
        <v>514063</v>
      </c>
      <c r="AC12" s="101">
        <f t="shared" si="7"/>
        <v>507274</v>
      </c>
      <c r="AD12" s="84"/>
      <c r="AE12" s="91" t="s">
        <v>91</v>
      </c>
      <c r="AF12" s="92" t="s">
        <v>91</v>
      </c>
      <c r="AG12" s="93" t="str">
        <f t="shared" si="8"/>
        <v>OK</v>
      </c>
    </row>
    <row r="13" spans="1:33" x14ac:dyDescent="0.35">
      <c r="A13" s="70" t="s">
        <v>10</v>
      </c>
      <c r="B13" s="107">
        <f>IFERROR(INDEX(Data!$A$5:$K$301,MATCH('Forecast drivers'!$A13&amp;RIGHT(B$8,2),Data!$A$5:$A$301,0), MATCH($A$5, Data!$A$5:$K$5,0)),"")</f>
        <v>548706</v>
      </c>
      <c r="C13" s="107">
        <f>IFERROR(INDEX(Data!$A$5:$K$301,MATCH('Forecast drivers'!$A13&amp;RIGHT(C$8,2),Data!$A$5:$A$301,0), MATCH($A$5, Data!$A$5:$K$5,0)),"")</f>
        <v>546299</v>
      </c>
      <c r="D13" s="107">
        <f>IFERROR(INDEX(Data!$A$5:$K$301,MATCH('Forecast drivers'!$A13&amp;RIGHT(D$8,2),Data!$A$5:$A$301,0), MATCH($A$5, Data!$A$5:$K$5,0)),"")</f>
        <v>544391</v>
      </c>
      <c r="E13" s="107">
        <f>IFERROR(INDEX(Data!$A$5:$K$301,MATCH('Forecast drivers'!$A13&amp;RIGHT(E$8,2),Data!$A$5:$A$301,0), MATCH($A$5, Data!$A$5:$K$5,0)),"")</f>
        <v>543680</v>
      </c>
      <c r="F13" s="107">
        <f>IFERROR(INDEX(Data!$A$5:$K$301,MATCH('Forecast drivers'!$A13&amp;RIGHT(F$8,2),Data!$A$5:$A$301,0), MATCH($A$5, Data!$A$5:$K$5,0)),"")</f>
        <v>539749</v>
      </c>
      <c r="G13" s="107">
        <f>IFERROR(INDEX(Data!$A$5:$K$301,MATCH('Forecast drivers'!$A13&amp;RIGHT(G$8,2),Data!$A$5:$A$301,0), MATCH($A$5, Data!$A$5:$K$5,0)),"")</f>
        <v>535279</v>
      </c>
      <c r="H13" s="107">
        <f>IFERROR(INDEX(Data!$A$5:$K$301,MATCH('Forecast drivers'!$A13&amp;RIGHT(H$8,2),Data!$A$5:$A$301,0), MATCH($A$5, Data!$A$5:$K$5,0)),"")</f>
        <v>530287</v>
      </c>
      <c r="I13" s="99">
        <f>IFERROR(INDEX(Data!$A$5:$K$301,MATCH('Forecast drivers'!$A13&amp;RIGHT(I$8,2),Data!$A$5:$A$301,0), MATCH($A$5, Data!$A$5:$K$5,0)),"")</f>
        <v>525823</v>
      </c>
      <c r="J13" s="99">
        <f>IFERROR(INDEX(Data!$A$5:$K$301,MATCH('Forecast drivers'!$A13&amp;RIGHT(J$8,2),Data!$A$5:$A$301,0), MATCH($A$5, Data!$A$5:$K$5,0)),"")</f>
        <v>521359</v>
      </c>
      <c r="K13" s="99">
        <f>IFERROR(INDEX(Data!$A$5:$K$301,MATCH('Forecast drivers'!$A13&amp;RIGHT(K$8,2),Data!$A$5:$A$301,0), MATCH($A$5, Data!$A$5:$K$5,0)),"")</f>
        <v>516895</v>
      </c>
      <c r="L13" s="99">
        <f>IFERROR(INDEX(Data!$A$5:$K$301,MATCH('Forecast drivers'!$A13&amp;RIGHT(L$8,2),Data!$A$5:$A$301,0), MATCH($A$5, Data!$A$5:$K$5,0)),"")</f>
        <v>511931</v>
      </c>
      <c r="M13" s="99">
        <f>IFERROR(INDEX(Data!$A$5:$K$301,MATCH('Forecast drivers'!$A13&amp;RIGHT(M$8,2),Data!$A$5:$A$301,0), MATCH($A$5, Data!$A$5:$K$5,0)),"")</f>
        <v>506667</v>
      </c>
      <c r="N13" s="99">
        <f>IFERROR(INDEX(Data!$A$5:$K$301,MATCH('Forecast drivers'!$A13&amp;RIGHT(N$8,2),Data!$A$5:$A$301,0), MATCH($A$5, Data!$A$5:$K$5,0)),"")</f>
        <v>501453</v>
      </c>
      <c r="O13" s="99">
        <f>IFERROR(INDEX(Data!$A$5:$K$301,MATCH('Forecast drivers'!$A13&amp;RIGHT(O$8,2),Data!$A$5:$A$301,0), MATCH($A$5, Data!$A$5:$K$5,0)),"")</f>
        <v>496239</v>
      </c>
      <c r="P13" s="100">
        <f t="shared" si="9"/>
        <v>529493.14285714296</v>
      </c>
      <c r="Q13" s="100">
        <f t="shared" si="9"/>
        <v>526566.75000000012</v>
      </c>
      <c r="R13" s="100">
        <f t="shared" si="9"/>
        <v>523640.35714285722</v>
      </c>
      <c r="S13" s="100">
        <f t="shared" si="9"/>
        <v>520713.96428571438</v>
      </c>
      <c r="T13" s="100">
        <f t="shared" si="9"/>
        <v>517787.57142857148</v>
      </c>
      <c r="U13" s="100">
        <f t="shared" si="9"/>
        <v>514861.17857142864</v>
      </c>
      <c r="V13" s="100">
        <f t="shared" si="9"/>
        <v>511934.7857142858</v>
      </c>
      <c r="W13" s="101">
        <f t="shared" si="1"/>
        <v>521359</v>
      </c>
      <c r="X13" s="101">
        <f t="shared" si="2"/>
        <v>521359</v>
      </c>
      <c r="Y13" s="101">
        <f t="shared" si="3"/>
        <v>516895</v>
      </c>
      <c r="Z13" s="101">
        <f t="shared" si="4"/>
        <v>511931</v>
      </c>
      <c r="AA13" s="101">
        <f t="shared" si="5"/>
        <v>506667</v>
      </c>
      <c r="AB13" s="101">
        <f t="shared" si="6"/>
        <v>501453</v>
      </c>
      <c r="AC13" s="101">
        <f t="shared" si="7"/>
        <v>496239</v>
      </c>
      <c r="AD13" s="84"/>
      <c r="AE13" s="91" t="s">
        <v>91</v>
      </c>
      <c r="AF13" s="92" t="s">
        <v>91</v>
      </c>
      <c r="AG13" s="93" t="str">
        <f t="shared" si="8"/>
        <v>OK</v>
      </c>
    </row>
    <row r="14" spans="1:33" x14ac:dyDescent="0.35">
      <c r="A14" s="70" t="s">
        <v>11</v>
      </c>
      <c r="B14" s="107">
        <f>IFERROR(INDEX(Data!$A$5:$K$301,MATCH('Forecast drivers'!$A14&amp;RIGHT(B$8,2),Data!$A$5:$A$301,0), MATCH($A$5, Data!$A$5:$K$5,0)),"")</f>
        <v>116574</v>
      </c>
      <c r="C14" s="107">
        <f>IFERROR(INDEX(Data!$A$5:$K$301,MATCH('Forecast drivers'!$A14&amp;RIGHT(C$8,2),Data!$A$5:$A$301,0), MATCH($A$5, Data!$A$5:$K$5,0)),"")</f>
        <v>116174</v>
      </c>
      <c r="D14" s="107">
        <f>IFERROR(INDEX(Data!$A$5:$K$301,MATCH('Forecast drivers'!$A14&amp;RIGHT(D$8,2),Data!$A$5:$A$301,0), MATCH($A$5, Data!$A$5:$K$5,0)),"")</f>
        <v>115774</v>
      </c>
      <c r="E14" s="107">
        <f>IFERROR(INDEX(Data!$A$5:$K$301,MATCH('Forecast drivers'!$A14&amp;RIGHT(E$8,2),Data!$A$5:$A$301,0), MATCH($A$5, Data!$A$5:$K$5,0)),"")</f>
        <v>115374</v>
      </c>
      <c r="F14" s="107">
        <f>IFERROR(INDEX(Data!$A$5:$K$301,MATCH('Forecast drivers'!$A14&amp;RIGHT(F$8,2),Data!$A$5:$A$301,0), MATCH($A$5, Data!$A$5:$K$5,0)),"")</f>
        <v>114974</v>
      </c>
      <c r="G14" s="107">
        <f>IFERROR(INDEX(Data!$A$5:$K$301,MATCH('Forecast drivers'!$A14&amp;RIGHT(G$8,2),Data!$A$5:$A$301,0), MATCH($A$5, Data!$A$5:$K$5,0)),"")</f>
        <v>114574</v>
      </c>
      <c r="H14" s="107">
        <f>IFERROR(INDEX(Data!$A$5:$K$301,MATCH('Forecast drivers'!$A14&amp;RIGHT(H$8,2),Data!$A$5:$A$301,0), MATCH($A$5, Data!$A$5:$K$5,0)),"")</f>
        <v>139997</v>
      </c>
      <c r="I14" s="99">
        <f>IFERROR(INDEX(Data!$A$5:$K$301,MATCH('Forecast drivers'!$A14&amp;RIGHT(I$8,2),Data!$A$5:$A$301,0), MATCH($A$5, Data!$A$5:$K$5,0)),"")</f>
        <v>139597</v>
      </c>
      <c r="J14" s="99">
        <f>IFERROR(INDEX(Data!$A$5:$K$301,MATCH('Forecast drivers'!$A14&amp;RIGHT(J$8,2),Data!$A$5:$A$301,0), MATCH($A$5, Data!$A$5:$K$5,0)),"")</f>
        <v>139197</v>
      </c>
      <c r="K14" s="99">
        <f>IFERROR(INDEX(Data!$A$5:$K$301,MATCH('Forecast drivers'!$A14&amp;RIGHT(K$8,2),Data!$A$5:$A$301,0), MATCH($A$5, Data!$A$5:$K$5,0)),"")</f>
        <v>134542</v>
      </c>
      <c r="L14" s="99">
        <f>IFERROR(INDEX(Data!$A$5:$K$301,MATCH('Forecast drivers'!$A14&amp;RIGHT(L$8,2),Data!$A$5:$A$301,0), MATCH($A$5, Data!$A$5:$K$5,0)),"")</f>
        <v>126774</v>
      </c>
      <c r="M14" s="99">
        <f>IFERROR(INDEX(Data!$A$5:$K$301,MATCH('Forecast drivers'!$A14&amp;RIGHT(M$8,2),Data!$A$5:$A$301,0), MATCH($A$5, Data!$A$5:$K$5,0)),"")</f>
        <v>119361</v>
      </c>
      <c r="N14" s="99">
        <f>IFERROR(INDEX(Data!$A$5:$K$301,MATCH('Forecast drivers'!$A14&amp;RIGHT(N$8,2),Data!$A$5:$A$301,0), MATCH($A$5, Data!$A$5:$K$5,0)),"")</f>
        <v>115023</v>
      </c>
      <c r="O14" s="99">
        <f>IFERROR(INDEX(Data!$A$5:$K$301,MATCH('Forecast drivers'!$A14&amp;RIGHT(O$8,2),Data!$A$5:$A$301,0), MATCH($A$5, Data!$A$5:$K$5,0)),"")</f>
        <v>111278</v>
      </c>
      <c r="P14" s="100">
        <f t="shared" si="9"/>
        <v>128530</v>
      </c>
      <c r="Q14" s="100">
        <f t="shared" si="9"/>
        <v>130896.75</v>
      </c>
      <c r="R14" s="100">
        <f t="shared" si="9"/>
        <v>133263.5</v>
      </c>
      <c r="S14" s="100">
        <f t="shared" si="9"/>
        <v>135630.25</v>
      </c>
      <c r="T14" s="100">
        <f t="shared" si="9"/>
        <v>137997</v>
      </c>
      <c r="U14" s="100">
        <f t="shared" si="9"/>
        <v>140363.75</v>
      </c>
      <c r="V14" s="100">
        <f t="shared" si="9"/>
        <v>142730.5</v>
      </c>
      <c r="W14" s="101">
        <f t="shared" si="1"/>
        <v>139197</v>
      </c>
      <c r="X14" s="101">
        <f t="shared" si="2"/>
        <v>139197</v>
      </c>
      <c r="Y14" s="101">
        <f t="shared" si="3"/>
        <v>134542</v>
      </c>
      <c r="Z14" s="101">
        <f t="shared" si="4"/>
        <v>126774</v>
      </c>
      <c r="AA14" s="101">
        <f t="shared" si="5"/>
        <v>119361</v>
      </c>
      <c r="AB14" s="101">
        <f t="shared" si="6"/>
        <v>115023</v>
      </c>
      <c r="AC14" s="101">
        <f t="shared" si="7"/>
        <v>111278</v>
      </c>
      <c r="AD14" s="84"/>
      <c r="AE14" s="91" t="s">
        <v>91</v>
      </c>
      <c r="AF14" s="92" t="s">
        <v>91</v>
      </c>
      <c r="AG14" s="93" t="str">
        <f t="shared" si="8"/>
        <v>OK</v>
      </c>
    </row>
    <row r="15" spans="1:33" x14ac:dyDescent="0.35">
      <c r="A15" s="70" t="s">
        <v>27</v>
      </c>
      <c r="B15" s="108"/>
      <c r="C15" s="108"/>
      <c r="D15" s="108"/>
      <c r="E15" s="108"/>
      <c r="F15" s="108"/>
      <c r="G15" s="108"/>
      <c r="H15" s="107">
        <f>IFERROR(INDEX(Data!$A$5:$K$301,MATCH('Forecast drivers'!$A15&amp;RIGHT(H$8,2),Data!$A$5:$A$301,0), MATCH($A$5, Data!$A$5:$K$5,0)),"")</f>
        <v>637844</v>
      </c>
      <c r="I15" s="99">
        <f>IFERROR(INDEX(Data!$A$5:$K$301,MATCH('Forecast drivers'!$A15&amp;RIGHT(I$8,2),Data!$A$5:$A$301,0), MATCH($A$5, Data!$A$5:$K$5,0)),"")</f>
        <v>636011.39408353902</v>
      </c>
      <c r="J15" s="99">
        <f>IFERROR(INDEX(Data!$A$5:$K$301,MATCH('Forecast drivers'!$A15&amp;RIGHT(J$8,2),Data!$A$5:$A$301,0), MATCH($A$5, Data!$A$5:$K$5,0)),"")</f>
        <v>634122.27486127301</v>
      </c>
      <c r="K15" s="99">
        <f>IFERROR(INDEX(Data!$A$5:$K$301,MATCH('Forecast drivers'!$A15&amp;RIGHT(K$8,2),Data!$A$5:$A$301,0), MATCH($A$5, Data!$A$5:$K$5,0)),"")</f>
        <v>632238.79543348996</v>
      </c>
      <c r="L15" s="99">
        <f>IFERROR(INDEX(Data!$A$5:$K$301,MATCH('Forecast drivers'!$A15&amp;RIGHT(L$8,2),Data!$A$5:$A$301,0), MATCH($A$5, Data!$A$5:$K$5,0)),"")</f>
        <v>630360.93892097299</v>
      </c>
      <c r="M15" s="99">
        <f>IFERROR(INDEX(Data!$A$5:$K$301,MATCH('Forecast drivers'!$A15&amp;RIGHT(M$8,2),Data!$A$5:$A$301,0), MATCH($A$5, Data!$A$5:$K$5,0)),"")</f>
        <v>628488.68849508197</v>
      </c>
      <c r="N15" s="99">
        <f>IFERROR(INDEX(Data!$A$5:$K$301,MATCH('Forecast drivers'!$A15&amp;RIGHT(N$8,2),Data!$A$5:$A$301,0), MATCH($A$5, Data!$A$5:$K$5,0)),"")</f>
        <v>626622.02737760602</v>
      </c>
      <c r="O15" s="99">
        <f>IFERROR(INDEX(Data!$A$5:$K$301,MATCH('Forecast drivers'!$A15&amp;RIGHT(O$8,2),Data!$A$5:$A$301,0), MATCH($A$5, Data!$A$5:$K$5,0)),"")</f>
        <v>624760.93884060998</v>
      </c>
      <c r="P15" s="102"/>
      <c r="Q15" s="102"/>
      <c r="R15" s="102"/>
      <c r="S15" s="102"/>
      <c r="T15" s="102"/>
      <c r="U15" s="102"/>
      <c r="V15" s="102"/>
      <c r="W15" s="101">
        <f t="shared" si="1"/>
        <v>634122.27486127301</v>
      </c>
      <c r="X15" s="101">
        <f t="shared" si="2"/>
        <v>634122.27486127301</v>
      </c>
      <c r="Y15" s="101">
        <f t="shared" si="3"/>
        <v>632238.79543348996</v>
      </c>
      <c r="Z15" s="101">
        <f t="shared" si="4"/>
        <v>630360.93892097299</v>
      </c>
      <c r="AA15" s="101">
        <f t="shared" si="5"/>
        <v>628488.68849508197</v>
      </c>
      <c r="AB15" s="101">
        <f t="shared" si="6"/>
        <v>626622.02737760602</v>
      </c>
      <c r="AC15" s="101">
        <f t="shared" si="7"/>
        <v>624760.93884060998</v>
      </c>
      <c r="AD15" s="84"/>
      <c r="AE15" s="91" t="s">
        <v>91</v>
      </c>
      <c r="AF15" s="92" t="s">
        <v>91</v>
      </c>
      <c r="AG15" s="93" t="str">
        <f t="shared" si="8"/>
        <v>OK</v>
      </c>
    </row>
    <row r="16" spans="1:33" x14ac:dyDescent="0.35">
      <c r="A16" s="70" t="s">
        <v>12</v>
      </c>
      <c r="B16" s="107">
        <f>IFERROR(INDEX(Data!$A$5:$K$301,MATCH('Forecast drivers'!$A16&amp;RIGHT(B$8,2),Data!$A$5:$A$301,0), MATCH($A$5, Data!$A$5:$K$5,0)),"")</f>
        <v>639594.4465660901</v>
      </c>
      <c r="C16" s="107">
        <f>IFERROR(INDEX(Data!$A$5:$K$301,MATCH('Forecast drivers'!$A16&amp;RIGHT(C$8,2),Data!$A$5:$A$301,0), MATCH($A$5, Data!$A$5:$K$5,0)),"")</f>
        <v>638800.4465660901</v>
      </c>
      <c r="D16" s="107">
        <f>IFERROR(INDEX(Data!$A$5:$K$301,MATCH('Forecast drivers'!$A16&amp;RIGHT(D$8,2),Data!$A$5:$A$301,0), MATCH($A$5, Data!$A$5:$K$5,0)),"")</f>
        <v>637177.4465660901</v>
      </c>
      <c r="E16" s="107">
        <f>IFERROR(INDEX(Data!$A$5:$K$301,MATCH('Forecast drivers'!$A16&amp;RIGHT(E$8,2),Data!$A$5:$A$301,0), MATCH($A$5, Data!$A$5:$K$5,0)),"")</f>
        <v>634949.4465660901</v>
      </c>
      <c r="F16" s="107">
        <f>IFERROR(INDEX(Data!$A$5:$K$301,MATCH('Forecast drivers'!$A16&amp;RIGHT(F$8,2),Data!$A$5:$A$301,0), MATCH($A$5, Data!$A$5:$K$5,0)),"")</f>
        <v>634130.4465660901</v>
      </c>
      <c r="G16" s="107">
        <f>IFERROR(INDEX(Data!$A$5:$K$301,MATCH('Forecast drivers'!$A16&amp;RIGHT(G$8,2),Data!$A$5:$A$301,0), MATCH($A$5, Data!$A$5:$K$5,0)),"")</f>
        <v>633049.4465660901</v>
      </c>
      <c r="H16" s="107">
        <f>IFERROR(INDEX(Data!$A$5:$K$301,MATCH('Forecast drivers'!$A16&amp;RIGHT(H$8,2),Data!$A$5:$A$301,0), MATCH($A$5, Data!$A$5:$K$5,0)),"")</f>
        <v>630263</v>
      </c>
      <c r="I16" s="102"/>
      <c r="J16" s="102"/>
      <c r="K16" s="102"/>
      <c r="L16" s="102"/>
      <c r="M16" s="102"/>
      <c r="N16" s="102"/>
      <c r="O16" s="102"/>
      <c r="P16" s="100">
        <f t="shared" ref="P16:V28" si="10">IFERROR(INTERCEPT($B16:$H16,$B$9:$H$9)+SLOPE($B16:$H16,$B$37:$H$37)*P$9,"")</f>
        <v>629345.90567118127</v>
      </c>
      <c r="Q16" s="100">
        <f t="shared" si="10"/>
        <v>627826.50068195735</v>
      </c>
      <c r="R16" s="100">
        <f t="shared" si="10"/>
        <v>626307.09569273342</v>
      </c>
      <c r="S16" s="100">
        <f t="shared" si="10"/>
        <v>624787.69070350949</v>
      </c>
      <c r="T16" s="100">
        <f t="shared" si="10"/>
        <v>623268.28571428556</v>
      </c>
      <c r="U16" s="100">
        <f t="shared" si="10"/>
        <v>621748.88072506164</v>
      </c>
      <c r="V16" s="100">
        <f t="shared" si="10"/>
        <v>620229.47573583759</v>
      </c>
      <c r="W16" s="101">
        <f t="shared" si="1"/>
        <v>0</v>
      </c>
      <c r="X16" s="101">
        <f t="shared" si="2"/>
        <v>0</v>
      </c>
      <c r="Y16" s="101">
        <f t="shared" si="3"/>
        <v>0</v>
      </c>
      <c r="Z16" s="101">
        <f t="shared" si="4"/>
        <v>0</v>
      </c>
      <c r="AA16" s="101">
        <f t="shared" si="5"/>
        <v>0</v>
      </c>
      <c r="AB16" s="101">
        <f t="shared" si="6"/>
        <v>0</v>
      </c>
      <c r="AC16" s="101">
        <f t="shared" si="7"/>
        <v>0</v>
      </c>
      <c r="AD16" s="84"/>
      <c r="AE16" s="91" t="s">
        <v>91</v>
      </c>
      <c r="AF16" s="92" t="s">
        <v>91</v>
      </c>
      <c r="AG16" s="93" t="str">
        <f t="shared" si="8"/>
        <v>OK</v>
      </c>
    </row>
    <row r="17" spans="1:33" x14ac:dyDescent="0.35">
      <c r="A17" s="70" t="s">
        <v>14</v>
      </c>
      <c r="B17" s="107">
        <f>IFERROR(INDEX(Data!$A$5:$K$301,MATCH('Forecast drivers'!$A17&amp;RIGHT(B$8,2),Data!$A$5:$A$301,0), MATCH($A$5, Data!$A$5:$K$5,0)),"")</f>
        <v>71955</v>
      </c>
      <c r="C17" s="107">
        <f>IFERROR(INDEX(Data!$A$5:$K$301,MATCH('Forecast drivers'!$A17&amp;RIGHT(C$8,2),Data!$A$5:$A$301,0), MATCH($A$5, Data!$A$5:$K$5,0)),"")</f>
        <v>71618</v>
      </c>
      <c r="D17" s="107">
        <f>IFERROR(INDEX(Data!$A$5:$K$301,MATCH('Forecast drivers'!$A17&amp;RIGHT(D$8,2),Data!$A$5:$A$301,0), MATCH($A$5, Data!$A$5:$K$5,0)),"")</f>
        <v>71294</v>
      </c>
      <c r="E17" s="107">
        <f>IFERROR(INDEX(Data!$A$5:$K$301,MATCH('Forecast drivers'!$A17&amp;RIGHT(E$8,2),Data!$A$5:$A$301,0), MATCH($A$5, Data!$A$5:$K$5,0)),"")</f>
        <v>70130</v>
      </c>
      <c r="F17" s="107">
        <f>IFERROR(INDEX(Data!$A$5:$K$301,MATCH('Forecast drivers'!$A17&amp;RIGHT(F$8,2),Data!$A$5:$A$301,0), MATCH($A$5, Data!$A$5:$K$5,0)),"")</f>
        <v>69696</v>
      </c>
      <c r="G17" s="107">
        <f>IFERROR(INDEX(Data!$A$5:$K$301,MATCH('Forecast drivers'!$A17&amp;RIGHT(G$8,2),Data!$A$5:$A$301,0), MATCH($A$5, Data!$A$5:$K$5,0)),"")</f>
        <v>69455</v>
      </c>
      <c r="H17" s="107">
        <f>IFERROR(INDEX(Data!$A$5:$K$301,MATCH('Forecast drivers'!$A17&amp;RIGHT(H$8,2),Data!$A$5:$A$301,0), MATCH($A$5, Data!$A$5:$K$5,0)),"")</f>
        <v>81048</v>
      </c>
      <c r="I17" s="99">
        <f>IFERROR(INDEX(Data!$A$5:$K$301,MATCH('Forecast drivers'!$A17&amp;RIGHT(I$8,2),Data!$A$5:$A$301,0), MATCH($A$5, Data!$A$5:$K$5,0)),"")</f>
        <v>80798</v>
      </c>
      <c r="J17" s="99">
        <f>IFERROR(INDEX(Data!$A$5:$K$301,MATCH('Forecast drivers'!$A17&amp;RIGHT(J$8,2),Data!$A$5:$A$301,0), MATCH($A$5, Data!$A$5:$K$5,0)),"")</f>
        <v>80548</v>
      </c>
      <c r="K17" s="99">
        <f>IFERROR(INDEX(Data!$A$5:$K$301,MATCH('Forecast drivers'!$A17&amp;RIGHT(K$8,2),Data!$A$5:$A$301,0), MATCH($A$5, Data!$A$5:$K$5,0)),"")</f>
        <v>79948</v>
      </c>
      <c r="L17" s="99">
        <f>IFERROR(INDEX(Data!$A$5:$K$301,MATCH('Forecast drivers'!$A17&amp;RIGHT(L$8,2),Data!$A$5:$A$301,0), MATCH($A$5, Data!$A$5:$K$5,0)),"")</f>
        <v>79348</v>
      </c>
      <c r="M17" s="99">
        <f>IFERROR(INDEX(Data!$A$5:$K$301,MATCH('Forecast drivers'!$A17&amp;RIGHT(M$8,2),Data!$A$5:$A$301,0), MATCH($A$5, Data!$A$5:$K$5,0)),"")</f>
        <v>78748</v>
      </c>
      <c r="N17" s="99">
        <f>IFERROR(INDEX(Data!$A$5:$K$301,MATCH('Forecast drivers'!$A17&amp;RIGHT(N$8,2),Data!$A$5:$A$301,0), MATCH($A$5, Data!$A$5:$K$5,0)),"")</f>
        <v>78148</v>
      </c>
      <c r="O17" s="99">
        <f>IFERROR(INDEX(Data!$A$5:$K$301,MATCH('Forecast drivers'!$A17&amp;RIGHT(O$8,2),Data!$A$5:$A$301,0), MATCH($A$5, Data!$A$5:$K$5,0)),"")</f>
        <v>77548</v>
      </c>
      <c r="P17" s="100">
        <f t="shared" si="10"/>
        <v>75221.57142857142</v>
      </c>
      <c r="Q17" s="100">
        <f t="shared" si="10"/>
        <v>75984.25</v>
      </c>
      <c r="R17" s="100">
        <f t="shared" si="10"/>
        <v>76746.928571428565</v>
      </c>
      <c r="S17" s="100">
        <f t="shared" si="10"/>
        <v>77509.607142857145</v>
      </c>
      <c r="T17" s="100">
        <f t="shared" si="10"/>
        <v>78272.28571428571</v>
      </c>
      <c r="U17" s="100">
        <f t="shared" si="10"/>
        <v>79034.96428571429</v>
      </c>
      <c r="V17" s="100">
        <f t="shared" si="10"/>
        <v>79797.642857142855</v>
      </c>
      <c r="W17" s="101">
        <f t="shared" si="1"/>
        <v>80548</v>
      </c>
      <c r="X17" s="101">
        <f t="shared" si="2"/>
        <v>80548</v>
      </c>
      <c r="Y17" s="101">
        <f t="shared" si="3"/>
        <v>79948</v>
      </c>
      <c r="Z17" s="101">
        <f t="shared" si="4"/>
        <v>79348</v>
      </c>
      <c r="AA17" s="101">
        <f t="shared" si="5"/>
        <v>78748</v>
      </c>
      <c r="AB17" s="101">
        <f t="shared" si="6"/>
        <v>78148</v>
      </c>
      <c r="AC17" s="101">
        <f t="shared" si="7"/>
        <v>77548</v>
      </c>
      <c r="AD17" s="84"/>
      <c r="AE17" s="91" t="s">
        <v>91</v>
      </c>
      <c r="AF17" s="92" t="s">
        <v>91</v>
      </c>
      <c r="AG17" s="93" t="str">
        <f t="shared" si="8"/>
        <v>OK</v>
      </c>
    </row>
    <row r="18" spans="1:33" x14ac:dyDescent="0.35">
      <c r="A18" s="70" t="s">
        <v>15</v>
      </c>
      <c r="B18" s="107">
        <f>IFERROR(INDEX(Data!$A$5:$K$301,MATCH('Forecast drivers'!$A18&amp;RIGHT(B$8,2),Data!$A$5:$A$301,0), MATCH($A$5, Data!$A$5:$K$5,0)),"")</f>
        <v>1279984</v>
      </c>
      <c r="C18" s="107">
        <f>IFERROR(INDEX(Data!$A$5:$K$301,MATCH('Forecast drivers'!$A18&amp;RIGHT(C$8,2),Data!$A$5:$A$301,0), MATCH($A$5, Data!$A$5:$K$5,0)),"")</f>
        <v>1266118</v>
      </c>
      <c r="D18" s="107">
        <f>IFERROR(INDEX(Data!$A$5:$K$301,MATCH('Forecast drivers'!$A18&amp;RIGHT(D$8,2),Data!$A$5:$A$301,0), MATCH($A$5, Data!$A$5:$K$5,0)),"")</f>
        <v>1254682</v>
      </c>
      <c r="E18" s="107">
        <f>IFERROR(INDEX(Data!$A$5:$K$301,MATCH('Forecast drivers'!$A18&amp;RIGHT(E$8,2),Data!$A$5:$A$301,0), MATCH($A$5, Data!$A$5:$K$5,0)),"")</f>
        <v>1249569</v>
      </c>
      <c r="F18" s="107">
        <f>IFERROR(INDEX(Data!$A$5:$K$301,MATCH('Forecast drivers'!$A18&amp;RIGHT(F$8,2),Data!$A$5:$A$301,0), MATCH($A$5, Data!$A$5:$K$5,0)),"")</f>
        <v>1247835</v>
      </c>
      <c r="G18" s="107">
        <f>IFERROR(INDEX(Data!$A$5:$K$301,MATCH('Forecast drivers'!$A18&amp;RIGHT(G$8,2),Data!$A$5:$A$301,0), MATCH($A$5, Data!$A$5:$K$5,0)),"")</f>
        <v>1242322</v>
      </c>
      <c r="H18" s="107">
        <f>IFERROR(INDEX(Data!$A$5:$K$301,MATCH('Forecast drivers'!$A18&amp;RIGHT(H$8,2),Data!$A$5:$A$301,0), MATCH($A$5, Data!$A$5:$K$5,0)),"")</f>
        <v>1231604</v>
      </c>
      <c r="I18" s="99">
        <f>IFERROR(INDEX(Data!$A$5:$K$301,MATCH('Forecast drivers'!$A18&amp;RIGHT(I$8,2),Data!$A$5:$A$301,0), MATCH($A$5, Data!$A$5:$K$5,0)),"")</f>
        <v>1203723</v>
      </c>
      <c r="J18" s="99">
        <f>IFERROR(INDEX(Data!$A$5:$K$301,MATCH('Forecast drivers'!$A18&amp;RIGHT(J$8,2),Data!$A$5:$A$301,0), MATCH($A$5, Data!$A$5:$K$5,0)),"")</f>
        <v>1176719</v>
      </c>
      <c r="K18" s="99">
        <f>IFERROR(INDEX(Data!$A$5:$K$301,MATCH('Forecast drivers'!$A18&amp;RIGHT(K$8,2),Data!$A$5:$A$301,0), MATCH($A$5, Data!$A$5:$K$5,0)),"")</f>
        <v>1154188</v>
      </c>
      <c r="L18" s="99">
        <f>IFERROR(INDEX(Data!$A$5:$K$301,MATCH('Forecast drivers'!$A18&amp;RIGHT(L$8,2),Data!$A$5:$A$301,0), MATCH($A$5, Data!$A$5:$K$5,0)),"")</f>
        <v>1131561</v>
      </c>
      <c r="M18" s="99">
        <f>IFERROR(INDEX(Data!$A$5:$K$301,MATCH('Forecast drivers'!$A18&amp;RIGHT(M$8,2),Data!$A$5:$A$301,0), MATCH($A$5, Data!$A$5:$K$5,0)),"")</f>
        <v>1108844</v>
      </c>
      <c r="N18" s="99">
        <f>IFERROR(INDEX(Data!$A$5:$K$301,MATCH('Forecast drivers'!$A18&amp;RIGHT(N$8,2),Data!$A$5:$A$301,0), MATCH($A$5, Data!$A$5:$K$5,0)),"")</f>
        <v>1086043</v>
      </c>
      <c r="O18" s="99">
        <f>IFERROR(INDEX(Data!$A$5:$K$301,MATCH('Forecast drivers'!$A18&amp;RIGHT(O$8,2),Data!$A$5:$A$301,0), MATCH($A$5, Data!$A$5:$K$5,0)),"")</f>
        <v>1063159</v>
      </c>
      <c r="P18" s="100">
        <f t="shared" si="10"/>
        <v>1224647.8571428573</v>
      </c>
      <c r="Q18" s="100">
        <f t="shared" si="10"/>
        <v>1217520.0357142857</v>
      </c>
      <c r="R18" s="100">
        <f t="shared" si="10"/>
        <v>1210392.2142857143</v>
      </c>
      <c r="S18" s="100">
        <f t="shared" si="10"/>
        <v>1203264.392857143</v>
      </c>
      <c r="T18" s="100">
        <f t="shared" si="10"/>
        <v>1196136.5714285716</v>
      </c>
      <c r="U18" s="100">
        <f t="shared" si="10"/>
        <v>1189008.75</v>
      </c>
      <c r="V18" s="100">
        <f t="shared" si="10"/>
        <v>1181880.9285714286</v>
      </c>
      <c r="W18" s="101">
        <f t="shared" si="1"/>
        <v>1176719</v>
      </c>
      <c r="X18" s="101">
        <f t="shared" si="2"/>
        <v>1176719</v>
      </c>
      <c r="Y18" s="101">
        <f t="shared" si="3"/>
        <v>1154188</v>
      </c>
      <c r="Z18" s="101">
        <f t="shared" si="4"/>
        <v>1131561</v>
      </c>
      <c r="AA18" s="101">
        <f t="shared" si="5"/>
        <v>1108844</v>
      </c>
      <c r="AB18" s="101">
        <f t="shared" si="6"/>
        <v>1086043</v>
      </c>
      <c r="AC18" s="101">
        <f t="shared" si="7"/>
        <v>1063159</v>
      </c>
      <c r="AD18" s="84"/>
      <c r="AE18" s="91" t="s">
        <v>91</v>
      </c>
      <c r="AF18" s="92" t="s">
        <v>91</v>
      </c>
      <c r="AG18" s="93" t="str">
        <f t="shared" si="8"/>
        <v>OK</v>
      </c>
    </row>
    <row r="19" spans="1:33" x14ac:dyDescent="0.35">
      <c r="A19" s="70" t="s">
        <v>16</v>
      </c>
      <c r="B19" s="107">
        <f>IFERROR(INDEX(Data!$A$5:$K$301,MATCH('Forecast drivers'!$A19&amp;RIGHT(B$8,2),Data!$A$5:$A$301,0), MATCH($A$5, Data!$A$5:$K$5,0)),"")</f>
        <v>172354</v>
      </c>
      <c r="C19" s="107">
        <f>IFERROR(INDEX(Data!$A$5:$K$301,MATCH('Forecast drivers'!$A19&amp;RIGHT(C$8,2),Data!$A$5:$A$301,0), MATCH($A$5, Data!$A$5:$K$5,0)),"")</f>
        <v>172354</v>
      </c>
      <c r="D19" s="107">
        <f>IFERROR(INDEX(Data!$A$5:$K$301,MATCH('Forecast drivers'!$A19&amp;RIGHT(D$8,2),Data!$A$5:$A$301,0), MATCH($A$5, Data!$A$5:$K$5,0)),"")</f>
        <v>172354</v>
      </c>
      <c r="E19" s="107">
        <f>IFERROR(INDEX(Data!$A$5:$K$301,MATCH('Forecast drivers'!$A19&amp;RIGHT(E$8,2),Data!$A$5:$A$301,0), MATCH($A$5, Data!$A$5:$K$5,0)),"")</f>
        <v>172354</v>
      </c>
      <c r="F19" s="107">
        <f>IFERROR(INDEX(Data!$A$5:$K$301,MATCH('Forecast drivers'!$A19&amp;RIGHT(F$8,2),Data!$A$5:$A$301,0), MATCH($A$5, Data!$A$5:$K$5,0)),"")</f>
        <v>172354</v>
      </c>
      <c r="G19" s="107">
        <f>IFERROR(INDEX(Data!$A$5:$K$301,MATCH('Forecast drivers'!$A19&amp;RIGHT(G$8,2),Data!$A$5:$A$301,0), MATCH($A$5, Data!$A$5:$K$5,0)),"")</f>
        <v>172354</v>
      </c>
      <c r="H19" s="107">
        <f>IFERROR(INDEX(Data!$A$5:$K$301,MATCH('Forecast drivers'!$A19&amp;RIGHT(H$8,2),Data!$A$5:$A$301,0), MATCH($A$5, Data!$A$5:$K$5,0)),"")</f>
        <v>172326</v>
      </c>
      <c r="I19" s="99">
        <f>IFERROR(INDEX(Data!$A$5:$K$301,MATCH('Forecast drivers'!$A19&amp;RIGHT(I$8,2),Data!$A$5:$A$301,0), MATCH($A$5, Data!$A$5:$K$5,0)),"")</f>
        <v>171433</v>
      </c>
      <c r="J19" s="99">
        <f>IFERROR(INDEX(Data!$A$5:$K$301,MATCH('Forecast drivers'!$A19&amp;RIGHT(J$8,2),Data!$A$5:$A$301,0), MATCH($A$5, Data!$A$5:$K$5,0)),"")</f>
        <v>170540</v>
      </c>
      <c r="K19" s="99">
        <f>IFERROR(INDEX(Data!$A$5:$K$301,MATCH('Forecast drivers'!$A19&amp;RIGHT(K$8,2),Data!$A$5:$A$301,0), MATCH($A$5, Data!$A$5:$K$5,0)),"")</f>
        <v>169111</v>
      </c>
      <c r="L19" s="99">
        <f>IFERROR(INDEX(Data!$A$5:$K$301,MATCH('Forecast drivers'!$A19&amp;RIGHT(L$8,2),Data!$A$5:$A$301,0), MATCH($A$5, Data!$A$5:$K$5,0)),"")</f>
        <v>167682</v>
      </c>
      <c r="M19" s="99">
        <f>IFERROR(INDEX(Data!$A$5:$K$301,MATCH('Forecast drivers'!$A19&amp;RIGHT(M$8,2),Data!$A$5:$A$301,0), MATCH($A$5, Data!$A$5:$K$5,0)),"")</f>
        <v>166253</v>
      </c>
      <c r="N19" s="99">
        <f>IFERROR(INDEX(Data!$A$5:$K$301,MATCH('Forecast drivers'!$A19&amp;RIGHT(N$8,2),Data!$A$5:$A$301,0), MATCH($A$5, Data!$A$5:$K$5,0)),"")</f>
        <v>164824</v>
      </c>
      <c r="O19" s="99">
        <f>IFERROR(INDEX(Data!$A$5:$K$301,MATCH('Forecast drivers'!$A19&amp;RIGHT(O$8,2),Data!$A$5:$A$301,0), MATCH($A$5, Data!$A$5:$K$5,0)),"")</f>
        <v>163395</v>
      </c>
      <c r="P19" s="100">
        <f t="shared" si="10"/>
        <v>172338</v>
      </c>
      <c r="Q19" s="100">
        <f t="shared" si="10"/>
        <v>172335</v>
      </c>
      <c r="R19" s="100">
        <f t="shared" si="10"/>
        <v>172332</v>
      </c>
      <c r="S19" s="100">
        <f t="shared" si="10"/>
        <v>172329</v>
      </c>
      <c r="T19" s="100">
        <f t="shared" si="10"/>
        <v>172326</v>
      </c>
      <c r="U19" s="100">
        <f t="shared" si="10"/>
        <v>172323</v>
      </c>
      <c r="V19" s="100">
        <f t="shared" si="10"/>
        <v>172320</v>
      </c>
      <c r="W19" s="101">
        <f t="shared" si="1"/>
        <v>170540</v>
      </c>
      <c r="X19" s="101">
        <f t="shared" si="2"/>
        <v>170540</v>
      </c>
      <c r="Y19" s="101">
        <f t="shared" si="3"/>
        <v>169111</v>
      </c>
      <c r="Z19" s="101">
        <f t="shared" si="4"/>
        <v>167682</v>
      </c>
      <c r="AA19" s="101">
        <f t="shared" si="5"/>
        <v>166253</v>
      </c>
      <c r="AB19" s="101">
        <f t="shared" si="6"/>
        <v>164824</v>
      </c>
      <c r="AC19" s="101">
        <f t="shared" si="7"/>
        <v>163395</v>
      </c>
      <c r="AD19" s="84"/>
      <c r="AE19" s="91" t="s">
        <v>91</v>
      </c>
      <c r="AF19" s="92" t="s">
        <v>91</v>
      </c>
      <c r="AG19" s="93" t="str">
        <f t="shared" si="8"/>
        <v>OK</v>
      </c>
    </row>
    <row r="20" spans="1:33" x14ac:dyDescent="0.35">
      <c r="A20" s="70" t="s">
        <v>17</v>
      </c>
      <c r="B20" s="107">
        <f>IFERROR(INDEX(Data!$A$5:$K$301,MATCH('Forecast drivers'!$A20&amp;RIGHT(B$8,2),Data!$A$5:$A$301,0), MATCH($A$5, Data!$A$5:$K$5,0)),"")</f>
        <v>50000</v>
      </c>
      <c r="C20" s="107">
        <f>IFERROR(INDEX(Data!$A$5:$K$301,MATCH('Forecast drivers'!$A20&amp;RIGHT(C$8,2),Data!$A$5:$A$301,0), MATCH($A$5, Data!$A$5:$K$5,0)),"")</f>
        <v>49578</v>
      </c>
      <c r="D20" s="107">
        <f>IFERROR(INDEX(Data!$A$5:$K$301,MATCH('Forecast drivers'!$A20&amp;RIGHT(D$8,2),Data!$A$5:$A$301,0), MATCH($A$5, Data!$A$5:$K$5,0)),"")</f>
        <v>48875</v>
      </c>
      <c r="E20" s="107">
        <f>IFERROR(INDEX(Data!$A$5:$K$301,MATCH('Forecast drivers'!$A20&amp;RIGHT(E$8,2),Data!$A$5:$A$301,0), MATCH($A$5, Data!$A$5:$K$5,0)),"")</f>
        <v>48215</v>
      </c>
      <c r="F20" s="107">
        <f>IFERROR(INDEX(Data!$A$5:$K$301,MATCH('Forecast drivers'!$A20&amp;RIGHT(F$8,2),Data!$A$5:$A$301,0), MATCH($A$5, Data!$A$5:$K$5,0)),"")</f>
        <v>47601</v>
      </c>
      <c r="G20" s="107">
        <f>IFERROR(INDEX(Data!$A$5:$K$301,MATCH('Forecast drivers'!$A20&amp;RIGHT(G$8,2),Data!$A$5:$A$301,0), MATCH($A$5, Data!$A$5:$K$5,0)),"")</f>
        <v>47031</v>
      </c>
      <c r="H20" s="107">
        <f>IFERROR(INDEX(Data!$A$5:$K$301,MATCH('Forecast drivers'!$A20&amp;RIGHT(H$8,2),Data!$A$5:$A$301,0), MATCH($A$5, Data!$A$5:$K$5,0)),"")</f>
        <v>46611</v>
      </c>
      <c r="I20" s="99">
        <f>IFERROR(INDEX(Data!$A$5:$K$301,MATCH('Forecast drivers'!$A20&amp;RIGHT(I$8,2),Data!$A$5:$A$301,0), MATCH($A$5, Data!$A$5:$K$5,0)),"")</f>
        <v>46111</v>
      </c>
      <c r="J20" s="99">
        <f>IFERROR(INDEX(Data!$A$5:$K$301,MATCH('Forecast drivers'!$A20&amp;RIGHT(J$8,2),Data!$A$5:$A$301,0), MATCH($A$5, Data!$A$5:$K$5,0)),"")</f>
        <v>45611</v>
      </c>
      <c r="K20" s="99">
        <f>IFERROR(INDEX(Data!$A$5:$K$301,MATCH('Forecast drivers'!$A20&amp;RIGHT(K$8,2),Data!$A$5:$A$301,0), MATCH($A$5, Data!$A$5:$K$5,0)),"")</f>
        <v>44451</v>
      </c>
      <c r="L20" s="99">
        <f>IFERROR(INDEX(Data!$A$5:$K$301,MATCH('Forecast drivers'!$A20&amp;RIGHT(L$8,2),Data!$A$5:$A$301,0), MATCH($A$5, Data!$A$5:$K$5,0)),"")</f>
        <v>43041</v>
      </c>
      <c r="M20" s="99">
        <f>IFERROR(INDEX(Data!$A$5:$K$301,MATCH('Forecast drivers'!$A20&amp;RIGHT(M$8,2),Data!$A$5:$A$301,0), MATCH($A$5, Data!$A$5:$K$5,0)),"")</f>
        <v>41031</v>
      </c>
      <c r="N20" s="99">
        <f>IFERROR(INDEX(Data!$A$5:$K$301,MATCH('Forecast drivers'!$A20&amp;RIGHT(N$8,2),Data!$A$5:$A$301,0), MATCH($A$5, Data!$A$5:$K$5,0)),"")</f>
        <v>38821</v>
      </c>
      <c r="O20" s="99">
        <f>IFERROR(INDEX(Data!$A$5:$K$301,MATCH('Forecast drivers'!$A20&amp;RIGHT(O$8,2),Data!$A$5:$A$301,0), MATCH($A$5, Data!$A$5:$K$5,0)),"")</f>
        <v>36611</v>
      </c>
      <c r="P20" s="100">
        <f t="shared" si="10"/>
        <v>45910.857142857138</v>
      </c>
      <c r="Q20" s="100">
        <f t="shared" si="10"/>
        <v>45320.321428571428</v>
      </c>
      <c r="R20" s="100">
        <f t="shared" si="10"/>
        <v>44729.78571428571</v>
      </c>
      <c r="S20" s="100">
        <f t="shared" si="10"/>
        <v>44139.25</v>
      </c>
      <c r="T20" s="100">
        <f t="shared" si="10"/>
        <v>43548.714285714283</v>
      </c>
      <c r="U20" s="100">
        <f t="shared" si="10"/>
        <v>42958.178571428565</v>
      </c>
      <c r="V20" s="100">
        <f t="shared" si="10"/>
        <v>42367.642857142855</v>
      </c>
      <c r="W20" s="101">
        <f t="shared" si="1"/>
        <v>45611</v>
      </c>
      <c r="X20" s="101">
        <f t="shared" si="2"/>
        <v>45611</v>
      </c>
      <c r="Y20" s="101">
        <f t="shared" si="3"/>
        <v>44451</v>
      </c>
      <c r="Z20" s="101">
        <f t="shared" si="4"/>
        <v>43041</v>
      </c>
      <c r="AA20" s="101">
        <f t="shared" si="5"/>
        <v>41031</v>
      </c>
      <c r="AB20" s="101">
        <f t="shared" si="6"/>
        <v>38821</v>
      </c>
      <c r="AC20" s="101">
        <f t="shared" si="7"/>
        <v>36611</v>
      </c>
      <c r="AD20" s="84"/>
      <c r="AE20" s="91" t="s">
        <v>91</v>
      </c>
      <c r="AF20" s="92" t="s">
        <v>91</v>
      </c>
      <c r="AG20" s="93" t="str">
        <f t="shared" si="8"/>
        <v>OK</v>
      </c>
    </row>
    <row r="21" spans="1:33" x14ac:dyDescent="0.35">
      <c r="A21" s="70" t="s">
        <v>18</v>
      </c>
      <c r="B21" s="107">
        <f>IFERROR(INDEX(Data!$A$5:$K$301,MATCH('Forecast drivers'!$A21&amp;RIGHT(B$8,2),Data!$A$5:$A$301,0), MATCH($A$5, Data!$A$5:$K$5,0)),"")</f>
        <v>1299350</v>
      </c>
      <c r="C21" s="107">
        <f>IFERROR(INDEX(Data!$A$5:$K$301,MATCH('Forecast drivers'!$A21&amp;RIGHT(C$8,2),Data!$A$5:$A$301,0), MATCH($A$5, Data!$A$5:$K$5,0)),"")</f>
        <v>1297511</v>
      </c>
      <c r="D21" s="107">
        <f>IFERROR(INDEX(Data!$A$5:$K$301,MATCH('Forecast drivers'!$A21&amp;RIGHT(D$8,2),Data!$A$5:$A$301,0), MATCH($A$5, Data!$A$5:$K$5,0)),"")</f>
        <v>1295217</v>
      </c>
      <c r="E21" s="107">
        <f>IFERROR(INDEX(Data!$A$5:$K$301,MATCH('Forecast drivers'!$A21&amp;RIGHT(E$8,2),Data!$A$5:$A$301,0), MATCH($A$5, Data!$A$5:$K$5,0)),"")</f>
        <v>1291154</v>
      </c>
      <c r="F21" s="107">
        <f>IFERROR(INDEX(Data!$A$5:$K$301,MATCH('Forecast drivers'!$A21&amp;RIGHT(F$8,2),Data!$A$5:$A$301,0), MATCH($A$5, Data!$A$5:$K$5,0)),"")</f>
        <v>1282315</v>
      </c>
      <c r="G21" s="107">
        <f>IFERROR(INDEX(Data!$A$5:$K$301,MATCH('Forecast drivers'!$A21&amp;RIGHT(G$8,2),Data!$A$5:$A$301,0), MATCH($A$5, Data!$A$5:$K$5,0)),"")</f>
        <v>1271707</v>
      </c>
      <c r="H21" s="107">
        <f>IFERROR(INDEX(Data!$A$5:$K$301,MATCH('Forecast drivers'!$A21&amp;RIGHT(H$8,2),Data!$A$5:$A$301,0), MATCH($A$5, Data!$A$5:$K$5,0)),"")</f>
        <v>1270935</v>
      </c>
      <c r="I21" s="99">
        <f>IFERROR(INDEX(Data!$A$5:$K$301,MATCH('Forecast drivers'!$A21&amp;RIGHT(I$8,2),Data!$A$5:$A$301,0), MATCH($A$5, Data!$A$5:$K$5,0)),"")</f>
        <v>1270185</v>
      </c>
      <c r="J21" s="99">
        <f>IFERROR(INDEX(Data!$A$5:$K$301,MATCH('Forecast drivers'!$A21&amp;RIGHT(J$8,2),Data!$A$5:$A$301,0), MATCH($A$5, Data!$A$5:$K$5,0)),"")</f>
        <v>1269435</v>
      </c>
      <c r="K21" s="99">
        <f>IFERROR(INDEX(Data!$A$5:$K$301,MATCH('Forecast drivers'!$A21&amp;RIGHT(K$8,2),Data!$A$5:$A$301,0), MATCH($A$5, Data!$A$5:$K$5,0)),"")</f>
        <v>1267914</v>
      </c>
      <c r="L21" s="99">
        <f>IFERROR(INDEX(Data!$A$5:$K$301,MATCH('Forecast drivers'!$A21&amp;RIGHT(L$8,2),Data!$A$5:$A$301,0), MATCH($A$5, Data!$A$5:$K$5,0)),"")</f>
        <v>1266393</v>
      </c>
      <c r="M21" s="99">
        <f>IFERROR(INDEX(Data!$A$5:$K$301,MATCH('Forecast drivers'!$A21&amp;RIGHT(M$8,2),Data!$A$5:$A$301,0), MATCH($A$5, Data!$A$5:$K$5,0)),"")</f>
        <v>1264871</v>
      </c>
      <c r="N21" s="99">
        <f>IFERROR(INDEX(Data!$A$5:$K$301,MATCH('Forecast drivers'!$A21&amp;RIGHT(N$8,2),Data!$A$5:$A$301,0), MATCH($A$5, Data!$A$5:$K$5,0)),"")</f>
        <v>1263350</v>
      </c>
      <c r="O21" s="99">
        <f>IFERROR(INDEX(Data!$A$5:$K$301,MATCH('Forecast drivers'!$A21&amp;RIGHT(O$8,2),Data!$A$5:$A$301,0), MATCH($A$5, Data!$A$5:$K$5,0)),"")</f>
        <v>1261829</v>
      </c>
      <c r="P21" s="100">
        <f t="shared" si="10"/>
        <v>1265490.5714285714</v>
      </c>
      <c r="Q21" s="100">
        <f t="shared" si="10"/>
        <v>1260142.1785714286</v>
      </c>
      <c r="R21" s="100">
        <f t="shared" si="10"/>
        <v>1254793.7857142857</v>
      </c>
      <c r="S21" s="100">
        <f t="shared" si="10"/>
        <v>1249445.392857143</v>
      </c>
      <c r="T21" s="100">
        <f t="shared" si="10"/>
        <v>1244097</v>
      </c>
      <c r="U21" s="100">
        <f t="shared" si="10"/>
        <v>1238748.6071428573</v>
      </c>
      <c r="V21" s="100">
        <f t="shared" si="10"/>
        <v>1233400.2142857143</v>
      </c>
      <c r="W21" s="101">
        <f t="shared" si="1"/>
        <v>1269435</v>
      </c>
      <c r="X21" s="101">
        <f t="shared" si="2"/>
        <v>1269435</v>
      </c>
      <c r="Y21" s="101">
        <f t="shared" si="3"/>
        <v>1267914</v>
      </c>
      <c r="Z21" s="101">
        <f t="shared" si="4"/>
        <v>1266393</v>
      </c>
      <c r="AA21" s="101">
        <f t="shared" si="5"/>
        <v>1264871</v>
      </c>
      <c r="AB21" s="101">
        <f t="shared" si="6"/>
        <v>1263350</v>
      </c>
      <c r="AC21" s="101">
        <f t="shared" si="7"/>
        <v>1261829</v>
      </c>
      <c r="AD21" s="84"/>
      <c r="AE21" s="91" t="s">
        <v>91</v>
      </c>
      <c r="AF21" s="92" t="s">
        <v>91</v>
      </c>
      <c r="AG21" s="93" t="str">
        <f t="shared" si="8"/>
        <v>OK</v>
      </c>
    </row>
    <row r="22" spans="1:33" x14ac:dyDescent="0.35">
      <c r="A22" s="70" t="s">
        <v>19</v>
      </c>
      <c r="B22" s="107">
        <f>IFERROR(INDEX(Data!$A$5:$K$301,MATCH('Forecast drivers'!$A22&amp;RIGHT(B$8,2),Data!$A$5:$A$301,0), MATCH($A$5, Data!$A$5:$K$5,0)),"")</f>
        <v>336926.74319131015</v>
      </c>
      <c r="C22" s="107">
        <f>IFERROR(INDEX(Data!$A$5:$K$301,MATCH('Forecast drivers'!$A22&amp;RIGHT(C$8,2),Data!$A$5:$A$301,0), MATCH($A$5, Data!$A$5:$K$5,0)),"")</f>
        <v>336129.71675675182</v>
      </c>
      <c r="D22" s="107">
        <f>IFERROR(INDEX(Data!$A$5:$K$301,MATCH('Forecast drivers'!$A22&amp;RIGHT(D$8,2),Data!$A$5:$A$301,0), MATCH($A$5, Data!$A$5:$K$5,0)),"")</f>
        <v>335363.98058383382</v>
      </c>
      <c r="E22" s="107">
        <f>IFERROR(INDEX(Data!$A$5:$K$301,MATCH('Forecast drivers'!$A22&amp;RIGHT(E$8,2),Data!$A$5:$A$301,0), MATCH($A$5, Data!$A$5:$K$5,0)),"")</f>
        <v>334402.76230521803</v>
      </c>
      <c r="F22" s="107">
        <f>IFERROR(INDEX(Data!$A$5:$K$301,MATCH('Forecast drivers'!$A22&amp;RIGHT(F$8,2),Data!$A$5:$A$301,0), MATCH($A$5, Data!$A$5:$K$5,0)),"")</f>
        <v>330979.41235750105</v>
      </c>
      <c r="G22" s="107">
        <f>IFERROR(INDEX(Data!$A$5:$K$301,MATCH('Forecast drivers'!$A22&amp;RIGHT(G$8,2),Data!$A$5:$A$301,0), MATCH($A$5, Data!$A$5:$K$5,0)),"")</f>
        <v>326272.75351031608</v>
      </c>
      <c r="H22" s="107">
        <f>IFERROR(INDEX(Data!$A$5:$K$301,MATCH('Forecast drivers'!$A22&amp;RIGHT(H$8,2),Data!$A$5:$A$301,0), MATCH($A$5, Data!$A$5:$K$5,0)),"")</f>
        <v>323913</v>
      </c>
      <c r="I22" s="99">
        <f>IFERROR(INDEX(Data!$A$5:$K$301,MATCH('Forecast drivers'!$A22&amp;RIGHT(I$8,2),Data!$A$5:$A$301,0), MATCH($A$5, Data!$A$5:$K$5,0)),"")</f>
        <v>318499</v>
      </c>
      <c r="J22" s="99">
        <f>IFERROR(INDEX(Data!$A$5:$K$301,MATCH('Forecast drivers'!$A22&amp;RIGHT(J$8,2),Data!$A$5:$A$301,0), MATCH($A$5, Data!$A$5:$K$5,0)),"")</f>
        <v>309008</v>
      </c>
      <c r="K22" s="99">
        <f>IFERROR(INDEX(Data!$A$5:$K$301,MATCH('Forecast drivers'!$A22&amp;RIGHT(K$8,2),Data!$A$5:$A$301,0), MATCH($A$5, Data!$A$5:$K$5,0)),"")</f>
        <v>305851</v>
      </c>
      <c r="L22" s="99">
        <f>IFERROR(INDEX(Data!$A$5:$K$301,MATCH('Forecast drivers'!$A22&amp;RIGHT(L$8,2),Data!$A$5:$A$301,0), MATCH($A$5, Data!$A$5:$K$5,0)),"")</f>
        <v>302649</v>
      </c>
      <c r="M22" s="99">
        <f>IFERROR(INDEX(Data!$A$5:$K$301,MATCH('Forecast drivers'!$A22&amp;RIGHT(M$8,2),Data!$A$5:$A$301,0), MATCH($A$5, Data!$A$5:$K$5,0)),"")</f>
        <v>299400</v>
      </c>
      <c r="N22" s="99">
        <f>IFERROR(INDEX(Data!$A$5:$K$301,MATCH('Forecast drivers'!$A22&amp;RIGHT(N$8,2),Data!$A$5:$A$301,0), MATCH($A$5, Data!$A$5:$K$5,0)),"")</f>
        <v>296102</v>
      </c>
      <c r="O22" s="99">
        <f>IFERROR(INDEX(Data!$A$5:$K$301,MATCH('Forecast drivers'!$A22&amp;RIGHT(O$8,2),Data!$A$5:$A$301,0), MATCH($A$5, Data!$A$5:$K$5,0)),"")</f>
        <v>292754</v>
      </c>
      <c r="P22" s="100">
        <f t="shared" si="10"/>
        <v>322978.37777311378</v>
      </c>
      <c r="Q22" s="100">
        <f t="shared" si="10"/>
        <v>320723.38761978754</v>
      </c>
      <c r="R22" s="100">
        <f t="shared" si="10"/>
        <v>318468.39746646129</v>
      </c>
      <c r="S22" s="100">
        <f t="shared" si="10"/>
        <v>316213.40731313505</v>
      </c>
      <c r="T22" s="100">
        <f t="shared" si="10"/>
        <v>313958.4171598088</v>
      </c>
      <c r="U22" s="100">
        <f t="shared" si="10"/>
        <v>311703.42700648255</v>
      </c>
      <c r="V22" s="100">
        <f t="shared" si="10"/>
        <v>309448.43685315631</v>
      </c>
      <c r="W22" s="101">
        <f t="shared" si="1"/>
        <v>309008</v>
      </c>
      <c r="X22" s="101">
        <f t="shared" si="2"/>
        <v>309008</v>
      </c>
      <c r="Y22" s="101">
        <f t="shared" si="3"/>
        <v>305851</v>
      </c>
      <c r="Z22" s="101">
        <f t="shared" si="4"/>
        <v>302649</v>
      </c>
      <c r="AA22" s="101">
        <f t="shared" si="5"/>
        <v>299400</v>
      </c>
      <c r="AB22" s="101">
        <f t="shared" si="6"/>
        <v>296102</v>
      </c>
      <c r="AC22" s="101">
        <f t="shared" si="7"/>
        <v>292754</v>
      </c>
      <c r="AD22" s="84"/>
      <c r="AE22" s="91" t="s">
        <v>91</v>
      </c>
      <c r="AF22" s="92" t="s">
        <v>91</v>
      </c>
      <c r="AG22" s="93" t="str">
        <f t="shared" si="8"/>
        <v>OK</v>
      </c>
    </row>
    <row r="23" spans="1:33" x14ac:dyDescent="0.35">
      <c r="A23" s="70" t="s">
        <v>20</v>
      </c>
      <c r="B23" s="107">
        <f>IFERROR(INDEX(Data!$A$5:$K$301,MATCH('Forecast drivers'!$A23&amp;RIGHT(B$8,2),Data!$A$5:$A$301,0), MATCH($A$5, Data!$A$5:$K$5,0)),"")</f>
        <v>162297</v>
      </c>
      <c r="C23" s="107">
        <f>IFERROR(INDEX(Data!$A$5:$K$301,MATCH('Forecast drivers'!$A23&amp;RIGHT(C$8,2),Data!$A$5:$A$301,0), MATCH($A$5, Data!$A$5:$K$5,0)),"")</f>
        <v>158641</v>
      </c>
      <c r="D23" s="107">
        <f>IFERROR(INDEX(Data!$A$5:$K$301,MATCH('Forecast drivers'!$A23&amp;RIGHT(D$8,2),Data!$A$5:$A$301,0), MATCH($A$5, Data!$A$5:$K$5,0)),"")</f>
        <v>156396</v>
      </c>
      <c r="E23" s="107">
        <f>IFERROR(INDEX(Data!$A$5:$K$301,MATCH('Forecast drivers'!$A23&amp;RIGHT(E$8,2),Data!$A$5:$A$301,0), MATCH($A$5, Data!$A$5:$K$5,0)),"")</f>
        <v>154811</v>
      </c>
      <c r="F23" s="107">
        <f>IFERROR(INDEX(Data!$A$5:$K$301,MATCH('Forecast drivers'!$A23&amp;RIGHT(F$8,2),Data!$A$5:$A$301,0), MATCH($A$5, Data!$A$5:$K$5,0)),"")</f>
        <v>153583</v>
      </c>
      <c r="G23" s="107">
        <f>IFERROR(INDEX(Data!$A$5:$K$301,MATCH('Forecast drivers'!$A23&amp;RIGHT(G$8,2),Data!$A$5:$A$301,0), MATCH($A$5, Data!$A$5:$K$5,0)),"")</f>
        <v>152501</v>
      </c>
      <c r="H23" s="107">
        <f>IFERROR(INDEX(Data!$A$5:$K$301,MATCH('Forecast drivers'!$A23&amp;RIGHT(H$8,2),Data!$A$5:$A$301,0), MATCH($A$5, Data!$A$5:$K$5,0)),"")</f>
        <v>149055</v>
      </c>
      <c r="I23" s="99">
        <f>IFERROR(INDEX(Data!$A$5:$K$301,MATCH('Forecast drivers'!$A23&amp;RIGHT(I$8,2),Data!$A$5:$A$301,0), MATCH($A$5, Data!$A$5:$K$5,0)),"")</f>
        <v>147546</v>
      </c>
      <c r="J23" s="99">
        <f>IFERROR(INDEX(Data!$A$5:$K$301,MATCH('Forecast drivers'!$A23&amp;RIGHT(J$8,2),Data!$A$5:$A$301,0), MATCH($A$5, Data!$A$5:$K$5,0)),"")</f>
        <v>146036</v>
      </c>
      <c r="K23" s="99">
        <f>IFERROR(INDEX(Data!$A$5:$K$301,MATCH('Forecast drivers'!$A23&amp;RIGHT(K$8,2),Data!$A$5:$A$301,0), MATCH($A$5, Data!$A$5:$K$5,0)),"")</f>
        <v>144527</v>
      </c>
      <c r="L23" s="99">
        <f>IFERROR(INDEX(Data!$A$5:$K$301,MATCH('Forecast drivers'!$A23&amp;RIGHT(L$8,2),Data!$A$5:$A$301,0), MATCH($A$5, Data!$A$5:$K$5,0)),"")</f>
        <v>143018</v>
      </c>
      <c r="M23" s="99">
        <f>IFERROR(INDEX(Data!$A$5:$K$301,MATCH('Forecast drivers'!$A23&amp;RIGHT(M$8,2),Data!$A$5:$A$301,0), MATCH($A$5, Data!$A$5:$K$5,0)),"")</f>
        <v>141508</v>
      </c>
      <c r="N23" s="99">
        <f>IFERROR(INDEX(Data!$A$5:$K$301,MATCH('Forecast drivers'!$A23&amp;RIGHT(N$8,2),Data!$A$5:$A$301,0), MATCH($A$5, Data!$A$5:$K$5,0)),"")</f>
        <v>139999</v>
      </c>
      <c r="O23" s="99">
        <f>IFERROR(INDEX(Data!$A$5:$K$301,MATCH('Forecast drivers'!$A23&amp;RIGHT(O$8,2),Data!$A$5:$A$301,0), MATCH($A$5, Data!$A$5:$K$5,0)),"")</f>
        <v>138490</v>
      </c>
      <c r="P23" s="100">
        <f t="shared" si="10"/>
        <v>147495</v>
      </c>
      <c r="Q23" s="100">
        <f t="shared" si="10"/>
        <v>145537.17857142855</v>
      </c>
      <c r="R23" s="100">
        <f t="shared" si="10"/>
        <v>143579.35714285713</v>
      </c>
      <c r="S23" s="100">
        <f t="shared" si="10"/>
        <v>141621.53571428571</v>
      </c>
      <c r="T23" s="100">
        <f t="shared" si="10"/>
        <v>139663.71428571426</v>
      </c>
      <c r="U23" s="100">
        <f t="shared" si="10"/>
        <v>137705.89285714284</v>
      </c>
      <c r="V23" s="100">
        <f t="shared" si="10"/>
        <v>135748.07142857142</v>
      </c>
      <c r="W23" s="101">
        <f t="shared" si="1"/>
        <v>146036</v>
      </c>
      <c r="X23" s="101">
        <f t="shared" si="2"/>
        <v>146036</v>
      </c>
      <c r="Y23" s="101">
        <f t="shared" si="3"/>
        <v>144527</v>
      </c>
      <c r="Z23" s="101">
        <f t="shared" si="4"/>
        <v>143018</v>
      </c>
      <c r="AA23" s="101">
        <f t="shared" si="5"/>
        <v>141508</v>
      </c>
      <c r="AB23" s="101">
        <f t="shared" si="6"/>
        <v>139999</v>
      </c>
      <c r="AC23" s="101">
        <f t="shared" si="7"/>
        <v>138490</v>
      </c>
      <c r="AD23" s="84"/>
      <c r="AE23" s="91" t="s">
        <v>91</v>
      </c>
      <c r="AF23" s="92" t="s">
        <v>91</v>
      </c>
      <c r="AG23" s="93" t="str">
        <f t="shared" si="8"/>
        <v>OK</v>
      </c>
    </row>
    <row r="24" spans="1:33" x14ac:dyDescent="0.35">
      <c r="A24" s="70" t="s">
        <v>22</v>
      </c>
      <c r="B24" s="107">
        <f>IFERROR(INDEX(Data!$A$5:$K$301,MATCH('Forecast drivers'!$A24&amp;RIGHT(B$8,2),Data!$A$5:$A$301,0), MATCH($A$5, Data!$A$5:$K$5,0)),"")</f>
        <v>30965.220218539369</v>
      </c>
      <c r="C24" s="107">
        <f>IFERROR(INDEX(Data!$A$5:$K$301,MATCH('Forecast drivers'!$A24&amp;RIGHT(C$8,2),Data!$A$5:$A$301,0), MATCH($A$5, Data!$A$5:$K$5,0)),"")</f>
        <v>30946.220218539369</v>
      </c>
      <c r="D24" s="107">
        <f>IFERROR(INDEX(Data!$A$5:$K$301,MATCH('Forecast drivers'!$A24&amp;RIGHT(D$8,2),Data!$A$5:$A$301,0), MATCH($A$5, Data!$A$5:$K$5,0)),"")</f>
        <v>30918.220218539369</v>
      </c>
      <c r="E24" s="107">
        <f>IFERROR(INDEX(Data!$A$5:$K$301,MATCH('Forecast drivers'!$A24&amp;RIGHT(E$8,2),Data!$A$5:$A$301,0), MATCH($A$5, Data!$A$5:$K$5,0)),"")</f>
        <v>30881.220218539369</v>
      </c>
      <c r="F24" s="107">
        <f>IFERROR(INDEX(Data!$A$5:$K$301,MATCH('Forecast drivers'!$A24&amp;RIGHT(F$8,2),Data!$A$5:$A$301,0), MATCH($A$5, Data!$A$5:$K$5,0)),"")</f>
        <v>30821.220218539369</v>
      </c>
      <c r="G24" s="107">
        <f>IFERROR(INDEX(Data!$A$5:$K$301,MATCH('Forecast drivers'!$A24&amp;RIGHT(G$8,2),Data!$A$5:$A$301,0), MATCH($A$5, Data!$A$5:$K$5,0)),"")</f>
        <v>30740.220218539369</v>
      </c>
      <c r="H24" s="107">
        <f>IFERROR(INDEX(Data!$A$5:$K$301,MATCH('Forecast drivers'!$A24&amp;RIGHT(H$8,2),Data!$A$5:$A$301,0), MATCH($A$5, Data!$A$5:$K$5,0)),"")</f>
        <v>30581</v>
      </c>
      <c r="I24" s="102"/>
      <c r="J24" s="102"/>
      <c r="K24" s="102"/>
      <c r="L24" s="102"/>
      <c r="M24" s="102"/>
      <c r="N24" s="102"/>
      <c r="O24" s="102"/>
      <c r="P24" s="100">
        <f t="shared" si="10"/>
        <v>30598.808665088298</v>
      </c>
      <c r="Q24" s="100">
        <f t="shared" si="10"/>
        <v>30539.463641673363</v>
      </c>
      <c r="R24" s="100">
        <f t="shared" si="10"/>
        <v>30480.118618258432</v>
      </c>
      <c r="S24" s="100">
        <f t="shared" si="10"/>
        <v>30420.7735948435</v>
      </c>
      <c r="T24" s="100">
        <f t="shared" si="10"/>
        <v>30361.428571428569</v>
      </c>
      <c r="U24" s="100">
        <f t="shared" si="10"/>
        <v>30302.083548013634</v>
      </c>
      <c r="V24" s="100">
        <f t="shared" si="10"/>
        <v>30242.738524598702</v>
      </c>
      <c r="W24" s="101">
        <f t="shared" si="1"/>
        <v>0</v>
      </c>
      <c r="X24" s="101">
        <f t="shared" si="2"/>
        <v>0</v>
      </c>
      <c r="Y24" s="101">
        <f t="shared" si="3"/>
        <v>0</v>
      </c>
      <c r="Z24" s="101">
        <f t="shared" si="4"/>
        <v>0</v>
      </c>
      <c r="AA24" s="101">
        <f t="shared" si="5"/>
        <v>0</v>
      </c>
      <c r="AB24" s="101">
        <f t="shared" si="6"/>
        <v>0</v>
      </c>
      <c r="AC24" s="101">
        <f t="shared" si="7"/>
        <v>0</v>
      </c>
      <c r="AD24" s="84"/>
      <c r="AE24" s="91" t="s">
        <v>91</v>
      </c>
      <c r="AF24" s="92" t="s">
        <v>91</v>
      </c>
      <c r="AG24" s="93" t="str">
        <f t="shared" si="8"/>
        <v>OK</v>
      </c>
    </row>
    <row r="25" spans="1:33" x14ac:dyDescent="0.35">
      <c r="A25" s="70" t="s">
        <v>23</v>
      </c>
      <c r="B25" s="107">
        <f>IFERROR(INDEX(Data!$A$5:$K$301,MATCH('Forecast drivers'!$A25&amp;RIGHT(B$8,2),Data!$A$5:$A$301,0), MATCH($A$5, Data!$A$5:$K$5,0)),"")</f>
        <v>89050</v>
      </c>
      <c r="C25" s="107">
        <f>IFERROR(INDEX(Data!$A$5:$K$301,MATCH('Forecast drivers'!$A25&amp;RIGHT(C$8,2),Data!$A$5:$A$301,0), MATCH($A$5, Data!$A$5:$K$5,0)),"")</f>
        <v>88150</v>
      </c>
      <c r="D25" s="107">
        <f>IFERROR(INDEX(Data!$A$5:$K$301,MATCH('Forecast drivers'!$A25&amp;RIGHT(D$8,2),Data!$A$5:$A$301,0), MATCH($A$5, Data!$A$5:$K$5,0)),"")</f>
        <v>87250</v>
      </c>
      <c r="E25" s="107">
        <f>IFERROR(INDEX(Data!$A$5:$K$301,MATCH('Forecast drivers'!$A25&amp;RIGHT(E$8,2),Data!$A$5:$A$301,0), MATCH($A$5, Data!$A$5:$K$5,0)),"")</f>
        <v>86350</v>
      </c>
      <c r="F25" s="107">
        <f>IFERROR(INDEX(Data!$A$5:$K$301,MATCH('Forecast drivers'!$A25&amp;RIGHT(F$8,2),Data!$A$5:$A$301,0), MATCH($A$5, Data!$A$5:$K$5,0)),"")</f>
        <v>85450</v>
      </c>
      <c r="G25" s="107">
        <f>IFERROR(INDEX(Data!$A$5:$K$301,MATCH('Forecast drivers'!$A25&amp;RIGHT(G$8,2),Data!$A$5:$A$301,0), MATCH($A$5, Data!$A$5:$K$5,0)),"")</f>
        <v>83138</v>
      </c>
      <c r="H25" s="107">
        <f>IFERROR(INDEX(Data!$A$5:$K$301,MATCH('Forecast drivers'!$A25&amp;RIGHT(H$8,2),Data!$A$5:$A$301,0), MATCH($A$5, Data!$A$5:$K$5,0)),"")</f>
        <v>81727</v>
      </c>
      <c r="I25" s="99">
        <f>IFERROR(INDEX(Data!$A$5:$K$301,MATCH('Forecast drivers'!$A25&amp;RIGHT(I$8,2),Data!$A$5:$A$301,0), MATCH($A$5, Data!$A$5:$K$5,0)),"")</f>
        <v>80315</v>
      </c>
      <c r="J25" s="99">
        <f>IFERROR(INDEX(Data!$A$5:$K$301,MATCH('Forecast drivers'!$A25&amp;RIGHT(J$8,2),Data!$A$5:$A$301,0), MATCH($A$5, Data!$A$5:$K$5,0)),"")</f>
        <v>78904</v>
      </c>
      <c r="K25" s="99">
        <f>IFERROR(INDEX(Data!$A$5:$K$301,MATCH('Forecast drivers'!$A25&amp;RIGHT(K$8,2),Data!$A$5:$A$301,0), MATCH($A$5, Data!$A$5:$K$5,0)),"")</f>
        <v>78110</v>
      </c>
      <c r="L25" s="99">
        <f>IFERROR(INDEX(Data!$A$5:$K$301,MATCH('Forecast drivers'!$A25&amp;RIGHT(L$8,2),Data!$A$5:$A$301,0), MATCH($A$5, Data!$A$5:$K$5,0)),"")</f>
        <v>77316</v>
      </c>
      <c r="M25" s="99">
        <f>IFERROR(INDEX(Data!$A$5:$K$301,MATCH('Forecast drivers'!$A25&amp;RIGHT(M$8,2),Data!$A$5:$A$301,0), MATCH($A$5, Data!$A$5:$K$5,0)),"")</f>
        <v>76522</v>
      </c>
      <c r="N25" s="99">
        <f>IFERROR(INDEX(Data!$A$5:$K$301,MATCH('Forecast drivers'!$A25&amp;RIGHT(N$8,2),Data!$A$5:$A$301,0), MATCH($A$5, Data!$A$5:$K$5,0)),"")</f>
        <v>75728</v>
      </c>
      <c r="O25" s="99">
        <f>IFERROR(INDEX(Data!$A$5:$K$301,MATCH('Forecast drivers'!$A25&amp;RIGHT(O$8,2),Data!$A$5:$A$301,0), MATCH($A$5, Data!$A$5:$K$5,0)),"")</f>
        <v>74934</v>
      </c>
      <c r="P25" s="100">
        <f t="shared" si="10"/>
        <v>81046.000000000015</v>
      </c>
      <c r="Q25" s="100">
        <f t="shared" si="10"/>
        <v>79839.107142857159</v>
      </c>
      <c r="R25" s="100">
        <f t="shared" si="10"/>
        <v>78632.214285714304</v>
      </c>
      <c r="S25" s="100">
        <f t="shared" si="10"/>
        <v>77425.321428571449</v>
      </c>
      <c r="T25" s="100">
        <f t="shared" si="10"/>
        <v>76218.42857142858</v>
      </c>
      <c r="U25" s="100">
        <f t="shared" si="10"/>
        <v>75011.535714285725</v>
      </c>
      <c r="V25" s="100">
        <f t="shared" si="10"/>
        <v>73804.64285714287</v>
      </c>
      <c r="W25" s="101">
        <f t="shared" si="1"/>
        <v>78904</v>
      </c>
      <c r="X25" s="101">
        <f t="shared" si="2"/>
        <v>78904</v>
      </c>
      <c r="Y25" s="101">
        <f t="shared" si="3"/>
        <v>78110</v>
      </c>
      <c r="Z25" s="101">
        <f t="shared" si="4"/>
        <v>77316</v>
      </c>
      <c r="AA25" s="101">
        <f t="shared" si="5"/>
        <v>76522</v>
      </c>
      <c r="AB25" s="101">
        <f t="shared" si="6"/>
        <v>75728</v>
      </c>
      <c r="AC25" s="101">
        <f t="shared" si="7"/>
        <v>74934</v>
      </c>
      <c r="AD25" s="84"/>
      <c r="AE25" s="91" t="s">
        <v>91</v>
      </c>
      <c r="AF25" s="92" t="s">
        <v>91</v>
      </c>
      <c r="AG25" s="93" t="str">
        <f t="shared" si="8"/>
        <v>OK</v>
      </c>
    </row>
    <row r="26" spans="1:33" x14ac:dyDescent="0.35">
      <c r="A26" s="70" t="s">
        <v>24</v>
      </c>
      <c r="B26" s="107">
        <f>IFERROR(INDEX(Data!$A$5:$K$301,MATCH('Forecast drivers'!$A26&amp;RIGHT(B$8,2),Data!$A$5:$A$301,0), MATCH($A$5, Data!$A$5:$K$5,0)),"")</f>
        <v>106701</v>
      </c>
      <c r="C26" s="107">
        <f>IFERROR(INDEX(Data!$A$5:$K$301,MATCH('Forecast drivers'!$A26&amp;RIGHT(C$8,2),Data!$A$5:$A$301,0), MATCH($A$5, Data!$A$5:$K$5,0)),"")</f>
        <v>105795</v>
      </c>
      <c r="D26" s="107">
        <f>IFERROR(INDEX(Data!$A$5:$K$301,MATCH('Forecast drivers'!$A26&amp;RIGHT(D$8,2),Data!$A$5:$A$301,0), MATCH($A$5, Data!$A$5:$K$5,0)),"")</f>
        <v>105161</v>
      </c>
      <c r="E26" s="107">
        <f>IFERROR(INDEX(Data!$A$5:$K$301,MATCH('Forecast drivers'!$A26&amp;RIGHT(E$8,2),Data!$A$5:$A$301,0), MATCH($A$5, Data!$A$5:$K$5,0)),"")</f>
        <v>104293</v>
      </c>
      <c r="F26" s="107">
        <f>IFERROR(INDEX(Data!$A$5:$K$301,MATCH('Forecast drivers'!$A26&amp;RIGHT(F$8,2),Data!$A$5:$A$301,0), MATCH($A$5, Data!$A$5:$K$5,0)),"")</f>
        <v>103498</v>
      </c>
      <c r="G26" s="107">
        <f>IFERROR(INDEX(Data!$A$5:$K$301,MATCH('Forecast drivers'!$A26&amp;RIGHT(G$8,2),Data!$A$5:$A$301,0), MATCH($A$5, Data!$A$5:$K$5,0)),"")</f>
        <v>102726</v>
      </c>
      <c r="H26" s="107">
        <f>IFERROR(INDEX(Data!$A$5:$K$301,MATCH('Forecast drivers'!$A26&amp;RIGHT(H$8,2),Data!$A$5:$A$301,0), MATCH($A$5, Data!$A$5:$K$5,0)),"")</f>
        <v>102188</v>
      </c>
      <c r="I26" s="99">
        <f>IFERROR(INDEX(Data!$A$5:$K$301,MATCH('Forecast drivers'!$A26&amp;RIGHT(I$8,2),Data!$A$5:$A$301,0), MATCH($A$5, Data!$A$5:$K$5,0)),"")</f>
        <v>101467</v>
      </c>
      <c r="J26" s="99">
        <f>IFERROR(INDEX(Data!$A$5:$K$301,MATCH('Forecast drivers'!$A26&amp;RIGHT(J$8,2),Data!$A$5:$A$301,0), MATCH($A$5, Data!$A$5:$K$5,0)),"")</f>
        <v>100745</v>
      </c>
      <c r="K26" s="99">
        <f>IFERROR(INDEX(Data!$A$5:$K$301,MATCH('Forecast drivers'!$A26&amp;RIGHT(K$8,2),Data!$A$5:$A$301,0), MATCH($A$5, Data!$A$5:$K$5,0)),"")</f>
        <v>99702</v>
      </c>
      <c r="L26" s="99">
        <f>IFERROR(INDEX(Data!$A$5:$K$301,MATCH('Forecast drivers'!$A26&amp;RIGHT(L$8,2),Data!$A$5:$A$301,0), MATCH($A$5, Data!$A$5:$K$5,0)),"")</f>
        <v>98658</v>
      </c>
      <c r="M26" s="99">
        <f>IFERROR(INDEX(Data!$A$5:$K$301,MATCH('Forecast drivers'!$A26&amp;RIGHT(M$8,2),Data!$A$5:$A$301,0), MATCH($A$5, Data!$A$5:$K$5,0)),"")</f>
        <v>97615</v>
      </c>
      <c r="N26" s="99">
        <f>IFERROR(INDEX(Data!$A$5:$K$301,MATCH('Forecast drivers'!$A26&amp;RIGHT(N$8,2),Data!$A$5:$A$301,0), MATCH($A$5, Data!$A$5:$K$5,0)),"")</f>
        <v>96571</v>
      </c>
      <c r="O26" s="99">
        <f>IFERROR(INDEX(Data!$A$5:$K$301,MATCH('Forecast drivers'!$A26&amp;RIGHT(O$8,2),Data!$A$5:$A$301,0), MATCH($A$5, Data!$A$5:$K$5,0)),"")</f>
        <v>95527</v>
      </c>
      <c r="P26" s="100">
        <f t="shared" si="10"/>
        <v>101288.85714285714</v>
      </c>
      <c r="Q26" s="100">
        <f t="shared" si="10"/>
        <v>100526.71428571429</v>
      </c>
      <c r="R26" s="100">
        <f t="shared" si="10"/>
        <v>99764.571428571435</v>
      </c>
      <c r="S26" s="100">
        <f t="shared" si="10"/>
        <v>99002.42857142858</v>
      </c>
      <c r="T26" s="100">
        <f t="shared" si="10"/>
        <v>98240.28571428571</v>
      </c>
      <c r="U26" s="100">
        <f t="shared" si="10"/>
        <v>97478.142857142855</v>
      </c>
      <c r="V26" s="100">
        <f t="shared" si="10"/>
        <v>96716</v>
      </c>
      <c r="W26" s="101">
        <f t="shared" si="1"/>
        <v>100745</v>
      </c>
      <c r="X26" s="101">
        <f t="shared" si="2"/>
        <v>100745</v>
      </c>
      <c r="Y26" s="101">
        <f t="shared" si="3"/>
        <v>99702</v>
      </c>
      <c r="Z26" s="101">
        <f t="shared" si="4"/>
        <v>98658</v>
      </c>
      <c r="AA26" s="101">
        <f t="shared" si="5"/>
        <v>97615</v>
      </c>
      <c r="AB26" s="101">
        <f t="shared" si="6"/>
        <v>96571</v>
      </c>
      <c r="AC26" s="101">
        <f t="shared" si="7"/>
        <v>95527</v>
      </c>
      <c r="AD26" s="84"/>
      <c r="AE26" s="91" t="s">
        <v>91</v>
      </c>
      <c r="AF26" s="92" t="s">
        <v>91</v>
      </c>
      <c r="AG26" s="93" t="str">
        <f t="shared" si="8"/>
        <v>OK</v>
      </c>
    </row>
    <row r="27" spans="1:33" x14ac:dyDescent="0.35">
      <c r="A27" s="70" t="s">
        <v>25</v>
      </c>
      <c r="B27" s="107">
        <f>IFERROR(INDEX(Data!$A$5:$K$301,MATCH('Forecast drivers'!$A27&amp;RIGHT(B$8,2),Data!$A$5:$A$301,0), MATCH($A$5, Data!$A$5:$K$5,0)),"")</f>
        <v>30679.170945987717</v>
      </c>
      <c r="C27" s="107">
        <f>IFERROR(INDEX(Data!$A$5:$K$301,MATCH('Forecast drivers'!$A27&amp;RIGHT(C$8,2),Data!$A$5:$A$301,0), MATCH($A$5, Data!$A$5:$K$5,0)),"")</f>
        <v>29335.381345967926</v>
      </c>
      <c r="D27" s="107">
        <f>IFERROR(INDEX(Data!$A$5:$K$301,MATCH('Forecast drivers'!$A27&amp;RIGHT(D$8,2),Data!$A$5:$A$301,0), MATCH($A$5, Data!$A$5:$K$5,0)),"")</f>
        <v>27761.367724580639</v>
      </c>
      <c r="E27" s="107">
        <f>IFERROR(INDEX(Data!$A$5:$K$301,MATCH('Forecast drivers'!$A27&amp;RIGHT(E$8,2),Data!$A$5:$A$301,0), MATCH($A$5, Data!$A$5:$K$5,0)),"")</f>
        <v>26230.408034073989</v>
      </c>
      <c r="F27" s="107">
        <f>IFERROR(INDEX(Data!$A$5:$K$301,MATCH('Forecast drivers'!$A27&amp;RIGHT(F$8,2),Data!$A$5:$A$301,0), MATCH($A$5, Data!$A$5:$K$5,0)),"")</f>
        <v>24424.848652404875</v>
      </c>
      <c r="G27" s="107">
        <f>IFERROR(INDEX(Data!$A$5:$K$301,MATCH('Forecast drivers'!$A27&amp;RIGHT(G$8,2),Data!$A$5:$A$301,0), MATCH($A$5, Data!$A$5:$K$5,0)),"")</f>
        <v>22437.586116731502</v>
      </c>
      <c r="H27" s="107">
        <f>IFERROR(INDEX(Data!$A$5:$K$301,MATCH('Forecast drivers'!$A27&amp;RIGHT(H$8,2),Data!$A$5:$A$301,0), MATCH($A$5, Data!$A$5:$K$5,0)),"")</f>
        <v>34516</v>
      </c>
      <c r="I27" s="99">
        <f>IFERROR(INDEX(Data!$A$5:$K$301,MATCH('Forecast drivers'!$A27&amp;RIGHT(I$8,2),Data!$A$5:$A$301,0), MATCH($A$5, Data!$A$5:$K$5,0)),"")</f>
        <v>34249</v>
      </c>
      <c r="J27" s="99">
        <f>IFERROR(INDEX(Data!$A$5:$K$301,MATCH('Forecast drivers'!$A27&amp;RIGHT(J$8,2),Data!$A$5:$A$301,0), MATCH($A$5, Data!$A$5:$K$5,0)),"")</f>
        <v>33801.9392619746</v>
      </c>
      <c r="K27" s="99">
        <f>IFERROR(INDEX(Data!$A$5:$K$301,MATCH('Forecast drivers'!$A27&amp;RIGHT(K$8,2),Data!$A$5:$A$301,0), MATCH($A$5, Data!$A$5:$K$5,0)),"")</f>
        <v>33534.878523949199</v>
      </c>
      <c r="L27" s="99">
        <f>IFERROR(INDEX(Data!$A$5:$K$301,MATCH('Forecast drivers'!$A27&amp;RIGHT(L$8,2),Data!$A$5:$A$301,0), MATCH($A$5, Data!$A$5:$K$5,0)),"")</f>
        <v>33267.817785923799</v>
      </c>
      <c r="M27" s="99">
        <f>IFERROR(INDEX(Data!$A$5:$K$301,MATCH('Forecast drivers'!$A27&amp;RIGHT(M$8,2),Data!$A$5:$A$301,0), MATCH($A$5, Data!$A$5:$K$5,0)),"")</f>
        <v>33000.757047898303</v>
      </c>
      <c r="N27" s="99">
        <f>IFERROR(INDEX(Data!$A$5:$K$301,MATCH('Forecast drivers'!$A27&amp;RIGHT(N$8,2),Data!$A$5:$A$301,0), MATCH($A$5, Data!$A$5:$K$5,0)),"")</f>
        <v>32733.696309872899</v>
      </c>
      <c r="O27" s="99">
        <f>IFERROR(INDEX(Data!$A$5:$K$301,MATCH('Forecast drivers'!$A27&amp;RIGHT(O$8,2),Data!$A$5:$A$301,0), MATCH($A$5, Data!$A$5:$K$5,0)),"")</f>
        <v>32466.635571847499</v>
      </c>
      <c r="P27" s="100">
        <f t="shared" si="10"/>
        <v>27109.020064447839</v>
      </c>
      <c r="Q27" s="100">
        <f t="shared" si="10"/>
        <v>26908.247836997416</v>
      </c>
      <c r="R27" s="100">
        <f t="shared" si="10"/>
        <v>26707.475609546997</v>
      </c>
      <c r="S27" s="100">
        <f t="shared" si="10"/>
        <v>26506.703382096577</v>
      </c>
      <c r="T27" s="100">
        <f t="shared" si="10"/>
        <v>26305.931154646158</v>
      </c>
      <c r="U27" s="100">
        <f t="shared" si="10"/>
        <v>26105.158927195738</v>
      </c>
      <c r="V27" s="100">
        <f t="shared" si="10"/>
        <v>25904.386699745315</v>
      </c>
      <c r="W27" s="101">
        <f t="shared" si="1"/>
        <v>33801.9392619746</v>
      </c>
      <c r="X27" s="101">
        <f t="shared" si="2"/>
        <v>33801.9392619746</v>
      </c>
      <c r="Y27" s="101">
        <f t="shared" si="3"/>
        <v>33534.878523949199</v>
      </c>
      <c r="Z27" s="101">
        <f t="shared" si="4"/>
        <v>33267.817785923799</v>
      </c>
      <c r="AA27" s="101">
        <f t="shared" si="5"/>
        <v>33000.757047898303</v>
      </c>
      <c r="AB27" s="101">
        <f t="shared" si="6"/>
        <v>32733.696309872899</v>
      </c>
      <c r="AC27" s="101">
        <f t="shared" si="7"/>
        <v>32466.635571847499</v>
      </c>
      <c r="AD27" s="84"/>
      <c r="AE27" s="91" t="s">
        <v>91</v>
      </c>
      <c r="AF27" s="92" t="s">
        <v>91</v>
      </c>
      <c r="AG27" s="93" t="str">
        <f t="shared" si="8"/>
        <v>OK</v>
      </c>
    </row>
    <row r="28" spans="1:33" x14ac:dyDescent="0.35">
      <c r="A28" s="70" t="s">
        <v>26</v>
      </c>
      <c r="B28" s="107">
        <f>IFERROR(INDEX(Data!$A$5:$K$301,MATCH('Forecast drivers'!$A28&amp;RIGHT(B$8,2),Data!$A$5:$A$301,0), MATCH($A$5, Data!$A$5:$K$5,0)),"")</f>
        <v>158179.14686647838</v>
      </c>
      <c r="C28" s="107">
        <f>IFERROR(INDEX(Data!$A$5:$K$301,MATCH('Forecast drivers'!$A28&amp;RIGHT(C$8,2),Data!$A$5:$A$301,0), MATCH($A$5, Data!$A$5:$K$5,0)),"")</f>
        <v>158036</v>
      </c>
      <c r="D28" s="107">
        <f>IFERROR(INDEX(Data!$A$5:$K$301,MATCH('Forecast drivers'!$A28&amp;RIGHT(D$8,2),Data!$A$5:$A$301,0), MATCH($A$5, Data!$A$5:$K$5,0)),"")</f>
        <v>157879</v>
      </c>
      <c r="E28" s="107">
        <f>IFERROR(INDEX(Data!$A$5:$K$301,MATCH('Forecast drivers'!$A28&amp;RIGHT(E$8,2),Data!$A$5:$A$301,0), MATCH($A$5, Data!$A$5:$K$5,0)),"")</f>
        <v>157721</v>
      </c>
      <c r="F28" s="107">
        <f>IFERROR(INDEX(Data!$A$5:$K$301,MATCH('Forecast drivers'!$A28&amp;RIGHT(F$8,2),Data!$A$5:$A$301,0), MATCH($A$5, Data!$A$5:$K$5,0)),"")</f>
        <v>157519</v>
      </c>
      <c r="G28" s="107">
        <f>IFERROR(INDEX(Data!$A$5:$K$301,MATCH('Forecast drivers'!$A28&amp;RIGHT(G$8,2),Data!$A$5:$A$301,0), MATCH($A$5, Data!$A$5:$K$5,0)),"")</f>
        <v>156225</v>
      </c>
      <c r="H28" s="107">
        <f>IFERROR(INDEX(Data!$A$5:$K$301,MATCH('Forecast drivers'!$A28&amp;RIGHT(H$8,2),Data!$A$5:$A$301,0), MATCH($A$5, Data!$A$5:$K$5,0)),"")</f>
        <v>154776</v>
      </c>
      <c r="I28" s="99">
        <f>IFERROR(INDEX(Data!$A$5:$K$301,MATCH('Forecast drivers'!$A28&amp;RIGHT(I$8,2),Data!$A$5:$A$301,0), MATCH($A$5, Data!$A$5:$K$5,0)),"")</f>
        <v>153636</v>
      </c>
      <c r="J28" s="99">
        <f>IFERROR(INDEX(Data!$A$5:$K$301,MATCH('Forecast drivers'!$A28&amp;RIGHT(J$8,2),Data!$A$5:$A$301,0), MATCH($A$5, Data!$A$5:$K$5,0)),"")</f>
        <v>152496</v>
      </c>
      <c r="K28" s="99">
        <f>IFERROR(INDEX(Data!$A$5:$K$301,MATCH('Forecast drivers'!$A28&amp;RIGHT(K$8,2),Data!$A$5:$A$301,0), MATCH($A$5, Data!$A$5:$K$5,0)),"")</f>
        <v>150439</v>
      </c>
      <c r="L28" s="99">
        <f>IFERROR(INDEX(Data!$A$5:$K$301,MATCH('Forecast drivers'!$A28&amp;RIGHT(L$8,2),Data!$A$5:$A$301,0), MATCH($A$5, Data!$A$5:$K$5,0)),"")</f>
        <v>148382</v>
      </c>
      <c r="M28" s="99">
        <f>IFERROR(INDEX(Data!$A$5:$K$301,MATCH('Forecast drivers'!$A28&amp;RIGHT(M$8,2),Data!$A$5:$A$301,0), MATCH($A$5, Data!$A$5:$K$5,0)),"")</f>
        <v>146325</v>
      </c>
      <c r="N28" s="99">
        <f>IFERROR(INDEX(Data!$A$5:$K$301,MATCH('Forecast drivers'!$A28&amp;RIGHT(N$8,2),Data!$A$5:$A$301,0), MATCH($A$5, Data!$A$5:$K$5,0)),"")</f>
        <v>144268</v>
      </c>
      <c r="O28" s="99">
        <f>IFERROR(INDEX(Data!$A$5:$K$301,MATCH('Forecast drivers'!$A28&amp;RIGHT(O$8,2),Data!$A$5:$A$301,0), MATCH($A$5, Data!$A$5:$K$5,0)),"")</f>
        <v>142211</v>
      </c>
      <c r="P28" s="100">
        <f t="shared" si="10"/>
        <v>155163.38660957763</v>
      </c>
      <c r="Q28" s="100">
        <f t="shared" si="10"/>
        <v>154656.54944531209</v>
      </c>
      <c r="R28" s="100">
        <f t="shared" si="10"/>
        <v>154149.71228104655</v>
      </c>
      <c r="S28" s="100">
        <f t="shared" si="10"/>
        <v>153642.87511678101</v>
      </c>
      <c r="T28" s="100">
        <f t="shared" si="10"/>
        <v>153136.03795251547</v>
      </c>
      <c r="U28" s="100">
        <f t="shared" si="10"/>
        <v>152629.20078824993</v>
      </c>
      <c r="V28" s="100">
        <f t="shared" si="10"/>
        <v>152122.36362398439</v>
      </c>
      <c r="W28" s="101">
        <f t="shared" si="1"/>
        <v>152496</v>
      </c>
      <c r="X28" s="101">
        <f t="shared" si="2"/>
        <v>152496</v>
      </c>
      <c r="Y28" s="101">
        <f t="shared" si="3"/>
        <v>150439</v>
      </c>
      <c r="Z28" s="101">
        <f t="shared" si="4"/>
        <v>148382</v>
      </c>
      <c r="AA28" s="101">
        <f t="shared" si="5"/>
        <v>146325</v>
      </c>
      <c r="AB28" s="101">
        <f t="shared" si="6"/>
        <v>144268</v>
      </c>
      <c r="AC28" s="101">
        <f t="shared" si="7"/>
        <v>142211</v>
      </c>
      <c r="AD28" s="84"/>
      <c r="AE28" s="91" t="s">
        <v>91</v>
      </c>
      <c r="AF28" s="92" t="s">
        <v>91</v>
      </c>
      <c r="AG28" s="93" t="str">
        <f t="shared" si="8"/>
        <v>OK</v>
      </c>
    </row>
    <row r="29" spans="1:33" x14ac:dyDescent="0.35">
      <c r="A29" s="71" t="s">
        <v>107</v>
      </c>
      <c r="B29" s="103">
        <f t="shared" ref="B29:AC29" si="11">SUM(B$10:B$28)</f>
        <v>6247298.7277884055</v>
      </c>
      <c r="C29" s="103">
        <f t="shared" si="11"/>
        <v>6203174.7648873487</v>
      </c>
      <c r="D29" s="103">
        <f t="shared" si="11"/>
        <v>6170991.0150930434</v>
      </c>
      <c r="E29" s="103">
        <f t="shared" si="11"/>
        <v>6140370.8371239211</v>
      </c>
      <c r="F29" s="103">
        <f t="shared" si="11"/>
        <v>6078693.9277945347</v>
      </c>
      <c r="G29" s="103">
        <f t="shared" si="11"/>
        <v>6037986.0064116763</v>
      </c>
      <c r="H29" s="103">
        <f t="shared" si="11"/>
        <v>6711396</v>
      </c>
      <c r="I29" s="72">
        <f t="shared" si="11"/>
        <v>5996467.9032088472</v>
      </c>
      <c r="J29" s="72">
        <f t="shared" si="11"/>
        <v>5938895.0581611572</v>
      </c>
      <c r="K29" s="72">
        <f t="shared" si="11"/>
        <v>5884307.933558437</v>
      </c>
      <c r="L29" s="72">
        <f t="shared" si="11"/>
        <v>5824703.5123397652</v>
      </c>
      <c r="M29" s="72">
        <f t="shared" si="11"/>
        <v>5764431.7774952585</v>
      </c>
      <c r="N29" s="72">
        <f t="shared" si="11"/>
        <v>5706958.7120659137</v>
      </c>
      <c r="O29" s="72">
        <f t="shared" si="11"/>
        <v>5650796.2991434624</v>
      </c>
      <c r="P29" s="104">
        <f t="shared" si="11"/>
        <v>5988020.6416405523</v>
      </c>
      <c r="Q29" s="104">
        <f t="shared" si="11"/>
        <v>5951844.8992257286</v>
      </c>
      <c r="R29" s="104">
        <f t="shared" si="11"/>
        <v>5915669.1568109058</v>
      </c>
      <c r="S29" s="104">
        <f t="shared" si="11"/>
        <v>5879493.4143960802</v>
      </c>
      <c r="T29" s="104">
        <f t="shared" si="11"/>
        <v>5843317.6719812555</v>
      </c>
      <c r="U29" s="104">
        <f t="shared" si="11"/>
        <v>5807141.9295664318</v>
      </c>
      <c r="V29" s="104">
        <f t="shared" si="11"/>
        <v>5770966.187151609</v>
      </c>
      <c r="W29" s="105">
        <f t="shared" si="11"/>
        <v>5938895.0581611572</v>
      </c>
      <c r="X29" s="105">
        <f t="shared" si="11"/>
        <v>5938895.0581611572</v>
      </c>
      <c r="Y29" s="105">
        <f t="shared" si="11"/>
        <v>5884307.933558437</v>
      </c>
      <c r="Z29" s="105">
        <f t="shared" si="11"/>
        <v>5824703.5123397652</v>
      </c>
      <c r="AA29" s="105">
        <f t="shared" si="11"/>
        <v>5764431.7774952585</v>
      </c>
      <c r="AB29" s="105">
        <f t="shared" si="11"/>
        <v>5706958.7120659137</v>
      </c>
      <c r="AC29" s="106">
        <f t="shared" si="11"/>
        <v>5650796.2991434624</v>
      </c>
      <c r="AE29" s="91" t="s">
        <v>91</v>
      </c>
      <c r="AF29" s="92" t="s">
        <v>91</v>
      </c>
      <c r="AG29" s="93" t="str">
        <f t="shared" si="8"/>
        <v>OK</v>
      </c>
    </row>
    <row r="30" spans="1:33" x14ac:dyDescent="0.35">
      <c r="A30" s="113"/>
      <c r="B30" s="114"/>
      <c r="C30" s="114"/>
      <c r="D30" s="114"/>
      <c r="E30" s="114"/>
      <c r="F30" s="114"/>
      <c r="G30" s="114"/>
      <c r="H30" s="114"/>
      <c r="I30" s="115"/>
      <c r="J30" s="115"/>
      <c r="K30" s="115"/>
      <c r="L30" s="115"/>
      <c r="M30" s="115"/>
      <c r="N30" s="115"/>
      <c r="O30" s="115"/>
      <c r="P30" s="116"/>
      <c r="Q30" s="116"/>
      <c r="R30" s="116"/>
      <c r="S30" s="116"/>
      <c r="T30" s="116"/>
      <c r="U30" s="116"/>
      <c r="V30" s="116"/>
      <c r="W30" s="117"/>
      <c r="X30" s="117"/>
      <c r="Y30" s="117"/>
      <c r="Z30" s="117"/>
      <c r="AA30" s="117"/>
      <c r="AB30" s="117"/>
      <c r="AC30" s="117"/>
      <c r="AE30" s="118"/>
      <c r="AF30" s="119"/>
      <c r="AG30" s="120"/>
    </row>
    <row r="31" spans="1:33" x14ac:dyDescent="0.35">
      <c r="A31" s="113"/>
      <c r="B31" s="114"/>
      <c r="C31" s="114"/>
      <c r="D31" s="114"/>
      <c r="E31" s="114"/>
      <c r="F31" s="114"/>
      <c r="G31" s="114"/>
      <c r="H31" s="114"/>
      <c r="I31" s="115"/>
      <c r="J31" s="115"/>
      <c r="K31" s="115"/>
      <c r="L31" s="115"/>
      <c r="M31" s="115"/>
      <c r="N31" s="115"/>
      <c r="O31" s="115"/>
      <c r="P31" s="116"/>
      <c r="Q31" s="116"/>
      <c r="R31" s="116"/>
      <c r="S31" s="116"/>
      <c r="T31" s="116"/>
      <c r="U31" s="116"/>
      <c r="V31" s="116"/>
      <c r="W31" s="117"/>
      <c r="X31" s="117"/>
      <c r="Y31" s="117"/>
      <c r="Z31" s="117"/>
      <c r="AA31" s="117"/>
      <c r="AB31" s="117"/>
      <c r="AC31" s="117"/>
      <c r="AE31" s="118"/>
      <c r="AF31" s="119"/>
      <c r="AG31" s="120"/>
    </row>
    <row r="32" spans="1:33" ht="18.5" x14ac:dyDescent="0.45">
      <c r="A32" s="215" t="s">
        <v>90</v>
      </c>
      <c r="B32" s="21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row>
    <row r="33" spans="1:33" x14ac:dyDescent="0.35">
      <c r="A33" s="217" t="s">
        <v>70</v>
      </c>
      <c r="B33" s="217"/>
      <c r="C33" s="53"/>
      <c r="D33" s="53"/>
      <c r="E33" s="53"/>
      <c r="F33" s="53"/>
      <c r="G33" s="53"/>
      <c r="H33" s="53"/>
      <c r="I33" s="53"/>
      <c r="J33" s="53"/>
      <c r="K33" s="53"/>
      <c r="L33" s="53"/>
      <c r="M33" s="53"/>
      <c r="N33" s="53"/>
      <c r="O33" s="53"/>
      <c r="P33" s="53"/>
      <c r="Q33" s="53"/>
      <c r="R33" s="53"/>
      <c r="S33" s="53"/>
      <c r="T33" s="53"/>
      <c r="U33" s="53"/>
      <c r="V33" s="53"/>
      <c r="W33" s="53"/>
      <c r="X33" s="53"/>
      <c r="Y33" s="53"/>
      <c r="Z33" s="53"/>
      <c r="AA33" s="53"/>
    </row>
    <row r="34" spans="1:33" ht="15.5" x14ac:dyDescent="0.35">
      <c r="A34" s="77"/>
      <c r="B34" s="77"/>
      <c r="C34" s="53"/>
      <c r="D34" s="78"/>
      <c r="E34" s="78"/>
      <c r="F34" s="78"/>
      <c r="G34" s="78"/>
      <c r="H34" s="78"/>
      <c r="I34" s="78"/>
      <c r="J34" s="78"/>
      <c r="K34" s="78"/>
      <c r="L34" s="78"/>
      <c r="M34" s="78"/>
      <c r="N34" s="78"/>
      <c r="O34" s="78"/>
      <c r="P34" s="78"/>
      <c r="Q34" s="78"/>
      <c r="R34" s="53"/>
      <c r="S34" s="53"/>
      <c r="T34" s="53"/>
      <c r="U34" s="53"/>
      <c r="V34" s="53"/>
      <c r="W34" s="53"/>
      <c r="X34" s="53"/>
      <c r="Y34" s="53"/>
      <c r="Z34" s="53"/>
    </row>
    <row r="35" spans="1:33" ht="15" customHeight="1" x14ac:dyDescent="0.35">
      <c r="A35" s="52"/>
      <c r="B35" s="79" t="s">
        <v>32</v>
      </c>
      <c r="C35" s="54"/>
      <c r="D35" s="54"/>
      <c r="E35" s="54"/>
      <c r="F35" s="54"/>
      <c r="G35" s="54"/>
      <c r="H35" s="55"/>
      <c r="I35" s="80" t="s">
        <v>91</v>
      </c>
      <c r="J35" s="81"/>
      <c r="K35" s="81"/>
      <c r="L35" s="81"/>
      <c r="M35" s="81"/>
      <c r="N35" s="81"/>
      <c r="O35" s="82"/>
      <c r="P35" s="83" t="s">
        <v>108</v>
      </c>
      <c r="Q35" s="56"/>
      <c r="R35" s="56"/>
      <c r="S35" s="56"/>
      <c r="T35" s="56"/>
      <c r="U35" s="56"/>
      <c r="V35" s="57"/>
      <c r="W35" s="58" t="s">
        <v>109</v>
      </c>
      <c r="X35" s="59"/>
      <c r="Y35" s="59"/>
      <c r="Z35" s="59"/>
      <c r="AA35" s="59"/>
      <c r="AB35" s="59"/>
      <c r="AC35" s="60"/>
      <c r="AD35" s="84"/>
    </row>
    <row r="36" spans="1:33" x14ac:dyDescent="0.35">
      <c r="A36" s="85"/>
      <c r="B36" s="61" t="s">
        <v>93</v>
      </c>
      <c r="C36" s="61" t="s">
        <v>94</v>
      </c>
      <c r="D36" s="61" t="s">
        <v>95</v>
      </c>
      <c r="E36" s="61" t="s">
        <v>96</v>
      </c>
      <c r="F36" s="61" t="s">
        <v>97</v>
      </c>
      <c r="G36" s="61" t="s">
        <v>98</v>
      </c>
      <c r="H36" s="61" t="s">
        <v>99</v>
      </c>
      <c r="I36" s="62" t="s">
        <v>100</v>
      </c>
      <c r="J36" s="62" t="s">
        <v>101</v>
      </c>
      <c r="K36" s="62" t="s">
        <v>102</v>
      </c>
      <c r="L36" s="62" t="s">
        <v>103</v>
      </c>
      <c r="M36" s="62" t="s">
        <v>104</v>
      </c>
      <c r="N36" s="62" t="s">
        <v>105</v>
      </c>
      <c r="O36" s="62" t="s">
        <v>106</v>
      </c>
      <c r="P36" s="63" t="s">
        <v>100</v>
      </c>
      <c r="Q36" s="63" t="s">
        <v>101</v>
      </c>
      <c r="R36" s="63" t="s">
        <v>102</v>
      </c>
      <c r="S36" s="63" t="s">
        <v>103</v>
      </c>
      <c r="T36" s="63" t="s">
        <v>104</v>
      </c>
      <c r="U36" s="63" t="s">
        <v>105</v>
      </c>
      <c r="V36" s="63" t="s">
        <v>106</v>
      </c>
      <c r="W36" s="64" t="s">
        <v>100</v>
      </c>
      <c r="X36" s="64" t="s">
        <v>101</v>
      </c>
      <c r="Y36" s="64" t="s">
        <v>102</v>
      </c>
      <c r="Z36" s="64" t="s">
        <v>103</v>
      </c>
      <c r="AA36" s="64" t="s">
        <v>104</v>
      </c>
      <c r="AB36" s="64" t="s">
        <v>105</v>
      </c>
      <c r="AC36" s="64" t="s">
        <v>106</v>
      </c>
      <c r="AD36" s="84"/>
      <c r="AE36" s="232" t="s">
        <v>109</v>
      </c>
      <c r="AF36" s="232" t="s">
        <v>110</v>
      </c>
      <c r="AG36" s="232" t="s">
        <v>111</v>
      </c>
    </row>
    <row r="37" spans="1:33" ht="15" customHeight="1" x14ac:dyDescent="0.35">
      <c r="A37" s="86" t="s">
        <v>112</v>
      </c>
      <c r="B37" s="87">
        <v>1</v>
      </c>
      <c r="C37" s="87">
        <v>2</v>
      </c>
      <c r="D37" s="87">
        <v>3</v>
      </c>
      <c r="E37" s="87">
        <v>4</v>
      </c>
      <c r="F37" s="87">
        <v>5</v>
      </c>
      <c r="G37" s="87">
        <v>6</v>
      </c>
      <c r="H37" s="87">
        <v>7</v>
      </c>
      <c r="I37" s="88">
        <v>8</v>
      </c>
      <c r="J37" s="88">
        <v>9</v>
      </c>
      <c r="K37" s="88">
        <v>10</v>
      </c>
      <c r="L37" s="88">
        <v>11</v>
      </c>
      <c r="M37" s="88">
        <v>12</v>
      </c>
      <c r="N37" s="88">
        <v>13</v>
      </c>
      <c r="O37" s="88">
        <v>14</v>
      </c>
      <c r="P37" s="89">
        <v>8</v>
      </c>
      <c r="Q37" s="89">
        <v>9</v>
      </c>
      <c r="R37" s="89">
        <v>10</v>
      </c>
      <c r="S37" s="89">
        <v>11</v>
      </c>
      <c r="T37" s="89">
        <v>12</v>
      </c>
      <c r="U37" s="89">
        <v>13</v>
      </c>
      <c r="V37" s="89">
        <v>14</v>
      </c>
      <c r="W37" s="64">
        <v>8</v>
      </c>
      <c r="X37" s="64">
        <v>9</v>
      </c>
      <c r="Y37" s="64">
        <v>10</v>
      </c>
      <c r="Z37" s="64">
        <v>11</v>
      </c>
      <c r="AA37" s="64">
        <v>12</v>
      </c>
      <c r="AB37" s="64">
        <v>13</v>
      </c>
      <c r="AC37" s="64">
        <v>14</v>
      </c>
      <c r="AD37" s="84"/>
      <c r="AE37" s="232"/>
      <c r="AF37" s="232"/>
      <c r="AG37" s="232"/>
    </row>
    <row r="38" spans="1:33" x14ac:dyDescent="0.35">
      <c r="A38" s="70" t="s">
        <v>8</v>
      </c>
      <c r="B38" s="65">
        <f>IFERROR(INDEX(Data!$A$5:$K$301,MATCH('Forecast drivers'!$A38&amp;RIGHT(B$36,2),Data!$A$5:$A$301,0), MATCH($A$33, Data!$A$5:$K$5,0)),"")</f>
        <v>1325</v>
      </c>
      <c r="C38" s="65">
        <f>IFERROR(INDEX(Data!$A$5:$K$301,MATCH('Forecast drivers'!$A38&amp;RIGHT(C$36,2),Data!$A$5:$A$301,0), MATCH($A$33, Data!$A$5:$K$5,0)),"")</f>
        <v>4291</v>
      </c>
      <c r="D38" s="65">
        <f>IFERROR(INDEX(Data!$A$5:$K$301,MATCH('Forecast drivers'!$A38&amp;RIGHT(D$36,2),Data!$A$5:$A$301,0), MATCH($A$33, Data!$A$5:$K$5,0)),"")</f>
        <v>2701</v>
      </c>
      <c r="E38" s="65">
        <f>IFERROR(INDEX(Data!$A$5:$K$301,MATCH('Forecast drivers'!$A38&amp;RIGHT(E$36,2),Data!$A$5:$A$301,0), MATCH($A$33, Data!$A$5:$K$5,0)),"")</f>
        <v>3852</v>
      </c>
      <c r="F38" s="65">
        <f>IFERROR(INDEX(Data!$A$5:$K$301,MATCH('Forecast drivers'!$A38&amp;RIGHT(F$36,2),Data!$A$5:$A$301,0), MATCH($A$33, Data!$A$5:$K$5,0)),"")</f>
        <v>2672</v>
      </c>
      <c r="G38" s="65">
        <f>IFERROR(INDEX(Data!$A$5:$K$301,MATCH('Forecast drivers'!$A38&amp;RIGHT(G$36,2),Data!$A$5:$A$301,0), MATCH($A$33, Data!$A$5:$K$5,0)),"")</f>
        <v>1973</v>
      </c>
      <c r="H38" s="65">
        <f>IFERROR(INDEX(Data!$A$5:$K$301,MATCH('Forecast drivers'!$A38&amp;RIGHT(H$36,2),Data!$A$5:$A$301,0), MATCH($A$33, Data!$A$5:$K$5,0)),"")</f>
        <v>702</v>
      </c>
      <c r="I38" s="66">
        <f>IFERROR(INDEX(Data!$A$5:$K$301,MATCH('Forecast drivers'!$A38&amp;RIGHT(I$36,2),Data!$A$5:$A$301,0), MATCH($A$33, Data!$A$5:$K$5,0)),"")</f>
        <v>312</v>
      </c>
      <c r="J38" s="66">
        <f>IFERROR(INDEX(Data!$A$5:$K$301,MATCH('Forecast drivers'!$A38&amp;RIGHT(J$36,2),Data!$A$5:$A$301,0), MATCH($A$33, Data!$A$5:$K$5,0)),"")</f>
        <v>312</v>
      </c>
      <c r="K38" s="66">
        <f>IFERROR(INDEX(Data!$A$5:$K$301,MATCH('Forecast drivers'!$A38&amp;RIGHT(K$36,2),Data!$A$5:$A$301,0), MATCH($A$33, Data!$A$5:$K$5,0)),"")</f>
        <v>550</v>
      </c>
      <c r="L38" s="66">
        <f>IFERROR(INDEX(Data!$A$5:$K$301,MATCH('Forecast drivers'!$A38&amp;RIGHT(L$36,2),Data!$A$5:$A$301,0), MATCH($A$33, Data!$A$5:$K$5,0)),"")</f>
        <v>1350</v>
      </c>
      <c r="M38" s="66">
        <f>IFERROR(INDEX(Data!$A$5:$K$301,MATCH('Forecast drivers'!$A38&amp;RIGHT(M$36,2),Data!$A$5:$A$301,0), MATCH($A$33, Data!$A$5:$K$5,0)),"")</f>
        <v>1350</v>
      </c>
      <c r="N38" s="66">
        <f>IFERROR(INDEX(Data!$A$5:$K$301,MATCH('Forecast drivers'!$A38&amp;RIGHT(N$36,2),Data!$A$5:$A$301,0), MATCH($A$33, Data!$A$5:$K$5,0)),"")</f>
        <v>1350</v>
      </c>
      <c r="O38" s="66">
        <f>IFERROR(INDEX(Data!$A$5:$K$301,MATCH('Forecast drivers'!$A38&amp;RIGHT(O$36,2),Data!$A$5:$A$301,0), MATCH($A$33, Data!$A$5:$K$5,0)),"")</f>
        <v>650</v>
      </c>
      <c r="P38" s="67">
        <f t="shared" ref="P38:V38" si="12">IFERROR(INTERCEPT($B38:$H38,$B$37:$H$37)+SLOPE($B38:$H38,$B$37:$H$37)*P$37,"")</f>
        <v>1568.8571428571429</v>
      </c>
      <c r="Q38" s="67">
        <f t="shared" si="12"/>
        <v>1335.5</v>
      </c>
      <c r="R38" s="67">
        <f t="shared" si="12"/>
        <v>1102.1428571428573</v>
      </c>
      <c r="S38" s="67">
        <f t="shared" si="12"/>
        <v>868.78571428571422</v>
      </c>
      <c r="T38" s="67">
        <f t="shared" si="12"/>
        <v>635.42857142857156</v>
      </c>
      <c r="U38" s="67">
        <f t="shared" si="12"/>
        <v>402.07142857142844</v>
      </c>
      <c r="V38" s="67">
        <f t="shared" si="12"/>
        <v>168.71428571428578</v>
      </c>
      <c r="W38" s="90">
        <f t="shared" ref="W38:W56" si="13" xml:space="preserve"> IF($AE38="Company forecast",J38, IF($AE38="Ofwat forecast",Q38))</f>
        <v>312</v>
      </c>
      <c r="X38" s="90">
        <f t="shared" ref="X38:X56" si="14" xml:space="preserve"> IF($AE38="Company forecast",J38, IF($AE38="Ofwat forecast",Q38))</f>
        <v>312</v>
      </c>
      <c r="Y38" s="90">
        <f t="shared" ref="Y38:Y56" si="15" xml:space="preserve"> IF($AE38="Company forecast",K38, IF($AE38="Ofwat forecast",R38))</f>
        <v>550</v>
      </c>
      <c r="Z38" s="90">
        <f t="shared" ref="Z38:Z56" si="16" xml:space="preserve"> IF($AE38="Company forecast",L38, IF($AE38="Ofwat forecast",S38))</f>
        <v>1350</v>
      </c>
      <c r="AA38" s="90">
        <f t="shared" ref="AA38:AA56" si="17" xml:space="preserve"> IF($AE38="Company forecast",M38, IF($AE38="Ofwat forecast",T38))</f>
        <v>1350</v>
      </c>
      <c r="AB38" s="90">
        <f t="shared" ref="AB38:AB56" si="18" xml:space="preserve"> IF($AE38="Company forecast",N38, IF($AE38="Ofwat forecast",U38))</f>
        <v>1350</v>
      </c>
      <c r="AC38" s="90">
        <f t="shared" ref="AC38:AC56" si="19" xml:space="preserve"> IF($AE38="Company forecast",O38, IF($AE38="Ofwat forecast",V38))</f>
        <v>650</v>
      </c>
      <c r="AD38" s="84"/>
      <c r="AE38" s="91" t="s">
        <v>91</v>
      </c>
      <c r="AF38" s="92" t="s">
        <v>91</v>
      </c>
      <c r="AG38" s="93" t="str">
        <f t="shared" ref="AG38:AG57" si="20" xml:space="preserve"> IF(AE38=AF38, "OK", "error")</f>
        <v>OK</v>
      </c>
    </row>
    <row r="39" spans="1:33" x14ac:dyDescent="0.35">
      <c r="A39" s="70" t="s">
        <v>28</v>
      </c>
      <c r="B39" s="68"/>
      <c r="C39" s="68"/>
      <c r="D39" s="68"/>
      <c r="E39" s="68"/>
      <c r="F39" s="68"/>
      <c r="G39" s="68"/>
      <c r="H39" s="65">
        <f>IFERROR(INDEX(Data!$A$5:$K$301,MATCH('Forecast drivers'!$A39&amp;RIGHT(H$36,2),Data!$A$5:$A$301,0), MATCH($A$33, Data!$A$5:$K$5,0)),"")</f>
        <v>26</v>
      </c>
      <c r="I39" s="66">
        <f>IFERROR(INDEX(Data!$A$5:$K$301,MATCH('Forecast drivers'!$A39&amp;RIGHT(I$36,2),Data!$A$5:$A$301,0), MATCH($A$33, Data!$A$5:$K$5,0)),"")</f>
        <v>26</v>
      </c>
      <c r="J39" s="66">
        <f>IFERROR(INDEX(Data!$A$5:$K$301,MATCH('Forecast drivers'!$A39&amp;RIGHT(J$36,2),Data!$A$5:$A$301,0), MATCH($A$33, Data!$A$5:$K$5,0)),"")</f>
        <v>26</v>
      </c>
      <c r="K39" s="66">
        <f>IFERROR(INDEX(Data!$A$5:$K$301,MATCH('Forecast drivers'!$A39&amp;RIGHT(K$36,2),Data!$A$5:$A$301,0), MATCH($A$33, Data!$A$5:$K$5,0)),"")</f>
        <v>51</v>
      </c>
      <c r="L39" s="66">
        <f>IFERROR(INDEX(Data!$A$5:$K$301,MATCH('Forecast drivers'!$A39&amp;RIGHT(L$36,2),Data!$A$5:$A$301,0), MATCH($A$33, Data!$A$5:$K$5,0)),"")</f>
        <v>51</v>
      </c>
      <c r="M39" s="66">
        <f>IFERROR(INDEX(Data!$A$5:$K$301,MATCH('Forecast drivers'!$A39&amp;RIGHT(M$36,2),Data!$A$5:$A$301,0), MATCH($A$33, Data!$A$5:$K$5,0)),"")</f>
        <v>51</v>
      </c>
      <c r="N39" s="66">
        <f>IFERROR(INDEX(Data!$A$5:$K$301,MATCH('Forecast drivers'!$A39&amp;RIGHT(N$36,2),Data!$A$5:$A$301,0), MATCH($A$33, Data!$A$5:$K$5,0)),"")</f>
        <v>51</v>
      </c>
      <c r="O39" s="66">
        <f>IFERROR(INDEX(Data!$A$5:$K$301,MATCH('Forecast drivers'!$A39&amp;RIGHT(O$36,2),Data!$A$5:$A$301,0), MATCH($A$33, Data!$A$5:$K$5,0)),"")</f>
        <v>51</v>
      </c>
      <c r="P39" s="69"/>
      <c r="Q39" s="69"/>
      <c r="R39" s="69"/>
      <c r="S39" s="69"/>
      <c r="T39" s="69"/>
      <c r="U39" s="69"/>
      <c r="V39" s="69"/>
      <c r="W39" s="90">
        <f t="shared" si="13"/>
        <v>26</v>
      </c>
      <c r="X39" s="90">
        <f t="shared" si="14"/>
        <v>26</v>
      </c>
      <c r="Y39" s="90">
        <f t="shared" si="15"/>
        <v>51</v>
      </c>
      <c r="Z39" s="90">
        <f t="shared" si="16"/>
        <v>51</v>
      </c>
      <c r="AA39" s="90">
        <f t="shared" si="17"/>
        <v>51</v>
      </c>
      <c r="AB39" s="90">
        <f t="shared" si="18"/>
        <v>51</v>
      </c>
      <c r="AC39" s="90">
        <f t="shared" si="19"/>
        <v>51</v>
      </c>
      <c r="AD39" s="84"/>
      <c r="AE39" s="91" t="s">
        <v>91</v>
      </c>
      <c r="AF39" s="92" t="s">
        <v>91</v>
      </c>
      <c r="AG39" s="93" t="str">
        <f t="shared" si="20"/>
        <v>OK</v>
      </c>
    </row>
    <row r="40" spans="1:33" x14ac:dyDescent="0.35">
      <c r="A40" s="70" t="s">
        <v>9</v>
      </c>
      <c r="B40" s="65">
        <f>IFERROR(INDEX(Data!$A$5:$K$301,MATCH('Forecast drivers'!$A40&amp;RIGHT(B$36,2),Data!$A$5:$A$301,0), MATCH($A$33, Data!$A$5:$K$5,0)),"")</f>
        <v>10465</v>
      </c>
      <c r="C40" s="65">
        <f>IFERROR(INDEX(Data!$A$5:$K$301,MATCH('Forecast drivers'!$A40&amp;RIGHT(C$36,2),Data!$A$5:$A$301,0), MATCH($A$33, Data!$A$5:$K$5,0)),"")</f>
        <v>6099</v>
      </c>
      <c r="D40" s="65">
        <f>IFERROR(INDEX(Data!$A$5:$K$301,MATCH('Forecast drivers'!$A40&amp;RIGHT(D$36,2),Data!$A$5:$A$301,0), MATCH($A$33, Data!$A$5:$K$5,0)),"")</f>
        <v>1235</v>
      </c>
      <c r="E40" s="65">
        <f>IFERROR(INDEX(Data!$A$5:$K$301,MATCH('Forecast drivers'!$A40&amp;RIGHT(E$36,2),Data!$A$5:$A$301,0), MATCH($A$33, Data!$A$5:$K$5,0)),"")</f>
        <v>1092</v>
      </c>
      <c r="F40" s="65">
        <f>IFERROR(INDEX(Data!$A$5:$K$301,MATCH('Forecast drivers'!$A40&amp;RIGHT(F$36,2),Data!$A$5:$A$301,0), MATCH($A$33, Data!$A$5:$K$5,0)),"")</f>
        <v>1272</v>
      </c>
      <c r="G40" s="65">
        <f>IFERROR(INDEX(Data!$A$5:$K$301,MATCH('Forecast drivers'!$A40&amp;RIGHT(G$36,2),Data!$A$5:$A$301,0), MATCH($A$33, Data!$A$5:$K$5,0)),"")</f>
        <v>1332</v>
      </c>
      <c r="H40" s="65">
        <f>IFERROR(INDEX(Data!$A$5:$K$301,MATCH('Forecast drivers'!$A40&amp;RIGHT(H$36,2),Data!$A$5:$A$301,0), MATCH($A$33, Data!$A$5:$K$5,0)),"")</f>
        <v>1110</v>
      </c>
      <c r="I40" s="66">
        <f>IFERROR(INDEX(Data!$A$5:$K$301,MATCH('Forecast drivers'!$A40&amp;RIGHT(I$36,2),Data!$A$5:$A$301,0), MATCH($A$33, Data!$A$5:$K$5,0)),"")</f>
        <v>1440</v>
      </c>
      <c r="J40" s="66">
        <f>IFERROR(INDEX(Data!$A$5:$K$301,MATCH('Forecast drivers'!$A40&amp;RIGHT(J$36,2),Data!$A$5:$A$301,0), MATCH($A$33, Data!$A$5:$K$5,0)),"")</f>
        <v>1440</v>
      </c>
      <c r="K40" s="66">
        <f>IFERROR(INDEX(Data!$A$5:$K$301,MATCH('Forecast drivers'!$A40&amp;RIGHT(K$36,2),Data!$A$5:$A$301,0), MATCH($A$33, Data!$A$5:$K$5,0)),"")</f>
        <v>1717</v>
      </c>
      <c r="L40" s="66">
        <f>IFERROR(INDEX(Data!$A$5:$K$301,MATCH('Forecast drivers'!$A40&amp;RIGHT(L$36,2),Data!$A$5:$A$301,0), MATCH($A$33, Data!$A$5:$K$5,0)),"")</f>
        <v>1895</v>
      </c>
      <c r="M40" s="66">
        <f>IFERROR(INDEX(Data!$A$5:$K$301,MATCH('Forecast drivers'!$A40&amp;RIGHT(M$36,2),Data!$A$5:$A$301,0), MATCH($A$33, Data!$A$5:$K$5,0)),"")</f>
        <v>1895</v>
      </c>
      <c r="N40" s="66">
        <f>IFERROR(INDEX(Data!$A$5:$K$301,MATCH('Forecast drivers'!$A40&amp;RIGHT(N$36,2),Data!$A$5:$A$301,0), MATCH($A$33, Data!$A$5:$K$5,0)),"")</f>
        <v>1895</v>
      </c>
      <c r="O40" s="66">
        <f>IFERROR(INDEX(Data!$A$5:$K$301,MATCH('Forecast drivers'!$A40&amp;RIGHT(O$36,2),Data!$A$5:$A$301,0), MATCH($A$33, Data!$A$5:$K$5,0)),"")</f>
        <v>1880</v>
      </c>
      <c r="P40" s="67">
        <f>IFERROR(INTERCEPT($B40:$H40,$B$37:$H$37)+SLOPE($B40:$H40,$B$37:$H$37)*P$37,"")</f>
        <v>-2136.7142857142862</v>
      </c>
      <c r="Q40" s="67">
        <f t="shared" ref="P40:V42" si="21">IFERROR(INTERCEPT($B40:$H40,$B$37:$H$37)+SLOPE($B40:$H40,$B$37:$H$37)*Q$37,"")</f>
        <v>-3478.2142857142862</v>
      </c>
      <c r="R40" s="67">
        <f t="shared" si="21"/>
        <v>-4819.7142857142862</v>
      </c>
      <c r="S40" s="67">
        <f t="shared" si="21"/>
        <v>-6161.2142857142862</v>
      </c>
      <c r="T40" s="67">
        <f t="shared" si="21"/>
        <v>-7502.7142857142862</v>
      </c>
      <c r="U40" s="67">
        <f t="shared" si="21"/>
        <v>-8844.2142857142862</v>
      </c>
      <c r="V40" s="67">
        <f t="shared" si="21"/>
        <v>-10185.714285714286</v>
      </c>
      <c r="W40" s="90">
        <f t="shared" si="13"/>
        <v>1440</v>
      </c>
      <c r="X40" s="90">
        <f t="shared" si="14"/>
        <v>1440</v>
      </c>
      <c r="Y40" s="90">
        <f t="shared" si="15"/>
        <v>1717</v>
      </c>
      <c r="Z40" s="90">
        <f t="shared" si="16"/>
        <v>1895</v>
      </c>
      <c r="AA40" s="90">
        <f t="shared" si="17"/>
        <v>1895</v>
      </c>
      <c r="AB40" s="90">
        <f t="shared" si="18"/>
        <v>1895</v>
      </c>
      <c r="AC40" s="90">
        <f t="shared" si="19"/>
        <v>1880</v>
      </c>
      <c r="AD40" s="84"/>
      <c r="AE40" s="91" t="s">
        <v>91</v>
      </c>
      <c r="AF40" s="92" t="s">
        <v>91</v>
      </c>
      <c r="AG40" s="93" t="str">
        <f t="shared" si="20"/>
        <v>OK</v>
      </c>
    </row>
    <row r="41" spans="1:33" x14ac:dyDescent="0.35">
      <c r="A41" s="70" t="s">
        <v>10</v>
      </c>
      <c r="B41" s="65">
        <f>IFERROR(INDEX(Data!$A$5:$K$301,MATCH('Forecast drivers'!$A41&amp;RIGHT(B$36,2),Data!$A$5:$A$301,0), MATCH($A$33, Data!$A$5:$K$5,0)),"")</f>
        <v>753</v>
      </c>
      <c r="C41" s="65">
        <f>IFERROR(INDEX(Data!$A$5:$K$301,MATCH('Forecast drivers'!$A41&amp;RIGHT(C$36,2),Data!$A$5:$A$301,0), MATCH($A$33, Data!$A$5:$K$5,0)),"")</f>
        <v>402</v>
      </c>
      <c r="D41" s="65">
        <f>IFERROR(INDEX(Data!$A$5:$K$301,MATCH('Forecast drivers'!$A41&amp;RIGHT(D$36,2),Data!$A$5:$A$301,0), MATCH($A$33, Data!$A$5:$K$5,0)),"")</f>
        <v>435</v>
      </c>
      <c r="E41" s="65">
        <f>IFERROR(INDEX(Data!$A$5:$K$301,MATCH('Forecast drivers'!$A41&amp;RIGHT(E$36,2),Data!$A$5:$A$301,0), MATCH($A$33, Data!$A$5:$K$5,0)),"")</f>
        <v>247</v>
      </c>
      <c r="F41" s="65">
        <f>IFERROR(INDEX(Data!$A$5:$K$301,MATCH('Forecast drivers'!$A41&amp;RIGHT(F$36,2),Data!$A$5:$A$301,0), MATCH($A$33, Data!$A$5:$K$5,0)),"")</f>
        <v>0</v>
      </c>
      <c r="G41" s="65">
        <f>IFERROR(INDEX(Data!$A$5:$K$301,MATCH('Forecast drivers'!$A41&amp;RIGHT(G$36,2),Data!$A$5:$A$301,0), MATCH($A$33, Data!$A$5:$K$5,0)),"")</f>
        <v>0</v>
      </c>
      <c r="H41" s="65">
        <f>IFERROR(INDEX(Data!$A$5:$K$301,MATCH('Forecast drivers'!$A41&amp;RIGHT(H$36,2),Data!$A$5:$A$301,0), MATCH($A$33, Data!$A$5:$K$5,0)),"")</f>
        <v>4992</v>
      </c>
      <c r="I41" s="66">
        <f>IFERROR(INDEX(Data!$A$5:$K$301,MATCH('Forecast drivers'!$A41&amp;RIGHT(I$36,2),Data!$A$5:$A$301,0), MATCH($A$33, Data!$A$5:$K$5,0)),"")</f>
        <v>4464</v>
      </c>
      <c r="J41" s="66">
        <f>IFERROR(INDEX(Data!$A$5:$K$301,MATCH('Forecast drivers'!$A41&amp;RIGHT(J$36,2),Data!$A$5:$A$301,0), MATCH($A$33, Data!$A$5:$K$5,0)),"")</f>
        <v>4464</v>
      </c>
      <c r="K41" s="66">
        <f>IFERROR(INDEX(Data!$A$5:$K$301,MATCH('Forecast drivers'!$A41&amp;RIGHT(K$36,2),Data!$A$5:$A$301,0), MATCH($A$33, Data!$A$5:$K$5,0)),"")</f>
        <v>4464</v>
      </c>
      <c r="L41" s="66">
        <f>IFERROR(INDEX(Data!$A$5:$K$301,MATCH('Forecast drivers'!$A41&amp;RIGHT(L$36,2),Data!$A$5:$A$301,0), MATCH($A$33, Data!$A$5:$K$5,0)),"")</f>
        <v>4964</v>
      </c>
      <c r="M41" s="66">
        <f>IFERROR(INDEX(Data!$A$5:$K$301,MATCH('Forecast drivers'!$A41&amp;RIGHT(M$36,2),Data!$A$5:$A$301,0), MATCH($A$33, Data!$A$5:$K$5,0)),"")</f>
        <v>5264</v>
      </c>
      <c r="N41" s="66">
        <f>IFERROR(INDEX(Data!$A$5:$K$301,MATCH('Forecast drivers'!$A41&amp;RIGHT(N$36,2),Data!$A$5:$A$301,0), MATCH($A$33, Data!$A$5:$K$5,0)),"")</f>
        <v>5214</v>
      </c>
      <c r="O41" s="66">
        <f>IFERROR(INDEX(Data!$A$5:$K$301,MATCH('Forecast drivers'!$A41&amp;RIGHT(O$36,2),Data!$A$5:$A$301,0), MATCH($A$33, Data!$A$5:$K$5,0)),"")</f>
        <v>5214</v>
      </c>
      <c r="P41" s="67">
        <f t="shared" si="21"/>
        <v>2615.2857142857142</v>
      </c>
      <c r="Q41" s="67">
        <f t="shared" si="21"/>
        <v>3025.2142857142858</v>
      </c>
      <c r="R41" s="67">
        <f t="shared" si="21"/>
        <v>3435.1428571428573</v>
      </c>
      <c r="S41" s="67">
        <f t="shared" si="21"/>
        <v>3845.0714285714289</v>
      </c>
      <c r="T41" s="67">
        <f t="shared" si="21"/>
        <v>4255</v>
      </c>
      <c r="U41" s="67">
        <f t="shared" si="21"/>
        <v>4664.9285714285716</v>
      </c>
      <c r="V41" s="67">
        <f t="shared" si="21"/>
        <v>5074.8571428571431</v>
      </c>
      <c r="W41" s="90">
        <f t="shared" si="13"/>
        <v>4464</v>
      </c>
      <c r="X41" s="90">
        <f t="shared" si="14"/>
        <v>4464</v>
      </c>
      <c r="Y41" s="90">
        <f t="shared" si="15"/>
        <v>4464</v>
      </c>
      <c r="Z41" s="90">
        <f t="shared" si="16"/>
        <v>4964</v>
      </c>
      <c r="AA41" s="90">
        <f t="shared" si="17"/>
        <v>5264</v>
      </c>
      <c r="AB41" s="90">
        <f t="shared" si="18"/>
        <v>5214</v>
      </c>
      <c r="AC41" s="90">
        <f t="shared" si="19"/>
        <v>5214</v>
      </c>
      <c r="AD41" s="84"/>
      <c r="AE41" s="91" t="s">
        <v>91</v>
      </c>
      <c r="AF41" s="92" t="s">
        <v>91</v>
      </c>
      <c r="AG41" s="93" t="str">
        <f t="shared" si="20"/>
        <v>OK</v>
      </c>
    </row>
    <row r="42" spans="1:33" x14ac:dyDescent="0.35">
      <c r="A42" s="70" t="s">
        <v>11</v>
      </c>
      <c r="B42" s="65">
        <f>IFERROR(INDEX(Data!$A$5:$K$301,MATCH('Forecast drivers'!$A42&amp;RIGHT(B$36,2),Data!$A$5:$A$301,0), MATCH($A$33, Data!$A$5:$K$5,0)),"")</f>
        <v>40</v>
      </c>
      <c r="C42" s="65">
        <f>IFERROR(INDEX(Data!$A$5:$K$301,MATCH('Forecast drivers'!$A42&amp;RIGHT(C$36,2),Data!$A$5:$A$301,0), MATCH($A$33, Data!$A$5:$K$5,0)),"")</f>
        <v>15</v>
      </c>
      <c r="D42" s="65">
        <f>IFERROR(INDEX(Data!$A$5:$K$301,MATCH('Forecast drivers'!$A42&amp;RIGHT(D$36,2),Data!$A$5:$A$301,0), MATCH($A$33, Data!$A$5:$K$5,0)),"")</f>
        <v>73</v>
      </c>
      <c r="E42" s="65">
        <f>IFERROR(INDEX(Data!$A$5:$K$301,MATCH('Forecast drivers'!$A42&amp;RIGHT(E$36,2),Data!$A$5:$A$301,0), MATCH($A$33, Data!$A$5:$K$5,0)),"")</f>
        <v>37</v>
      </c>
      <c r="F42" s="65">
        <f>IFERROR(INDEX(Data!$A$5:$K$301,MATCH('Forecast drivers'!$A42&amp;RIGHT(F$36,2),Data!$A$5:$A$301,0), MATCH($A$33, Data!$A$5:$K$5,0)),"")</f>
        <v>36</v>
      </c>
      <c r="G42" s="65">
        <f>IFERROR(INDEX(Data!$A$5:$K$301,MATCH('Forecast drivers'!$A42&amp;RIGHT(G$36,2),Data!$A$5:$A$301,0), MATCH($A$33, Data!$A$5:$K$5,0)),"")</f>
        <v>83</v>
      </c>
      <c r="H42" s="65">
        <f>IFERROR(INDEX(Data!$A$5:$K$301,MATCH('Forecast drivers'!$A42&amp;RIGHT(H$36,2),Data!$A$5:$A$301,0), MATCH($A$33, Data!$A$5:$K$5,0)),"")</f>
        <v>41</v>
      </c>
      <c r="I42" s="66">
        <f>IFERROR(INDEX(Data!$A$5:$K$301,MATCH('Forecast drivers'!$A42&amp;RIGHT(I$36,2),Data!$A$5:$A$301,0), MATCH($A$33, Data!$A$5:$K$5,0)),"")</f>
        <v>47</v>
      </c>
      <c r="J42" s="66">
        <f>IFERROR(INDEX(Data!$A$5:$K$301,MATCH('Forecast drivers'!$A42&amp;RIGHT(J$36,2),Data!$A$5:$A$301,0), MATCH($A$33, Data!$A$5:$K$5,0)),"")</f>
        <v>47</v>
      </c>
      <c r="K42" s="66">
        <f>IFERROR(INDEX(Data!$A$5:$K$301,MATCH('Forecast drivers'!$A42&amp;RIGHT(K$36,2),Data!$A$5:$A$301,0), MATCH($A$33, Data!$A$5:$K$5,0)),"")</f>
        <v>4655</v>
      </c>
      <c r="L42" s="66">
        <f>IFERROR(INDEX(Data!$A$5:$K$301,MATCH('Forecast drivers'!$A42&amp;RIGHT(L$36,2),Data!$A$5:$A$301,0), MATCH($A$33, Data!$A$5:$K$5,0)),"")</f>
        <v>7768</v>
      </c>
      <c r="M42" s="66">
        <f>IFERROR(INDEX(Data!$A$5:$K$301,MATCH('Forecast drivers'!$A42&amp;RIGHT(M$36,2),Data!$A$5:$A$301,0), MATCH($A$33, Data!$A$5:$K$5,0)),"")</f>
        <v>7413</v>
      </c>
      <c r="N42" s="66">
        <f>IFERROR(INDEX(Data!$A$5:$K$301,MATCH('Forecast drivers'!$A42&amp;RIGHT(N$36,2),Data!$A$5:$A$301,0), MATCH($A$33, Data!$A$5:$K$5,0)),"")</f>
        <v>4338</v>
      </c>
      <c r="O42" s="66">
        <f>IFERROR(INDEX(Data!$A$5:$K$301,MATCH('Forecast drivers'!$A42&amp;RIGHT(O$36,2),Data!$A$5:$A$301,0), MATCH($A$33, Data!$A$5:$K$5,0)),"")</f>
        <v>3745</v>
      </c>
      <c r="P42" s="67">
        <f t="shared" si="21"/>
        <v>61</v>
      </c>
      <c r="Q42" s="67">
        <f t="shared" si="21"/>
        <v>64.642857142857139</v>
      </c>
      <c r="R42" s="67">
        <f t="shared" si="21"/>
        <v>68.285714285714292</v>
      </c>
      <c r="S42" s="67">
        <f t="shared" si="21"/>
        <v>71.928571428571431</v>
      </c>
      <c r="T42" s="67">
        <f t="shared" si="21"/>
        <v>75.571428571428584</v>
      </c>
      <c r="U42" s="67">
        <f t="shared" si="21"/>
        <v>79.214285714285722</v>
      </c>
      <c r="V42" s="67">
        <f t="shared" si="21"/>
        <v>82.857142857142861</v>
      </c>
      <c r="W42" s="90">
        <f t="shared" si="13"/>
        <v>47</v>
      </c>
      <c r="X42" s="90">
        <f t="shared" si="14"/>
        <v>47</v>
      </c>
      <c r="Y42" s="90">
        <f t="shared" si="15"/>
        <v>4655</v>
      </c>
      <c r="Z42" s="90">
        <f t="shared" si="16"/>
        <v>7768</v>
      </c>
      <c r="AA42" s="90">
        <f t="shared" si="17"/>
        <v>7413</v>
      </c>
      <c r="AB42" s="90">
        <f t="shared" si="18"/>
        <v>4338</v>
      </c>
      <c r="AC42" s="90">
        <f t="shared" si="19"/>
        <v>3745</v>
      </c>
      <c r="AD42" s="84"/>
      <c r="AE42" s="91" t="s">
        <v>91</v>
      </c>
      <c r="AF42" s="92" t="s">
        <v>91</v>
      </c>
      <c r="AG42" s="93" t="str">
        <f t="shared" si="20"/>
        <v>OK</v>
      </c>
    </row>
    <row r="43" spans="1:33" x14ac:dyDescent="0.35">
      <c r="A43" s="70" t="s">
        <v>27</v>
      </c>
      <c r="B43" s="68"/>
      <c r="C43" s="68"/>
      <c r="D43" s="68"/>
      <c r="E43" s="68"/>
      <c r="F43" s="68"/>
      <c r="G43" s="68"/>
      <c r="H43" s="65">
        <f>IFERROR(INDEX(Data!$A$5:$K$301,MATCH('Forecast drivers'!$A43&amp;RIGHT(H$36,2),Data!$A$5:$A$301,0), MATCH($A$33, Data!$A$5:$K$5,0)),"")</f>
        <v>924</v>
      </c>
      <c r="I43" s="66">
        <f>IFERROR(INDEX(Data!$A$5:$K$301,MATCH('Forecast drivers'!$A43&amp;RIGHT(I$36,2),Data!$A$5:$A$301,0), MATCH($A$33, Data!$A$5:$K$5,0)),"")</f>
        <v>1109</v>
      </c>
      <c r="J43" s="66">
        <f>IFERROR(INDEX(Data!$A$5:$K$301,MATCH('Forecast drivers'!$A43&amp;RIGHT(J$36,2),Data!$A$5:$A$301,0), MATCH($A$33, Data!$A$5:$K$5,0)),"")</f>
        <v>709</v>
      </c>
      <c r="K43" s="66">
        <f>IFERROR(INDEX(Data!$A$5:$K$301,MATCH('Forecast drivers'!$A43&amp;RIGHT(K$36,2),Data!$A$5:$A$301,0), MATCH($A$33, Data!$A$5:$K$5,0)),"")</f>
        <v>796</v>
      </c>
      <c r="L43" s="66">
        <f>IFERROR(INDEX(Data!$A$5:$K$301,MATCH('Forecast drivers'!$A43&amp;RIGHT(L$36,2),Data!$A$5:$A$301,0), MATCH($A$33, Data!$A$5:$K$5,0)),"")</f>
        <v>796</v>
      </c>
      <c r="M43" s="66">
        <f>IFERROR(INDEX(Data!$A$5:$K$301,MATCH('Forecast drivers'!$A43&amp;RIGHT(M$36,2),Data!$A$5:$A$301,0), MATCH($A$33, Data!$A$5:$K$5,0)),"")</f>
        <v>796</v>
      </c>
      <c r="N43" s="66">
        <f>IFERROR(INDEX(Data!$A$5:$K$301,MATCH('Forecast drivers'!$A43&amp;RIGHT(N$36,2),Data!$A$5:$A$301,0), MATCH($A$33, Data!$A$5:$K$5,0)),"")</f>
        <v>796</v>
      </c>
      <c r="O43" s="66">
        <f>IFERROR(INDEX(Data!$A$5:$K$301,MATCH('Forecast drivers'!$A43&amp;RIGHT(O$36,2),Data!$A$5:$A$301,0), MATCH($A$33, Data!$A$5:$K$5,0)),"")</f>
        <v>796</v>
      </c>
      <c r="P43" s="69"/>
      <c r="Q43" s="69"/>
      <c r="R43" s="69"/>
      <c r="S43" s="69"/>
      <c r="T43" s="69"/>
      <c r="U43" s="69"/>
      <c r="V43" s="69"/>
      <c r="W43" s="90">
        <f t="shared" si="13"/>
        <v>709</v>
      </c>
      <c r="X43" s="90">
        <f t="shared" si="14"/>
        <v>709</v>
      </c>
      <c r="Y43" s="90">
        <f t="shared" si="15"/>
        <v>796</v>
      </c>
      <c r="Z43" s="90">
        <f t="shared" si="16"/>
        <v>796</v>
      </c>
      <c r="AA43" s="90">
        <f t="shared" si="17"/>
        <v>796</v>
      </c>
      <c r="AB43" s="90">
        <f t="shared" si="18"/>
        <v>796</v>
      </c>
      <c r="AC43" s="90">
        <f t="shared" si="19"/>
        <v>796</v>
      </c>
      <c r="AD43" s="84"/>
      <c r="AE43" s="91" t="s">
        <v>91</v>
      </c>
      <c r="AF43" s="92" t="s">
        <v>91</v>
      </c>
      <c r="AG43" s="93" t="str">
        <f t="shared" si="20"/>
        <v>OK</v>
      </c>
    </row>
    <row r="44" spans="1:33" x14ac:dyDescent="0.35">
      <c r="A44" s="70" t="s">
        <v>12</v>
      </c>
      <c r="B44" s="65">
        <f>IFERROR(INDEX(Data!$A$5:$K$301,MATCH('Forecast drivers'!$A44&amp;RIGHT(B$36,2),Data!$A$5:$A$301,0), MATCH($A$33, Data!$A$5:$K$5,0)),"")</f>
        <v>735</v>
      </c>
      <c r="C44" s="65">
        <f>IFERROR(INDEX(Data!$A$5:$K$301,MATCH('Forecast drivers'!$A44&amp;RIGHT(C$36,2),Data!$A$5:$A$301,0), MATCH($A$33, Data!$A$5:$K$5,0)),"")</f>
        <v>794</v>
      </c>
      <c r="D44" s="65">
        <f>IFERROR(INDEX(Data!$A$5:$K$301,MATCH('Forecast drivers'!$A44&amp;RIGHT(D$36,2),Data!$A$5:$A$301,0), MATCH($A$33, Data!$A$5:$K$5,0)),"")</f>
        <v>1623</v>
      </c>
      <c r="E44" s="65">
        <f>IFERROR(INDEX(Data!$A$5:$K$301,MATCH('Forecast drivers'!$A44&amp;RIGHT(E$36,2),Data!$A$5:$A$301,0), MATCH($A$33, Data!$A$5:$K$5,0)),"")</f>
        <v>2228</v>
      </c>
      <c r="F44" s="65">
        <f>IFERROR(INDEX(Data!$A$5:$K$301,MATCH('Forecast drivers'!$A44&amp;RIGHT(F$36,2),Data!$A$5:$A$301,0), MATCH($A$33, Data!$A$5:$K$5,0)),"")</f>
        <v>819</v>
      </c>
      <c r="G44" s="65">
        <f>IFERROR(INDEX(Data!$A$5:$K$301,MATCH('Forecast drivers'!$A44&amp;RIGHT(G$36,2),Data!$A$5:$A$301,0), MATCH($A$33, Data!$A$5:$K$5,0)),"")</f>
        <v>1078</v>
      </c>
      <c r="H44" s="65">
        <f>IFERROR(INDEX(Data!$A$5:$K$301,MATCH('Forecast drivers'!$A44&amp;RIGHT(H$36,2),Data!$A$5:$A$301,0), MATCH($A$33, Data!$A$5:$K$5,0)),"")</f>
        <v>887</v>
      </c>
      <c r="I44" s="69"/>
      <c r="J44" s="69"/>
      <c r="K44" s="69"/>
      <c r="L44" s="69"/>
      <c r="M44" s="69"/>
      <c r="N44" s="69"/>
      <c r="O44" s="69"/>
      <c r="P44" s="67">
        <f t="shared" ref="P44:V56" si="22">IFERROR(INTERCEPT($B44:$H44,$B$37:$H$37)+SLOPE($B44:$H44,$B$37:$H$37)*P$37,"")</f>
        <v>1197.7142857142858</v>
      </c>
      <c r="Q44" s="67">
        <f t="shared" si="22"/>
        <v>1205.5714285714287</v>
      </c>
      <c r="R44" s="67">
        <f t="shared" si="22"/>
        <v>1213.4285714285716</v>
      </c>
      <c r="S44" s="67">
        <f t="shared" si="22"/>
        <v>1221.2857142857142</v>
      </c>
      <c r="T44" s="67">
        <f t="shared" si="22"/>
        <v>1229.1428571428571</v>
      </c>
      <c r="U44" s="67">
        <f t="shared" si="22"/>
        <v>1237</v>
      </c>
      <c r="V44" s="67">
        <f t="shared" si="22"/>
        <v>1244.8571428571429</v>
      </c>
      <c r="W44" s="90">
        <f t="shared" si="13"/>
        <v>0</v>
      </c>
      <c r="X44" s="90">
        <f t="shared" si="14"/>
        <v>0</v>
      </c>
      <c r="Y44" s="90">
        <f t="shared" si="15"/>
        <v>0</v>
      </c>
      <c r="Z44" s="90">
        <f t="shared" si="16"/>
        <v>0</v>
      </c>
      <c r="AA44" s="90">
        <f t="shared" si="17"/>
        <v>0</v>
      </c>
      <c r="AB44" s="90">
        <f t="shared" si="18"/>
        <v>0</v>
      </c>
      <c r="AC44" s="90">
        <f t="shared" si="19"/>
        <v>0</v>
      </c>
      <c r="AD44" s="84"/>
      <c r="AE44" s="91" t="s">
        <v>91</v>
      </c>
      <c r="AF44" s="92" t="s">
        <v>91</v>
      </c>
      <c r="AG44" s="93" t="str">
        <f t="shared" si="20"/>
        <v>OK</v>
      </c>
    </row>
    <row r="45" spans="1:33" x14ac:dyDescent="0.35">
      <c r="A45" s="70" t="s">
        <v>14</v>
      </c>
      <c r="B45" s="65">
        <f>IFERROR(INDEX(Data!$A$5:$K$301,MATCH('Forecast drivers'!$A45&amp;RIGHT(B$36,2),Data!$A$5:$A$301,0), MATCH($A$33, Data!$A$5:$K$5,0)),"")</f>
        <v>0</v>
      </c>
      <c r="C45" s="65">
        <f>IFERROR(INDEX(Data!$A$5:$K$301,MATCH('Forecast drivers'!$A45&amp;RIGHT(C$36,2),Data!$A$5:$A$301,0), MATCH($A$33, Data!$A$5:$K$5,0)),"")</f>
        <v>76</v>
      </c>
      <c r="D45" s="65">
        <f>IFERROR(INDEX(Data!$A$5:$K$301,MATCH('Forecast drivers'!$A45&amp;RIGHT(D$36,2),Data!$A$5:$A$301,0), MATCH($A$33, Data!$A$5:$K$5,0)),"")</f>
        <v>11</v>
      </c>
      <c r="E45" s="65">
        <f>IFERROR(INDEX(Data!$A$5:$K$301,MATCH('Forecast drivers'!$A45&amp;RIGHT(E$36,2),Data!$A$5:$A$301,0), MATCH($A$33, Data!$A$5:$K$5,0)),"")</f>
        <v>31</v>
      </c>
      <c r="F45" s="65">
        <f>IFERROR(INDEX(Data!$A$5:$K$301,MATCH('Forecast drivers'!$A45&amp;RIGHT(F$36,2),Data!$A$5:$A$301,0), MATCH($A$33, Data!$A$5:$K$5,0)),"")</f>
        <v>150</v>
      </c>
      <c r="G45" s="65" t="str">
        <f>IFERROR(INDEX(Data!$A$5:$K$301,MATCH('Forecast drivers'!$A45&amp;RIGHT(G$36,2),Data!$A$5:$A$301,0), MATCH($A$33, Data!$A$5:$K$5,0)),"")</f>
        <v/>
      </c>
      <c r="H45" s="65">
        <f>IFERROR(INDEX(Data!$A$5:$K$301,MATCH('Forecast drivers'!$A45&amp;RIGHT(H$36,2),Data!$A$5:$A$301,0), MATCH($A$33, Data!$A$5:$K$5,0)),"")</f>
        <v>189</v>
      </c>
      <c r="I45" s="66">
        <f>IFERROR(INDEX(Data!$A$5:$K$301,MATCH('Forecast drivers'!$A45&amp;RIGHT(I$36,2),Data!$A$5:$A$301,0), MATCH($A$33, Data!$A$5:$K$5,0)),"")</f>
        <v>150</v>
      </c>
      <c r="J45" s="66">
        <f>IFERROR(INDEX(Data!$A$5:$K$301,MATCH('Forecast drivers'!$A45&amp;RIGHT(J$36,2),Data!$A$5:$A$301,0), MATCH($A$33, Data!$A$5:$K$5,0)),"")</f>
        <v>150</v>
      </c>
      <c r="K45" s="66">
        <f>IFERROR(INDEX(Data!$A$5:$K$301,MATCH('Forecast drivers'!$A45&amp;RIGHT(K$36,2),Data!$A$5:$A$301,0), MATCH($A$33, Data!$A$5:$K$5,0)),"")</f>
        <v>500</v>
      </c>
      <c r="L45" s="66">
        <f>IFERROR(INDEX(Data!$A$5:$K$301,MATCH('Forecast drivers'!$A45&amp;RIGHT(L$36,2),Data!$A$5:$A$301,0), MATCH($A$33, Data!$A$5:$K$5,0)),"")</f>
        <v>500</v>
      </c>
      <c r="M45" s="66">
        <f>IFERROR(INDEX(Data!$A$5:$K$301,MATCH('Forecast drivers'!$A45&amp;RIGHT(M$36,2),Data!$A$5:$A$301,0), MATCH($A$33, Data!$A$5:$K$5,0)),"")</f>
        <v>500</v>
      </c>
      <c r="N45" s="66">
        <f>IFERROR(INDEX(Data!$A$5:$K$301,MATCH('Forecast drivers'!$A45&amp;RIGHT(N$36,2),Data!$A$5:$A$301,0), MATCH($A$33, Data!$A$5:$K$5,0)),"")</f>
        <v>500</v>
      </c>
      <c r="O45" s="66">
        <f>IFERROR(INDEX(Data!$A$5:$K$301,MATCH('Forecast drivers'!$A45&amp;RIGHT(O$36,2),Data!$A$5:$A$301,0), MATCH($A$33, Data!$A$5:$K$5,0)),"")</f>
        <v>500</v>
      </c>
      <c r="P45" s="67">
        <f t="shared" si="22"/>
        <v>207.34285714285713</v>
      </c>
      <c r="Q45" s="67">
        <f t="shared" si="22"/>
        <v>237.61428571428567</v>
      </c>
      <c r="R45" s="67">
        <f t="shared" si="22"/>
        <v>267.88571428571424</v>
      </c>
      <c r="S45" s="67">
        <f t="shared" si="22"/>
        <v>298.15714285714284</v>
      </c>
      <c r="T45" s="67">
        <f t="shared" si="22"/>
        <v>328.42857142857133</v>
      </c>
      <c r="U45" s="67">
        <f t="shared" si="22"/>
        <v>358.69999999999993</v>
      </c>
      <c r="V45" s="67">
        <f t="shared" si="22"/>
        <v>388.97142857142853</v>
      </c>
      <c r="W45" s="90">
        <f t="shared" si="13"/>
        <v>150</v>
      </c>
      <c r="X45" s="90">
        <f t="shared" si="14"/>
        <v>150</v>
      </c>
      <c r="Y45" s="90">
        <f t="shared" si="15"/>
        <v>500</v>
      </c>
      <c r="Z45" s="90">
        <f t="shared" si="16"/>
        <v>500</v>
      </c>
      <c r="AA45" s="90">
        <f t="shared" si="17"/>
        <v>500</v>
      </c>
      <c r="AB45" s="90">
        <f t="shared" si="18"/>
        <v>500</v>
      </c>
      <c r="AC45" s="90">
        <f t="shared" si="19"/>
        <v>500</v>
      </c>
      <c r="AD45" s="84"/>
      <c r="AE45" s="91" t="s">
        <v>91</v>
      </c>
      <c r="AF45" s="92" t="s">
        <v>91</v>
      </c>
      <c r="AG45" s="93" t="str">
        <f t="shared" si="20"/>
        <v>OK</v>
      </c>
    </row>
    <row r="46" spans="1:33" x14ac:dyDescent="0.35">
      <c r="A46" s="70" t="s">
        <v>15</v>
      </c>
      <c r="B46" s="65">
        <f>IFERROR(INDEX(Data!$A$5:$K$301,MATCH('Forecast drivers'!$A46&amp;RIGHT(B$36,2),Data!$A$5:$A$301,0), MATCH($A$33, Data!$A$5:$K$5,0)),"")</f>
        <v>9023</v>
      </c>
      <c r="C46" s="65">
        <f>IFERROR(INDEX(Data!$A$5:$K$301,MATCH('Forecast drivers'!$A46&amp;RIGHT(C$36,2),Data!$A$5:$A$301,0), MATCH($A$33, Data!$A$5:$K$5,0)),"")</f>
        <v>8134</v>
      </c>
      <c r="D46" s="65">
        <f>IFERROR(INDEX(Data!$A$5:$K$301,MATCH('Forecast drivers'!$A46&amp;RIGHT(D$36,2),Data!$A$5:$A$301,0), MATCH($A$33, Data!$A$5:$K$5,0)),"")</f>
        <v>10436</v>
      </c>
      <c r="E46" s="65">
        <f>IFERROR(INDEX(Data!$A$5:$K$301,MATCH('Forecast drivers'!$A46&amp;RIGHT(E$36,2),Data!$A$5:$A$301,0), MATCH($A$33, Data!$A$5:$K$5,0)),"")</f>
        <v>4556</v>
      </c>
      <c r="F46" s="65">
        <f>IFERROR(INDEX(Data!$A$5:$K$301,MATCH('Forecast drivers'!$A46&amp;RIGHT(F$36,2),Data!$A$5:$A$301,0), MATCH($A$33, Data!$A$5:$K$5,0)),"")</f>
        <v>263</v>
      </c>
      <c r="G46" s="65">
        <f>IFERROR(INDEX(Data!$A$5:$K$301,MATCH('Forecast drivers'!$A46&amp;RIGHT(G$36,2),Data!$A$5:$A$301,0), MATCH($A$33, Data!$A$5:$K$5,0)),"")</f>
        <v>1483</v>
      </c>
      <c r="H46" s="65">
        <f>IFERROR(INDEX(Data!$A$5:$K$301,MATCH('Forecast drivers'!$A46&amp;RIGHT(H$36,2),Data!$A$5:$A$301,0), MATCH($A$33, Data!$A$5:$K$5,0)),"")</f>
        <v>7591</v>
      </c>
      <c r="I46" s="66">
        <f>IFERROR(INDEX(Data!$A$5:$K$301,MATCH('Forecast drivers'!$A46&amp;RIGHT(I$36,2),Data!$A$5:$A$301,0), MATCH($A$33, Data!$A$5:$K$5,0)),"")</f>
        <v>13581</v>
      </c>
      <c r="J46" s="66">
        <f>IFERROR(INDEX(Data!$A$5:$K$301,MATCH('Forecast drivers'!$A46&amp;RIGHT(J$36,2),Data!$A$5:$A$301,0), MATCH($A$33, Data!$A$5:$K$5,0)),"")</f>
        <v>13582</v>
      </c>
      <c r="K46" s="66">
        <f>IFERROR(INDEX(Data!$A$5:$K$301,MATCH('Forecast drivers'!$A46&amp;RIGHT(K$36,2),Data!$A$5:$A$301,0), MATCH($A$33, Data!$A$5:$K$5,0)),"")</f>
        <v>10767</v>
      </c>
      <c r="L46" s="66">
        <f>IFERROR(INDEX(Data!$A$5:$K$301,MATCH('Forecast drivers'!$A46&amp;RIGHT(L$36,2),Data!$A$5:$A$301,0), MATCH($A$33, Data!$A$5:$K$5,0)),"")</f>
        <v>10767</v>
      </c>
      <c r="M46" s="66">
        <f>IFERROR(INDEX(Data!$A$5:$K$301,MATCH('Forecast drivers'!$A46&amp;RIGHT(M$36,2),Data!$A$5:$A$301,0), MATCH($A$33, Data!$A$5:$K$5,0)),"")</f>
        <v>10767</v>
      </c>
      <c r="N46" s="66">
        <f>IFERROR(INDEX(Data!$A$5:$K$301,MATCH('Forecast drivers'!$A46&amp;RIGHT(N$36,2),Data!$A$5:$A$301,0), MATCH($A$33, Data!$A$5:$K$5,0)),"")</f>
        <v>10768</v>
      </c>
      <c r="O46" s="66">
        <f>IFERROR(INDEX(Data!$A$5:$K$301,MATCH('Forecast drivers'!$A46&amp;RIGHT(O$36,2),Data!$A$5:$A$301,0), MATCH($A$33, Data!$A$5:$K$5,0)),"")</f>
        <v>10768</v>
      </c>
      <c r="P46" s="67">
        <f t="shared" si="22"/>
        <v>1959.2857142857138</v>
      </c>
      <c r="Q46" s="67">
        <f t="shared" si="22"/>
        <v>967.46428571428623</v>
      </c>
      <c r="R46" s="67">
        <f t="shared" si="22"/>
        <v>-24.357142857143117</v>
      </c>
      <c r="S46" s="67">
        <f t="shared" si="22"/>
        <v>-1016.1785714285725</v>
      </c>
      <c r="T46" s="67">
        <f t="shared" si="22"/>
        <v>-2008</v>
      </c>
      <c r="U46" s="67">
        <f t="shared" si="22"/>
        <v>-2999.8214285714275</v>
      </c>
      <c r="V46" s="67">
        <f t="shared" si="22"/>
        <v>-3991.6428571428569</v>
      </c>
      <c r="W46" s="90">
        <f t="shared" si="13"/>
        <v>13582</v>
      </c>
      <c r="X46" s="90">
        <f t="shared" si="14"/>
        <v>13582</v>
      </c>
      <c r="Y46" s="90">
        <f t="shared" si="15"/>
        <v>10767</v>
      </c>
      <c r="Z46" s="90">
        <f t="shared" si="16"/>
        <v>10767</v>
      </c>
      <c r="AA46" s="90">
        <f t="shared" si="17"/>
        <v>10767</v>
      </c>
      <c r="AB46" s="90">
        <f t="shared" si="18"/>
        <v>10768</v>
      </c>
      <c r="AC46" s="90">
        <f t="shared" si="19"/>
        <v>10768</v>
      </c>
      <c r="AD46" s="84"/>
      <c r="AE46" s="91" t="s">
        <v>91</v>
      </c>
      <c r="AF46" s="92" t="s">
        <v>91</v>
      </c>
      <c r="AG46" s="93" t="str">
        <f t="shared" si="20"/>
        <v>OK</v>
      </c>
    </row>
    <row r="47" spans="1:33" x14ac:dyDescent="0.35">
      <c r="A47" s="70" t="s">
        <v>16</v>
      </c>
      <c r="B47" s="65">
        <f>IFERROR(INDEX(Data!$A$5:$K$301,MATCH('Forecast drivers'!$A47&amp;RIGHT(B$36,2),Data!$A$5:$A$301,0), MATCH($A$33, Data!$A$5:$K$5,0)),"")</f>
        <v>0</v>
      </c>
      <c r="C47" s="65">
        <f>IFERROR(INDEX(Data!$A$5:$K$301,MATCH('Forecast drivers'!$A47&amp;RIGHT(C$36,2),Data!$A$5:$A$301,0), MATCH($A$33, Data!$A$5:$K$5,0)),"")</f>
        <v>0</v>
      </c>
      <c r="D47" s="65">
        <f>IFERROR(INDEX(Data!$A$5:$K$301,MATCH('Forecast drivers'!$A47&amp;RIGHT(D$36,2),Data!$A$5:$A$301,0), MATCH($A$33, Data!$A$5:$K$5,0)),"")</f>
        <v>0</v>
      </c>
      <c r="E47" s="65">
        <f>IFERROR(INDEX(Data!$A$5:$K$301,MATCH('Forecast drivers'!$A47&amp;RIGHT(E$36,2),Data!$A$5:$A$301,0), MATCH($A$33, Data!$A$5:$K$5,0)),"")</f>
        <v>0</v>
      </c>
      <c r="F47" s="65">
        <f>IFERROR(INDEX(Data!$A$5:$K$301,MATCH('Forecast drivers'!$A47&amp;RIGHT(F$36,2),Data!$A$5:$A$301,0), MATCH($A$33, Data!$A$5:$K$5,0)),"")</f>
        <v>0</v>
      </c>
      <c r="G47" s="65">
        <f>IFERROR(INDEX(Data!$A$5:$K$301,MATCH('Forecast drivers'!$A47&amp;RIGHT(G$36,2),Data!$A$5:$A$301,0), MATCH($A$33, Data!$A$5:$K$5,0)),"")</f>
        <v>0</v>
      </c>
      <c r="H47" s="65">
        <f>IFERROR(INDEX(Data!$A$5:$K$301,MATCH('Forecast drivers'!$A47&amp;RIGHT(H$36,2),Data!$A$5:$A$301,0), MATCH($A$33, Data!$A$5:$K$5,0)),"")</f>
        <v>28</v>
      </c>
      <c r="I47" s="66">
        <f>IFERROR(INDEX(Data!$A$5:$K$301,MATCH('Forecast drivers'!$A47&amp;RIGHT(I$36,2),Data!$A$5:$A$301,0), MATCH($A$33, Data!$A$5:$K$5,0)),"")</f>
        <v>0</v>
      </c>
      <c r="J47" s="66">
        <f>IFERROR(INDEX(Data!$A$5:$K$301,MATCH('Forecast drivers'!$A47&amp;RIGHT(J$36,2),Data!$A$5:$A$301,0), MATCH($A$33, Data!$A$5:$K$5,0)),"")</f>
        <v>0</v>
      </c>
      <c r="K47" s="66">
        <f>IFERROR(INDEX(Data!$A$5:$K$301,MATCH('Forecast drivers'!$A47&amp;RIGHT(K$36,2),Data!$A$5:$A$301,0), MATCH($A$33, Data!$A$5:$K$5,0)),"")</f>
        <v>0</v>
      </c>
      <c r="L47" s="66">
        <f>IFERROR(INDEX(Data!$A$5:$K$301,MATCH('Forecast drivers'!$A47&amp;RIGHT(L$36,2),Data!$A$5:$A$301,0), MATCH($A$33, Data!$A$5:$K$5,0)),"")</f>
        <v>0</v>
      </c>
      <c r="M47" s="66">
        <f>IFERROR(INDEX(Data!$A$5:$K$301,MATCH('Forecast drivers'!$A47&amp;RIGHT(M$36,2),Data!$A$5:$A$301,0), MATCH($A$33, Data!$A$5:$K$5,0)),"")</f>
        <v>0</v>
      </c>
      <c r="N47" s="66">
        <f>IFERROR(INDEX(Data!$A$5:$K$301,MATCH('Forecast drivers'!$A47&amp;RIGHT(N$36,2),Data!$A$5:$A$301,0), MATCH($A$33, Data!$A$5:$K$5,0)),"")</f>
        <v>0</v>
      </c>
      <c r="O47" s="66">
        <f>IFERROR(INDEX(Data!$A$5:$K$301,MATCH('Forecast drivers'!$A47&amp;RIGHT(O$36,2),Data!$A$5:$A$301,0), MATCH($A$33, Data!$A$5:$K$5,0)),"")</f>
        <v>0</v>
      </c>
      <c r="P47" s="67">
        <f t="shared" si="22"/>
        <v>16</v>
      </c>
      <c r="Q47" s="67">
        <f t="shared" si="22"/>
        <v>19</v>
      </c>
      <c r="R47" s="67">
        <f t="shared" si="22"/>
        <v>22</v>
      </c>
      <c r="S47" s="67">
        <f t="shared" si="22"/>
        <v>25</v>
      </c>
      <c r="T47" s="67">
        <f t="shared" si="22"/>
        <v>28</v>
      </c>
      <c r="U47" s="67">
        <f t="shared" si="22"/>
        <v>31</v>
      </c>
      <c r="V47" s="67">
        <f t="shared" si="22"/>
        <v>34</v>
      </c>
      <c r="W47" s="90">
        <f t="shared" si="13"/>
        <v>0</v>
      </c>
      <c r="X47" s="90">
        <f t="shared" si="14"/>
        <v>0</v>
      </c>
      <c r="Y47" s="90">
        <f t="shared" si="15"/>
        <v>0</v>
      </c>
      <c r="Z47" s="90">
        <f t="shared" si="16"/>
        <v>0</v>
      </c>
      <c r="AA47" s="90">
        <f t="shared" si="17"/>
        <v>0</v>
      </c>
      <c r="AB47" s="90">
        <f t="shared" si="18"/>
        <v>0</v>
      </c>
      <c r="AC47" s="90">
        <f t="shared" si="19"/>
        <v>0</v>
      </c>
      <c r="AD47" s="84"/>
      <c r="AE47" s="91" t="s">
        <v>91</v>
      </c>
      <c r="AF47" s="92" t="s">
        <v>91</v>
      </c>
      <c r="AG47" s="93" t="str">
        <f t="shared" si="20"/>
        <v>OK</v>
      </c>
    </row>
    <row r="48" spans="1:33" x14ac:dyDescent="0.35">
      <c r="A48" s="70" t="s">
        <v>17</v>
      </c>
      <c r="B48" s="65">
        <f>IFERROR(INDEX(Data!$A$5:$K$301,MATCH('Forecast drivers'!$A48&amp;RIGHT(B$36,2),Data!$A$5:$A$301,0), MATCH($A$33, Data!$A$5:$K$5,0)),"")</f>
        <v>63</v>
      </c>
      <c r="C48" s="65">
        <f>IFERROR(INDEX(Data!$A$5:$K$301,MATCH('Forecast drivers'!$A48&amp;RIGHT(C$36,2),Data!$A$5:$A$301,0), MATCH($A$33, Data!$A$5:$K$5,0)),"")</f>
        <v>53</v>
      </c>
      <c r="D48" s="65">
        <f>IFERROR(INDEX(Data!$A$5:$K$301,MATCH('Forecast drivers'!$A48&amp;RIGHT(D$36,2),Data!$A$5:$A$301,0), MATCH($A$33, Data!$A$5:$K$5,0)),"")</f>
        <v>353</v>
      </c>
      <c r="E48" s="65">
        <f>IFERROR(INDEX(Data!$A$5:$K$301,MATCH('Forecast drivers'!$A48&amp;RIGHT(E$36,2),Data!$A$5:$A$301,0), MATCH($A$33, Data!$A$5:$K$5,0)),"")</f>
        <v>189</v>
      </c>
      <c r="F48" s="65">
        <f>IFERROR(INDEX(Data!$A$5:$K$301,MATCH('Forecast drivers'!$A48&amp;RIGHT(F$36,2),Data!$A$5:$A$301,0), MATCH($A$33, Data!$A$5:$K$5,0)),"")</f>
        <v>196</v>
      </c>
      <c r="G48" s="65">
        <f>IFERROR(INDEX(Data!$A$5:$K$301,MATCH('Forecast drivers'!$A48&amp;RIGHT(G$36,2),Data!$A$5:$A$301,0), MATCH($A$33, Data!$A$5:$K$5,0)),"")</f>
        <v>156</v>
      </c>
      <c r="H48" s="65">
        <f>IFERROR(INDEX(Data!$A$5:$K$301,MATCH('Forecast drivers'!$A48&amp;RIGHT(H$36,2),Data!$A$5:$A$301,0), MATCH($A$33, Data!$A$5:$K$5,0)),"")</f>
        <v>117</v>
      </c>
      <c r="I48" s="66">
        <f>IFERROR(INDEX(Data!$A$5:$K$301,MATCH('Forecast drivers'!$A48&amp;RIGHT(I$36,2),Data!$A$5:$A$301,0), MATCH($A$33, Data!$A$5:$K$5,0)),"")</f>
        <v>200</v>
      </c>
      <c r="J48" s="66">
        <f>IFERROR(INDEX(Data!$A$5:$K$301,MATCH('Forecast drivers'!$A48&amp;RIGHT(J$36,2),Data!$A$5:$A$301,0), MATCH($A$33, Data!$A$5:$K$5,0)),"")</f>
        <v>200</v>
      </c>
      <c r="K48" s="66">
        <f>IFERROR(INDEX(Data!$A$5:$K$301,MATCH('Forecast drivers'!$A48&amp;RIGHT(K$36,2),Data!$A$5:$A$301,0), MATCH($A$33, Data!$A$5:$K$5,0)),"")</f>
        <v>1160</v>
      </c>
      <c r="L48" s="66">
        <f>IFERROR(INDEX(Data!$A$5:$K$301,MATCH('Forecast drivers'!$A48&amp;RIGHT(L$36,2),Data!$A$5:$A$301,0), MATCH($A$33, Data!$A$5:$K$5,0)),"")</f>
        <v>1410</v>
      </c>
      <c r="M48" s="66">
        <f>IFERROR(INDEX(Data!$A$5:$K$301,MATCH('Forecast drivers'!$A48&amp;RIGHT(M$36,2),Data!$A$5:$A$301,0), MATCH($A$33, Data!$A$5:$K$5,0)),"")</f>
        <v>2010</v>
      </c>
      <c r="N48" s="66">
        <f>IFERROR(INDEX(Data!$A$5:$K$301,MATCH('Forecast drivers'!$A48&amp;RIGHT(N$36,2),Data!$A$5:$A$301,0), MATCH($A$33, Data!$A$5:$K$5,0)),"")</f>
        <v>2210</v>
      </c>
      <c r="O48" s="66">
        <f>IFERROR(INDEX(Data!$A$5:$K$301,MATCH('Forecast drivers'!$A48&amp;RIGHT(O$36,2),Data!$A$5:$A$301,0), MATCH($A$33, Data!$A$5:$K$5,0)),"")</f>
        <v>2210</v>
      </c>
      <c r="P48" s="67">
        <f t="shared" si="22"/>
        <v>191.14285714285714</v>
      </c>
      <c r="Q48" s="67">
        <f t="shared" si="22"/>
        <v>198.67857142857144</v>
      </c>
      <c r="R48" s="67">
        <f t="shared" si="22"/>
        <v>206.21428571428572</v>
      </c>
      <c r="S48" s="67">
        <f t="shared" si="22"/>
        <v>213.75</v>
      </c>
      <c r="T48" s="67">
        <f t="shared" si="22"/>
        <v>221.28571428571428</v>
      </c>
      <c r="U48" s="67">
        <f t="shared" si="22"/>
        <v>228.82142857142856</v>
      </c>
      <c r="V48" s="67">
        <f t="shared" si="22"/>
        <v>236.35714285714286</v>
      </c>
      <c r="W48" s="90">
        <f t="shared" si="13"/>
        <v>200</v>
      </c>
      <c r="X48" s="90">
        <f t="shared" si="14"/>
        <v>200</v>
      </c>
      <c r="Y48" s="90">
        <f t="shared" si="15"/>
        <v>1160</v>
      </c>
      <c r="Z48" s="90">
        <f t="shared" si="16"/>
        <v>1410</v>
      </c>
      <c r="AA48" s="90">
        <f t="shared" si="17"/>
        <v>2010</v>
      </c>
      <c r="AB48" s="90">
        <f t="shared" si="18"/>
        <v>2210</v>
      </c>
      <c r="AC48" s="90">
        <f t="shared" si="19"/>
        <v>2210</v>
      </c>
      <c r="AD48" s="84"/>
      <c r="AE48" s="91" t="s">
        <v>91</v>
      </c>
      <c r="AF48" s="92" t="s">
        <v>91</v>
      </c>
      <c r="AG48" s="93" t="str">
        <f t="shared" si="20"/>
        <v>OK</v>
      </c>
    </row>
    <row r="49" spans="1:33" x14ac:dyDescent="0.35">
      <c r="A49" s="70" t="s">
        <v>18</v>
      </c>
      <c r="B49" s="65">
        <f>IFERROR(INDEX(Data!$A$5:$K$301,MATCH('Forecast drivers'!$A49&amp;RIGHT(B$36,2),Data!$A$5:$A$301,0), MATCH($A$33, Data!$A$5:$K$5,0)),"")</f>
        <v>11809</v>
      </c>
      <c r="C49" s="65">
        <f>IFERROR(INDEX(Data!$A$5:$K$301,MATCH('Forecast drivers'!$A49&amp;RIGHT(C$36,2),Data!$A$5:$A$301,0), MATCH($A$33, Data!$A$5:$K$5,0)),"")</f>
        <v>1376</v>
      </c>
      <c r="D49" s="65">
        <f>IFERROR(INDEX(Data!$A$5:$K$301,MATCH('Forecast drivers'!$A49&amp;RIGHT(D$36,2),Data!$A$5:$A$301,0), MATCH($A$33, Data!$A$5:$K$5,0)),"")</f>
        <v>1749</v>
      </c>
      <c r="E49" s="65">
        <f>IFERROR(INDEX(Data!$A$5:$K$301,MATCH('Forecast drivers'!$A49&amp;RIGHT(E$36,2),Data!$A$5:$A$301,0), MATCH($A$33, Data!$A$5:$K$5,0)),"")</f>
        <v>3447</v>
      </c>
      <c r="F49" s="65">
        <f>IFERROR(INDEX(Data!$A$5:$K$301,MATCH('Forecast drivers'!$A49&amp;RIGHT(F$36,2),Data!$A$5:$A$301,0), MATCH($A$33, Data!$A$5:$K$5,0)),"")</f>
        <v>8338</v>
      </c>
      <c r="G49" s="65">
        <f>IFERROR(INDEX(Data!$A$5:$K$301,MATCH('Forecast drivers'!$A49&amp;RIGHT(G$36,2),Data!$A$5:$A$301,0), MATCH($A$33, Data!$A$5:$K$5,0)),"")</f>
        <v>10051</v>
      </c>
      <c r="H49" s="65">
        <f>IFERROR(INDEX(Data!$A$5:$K$301,MATCH('Forecast drivers'!$A49&amp;RIGHT(H$36,2),Data!$A$5:$A$301,0), MATCH($A$33, Data!$A$5:$K$5,0)),"")</f>
        <v>246</v>
      </c>
      <c r="I49" s="66">
        <f>IFERROR(INDEX(Data!$A$5:$K$301,MATCH('Forecast drivers'!$A49&amp;RIGHT(I$36,2),Data!$A$5:$A$301,0), MATCH($A$33, Data!$A$5:$K$5,0)),"")</f>
        <v>250</v>
      </c>
      <c r="J49" s="66">
        <f>IFERROR(INDEX(Data!$A$5:$K$301,MATCH('Forecast drivers'!$A49&amp;RIGHT(J$36,2),Data!$A$5:$A$301,0), MATCH($A$33, Data!$A$5:$K$5,0)),"")</f>
        <v>250</v>
      </c>
      <c r="K49" s="66">
        <f>IFERROR(INDEX(Data!$A$5:$K$301,MATCH('Forecast drivers'!$A49&amp;RIGHT(K$36,2),Data!$A$5:$A$301,0), MATCH($A$33, Data!$A$5:$K$5,0)),"")</f>
        <v>1521.2</v>
      </c>
      <c r="L49" s="66">
        <f>IFERROR(INDEX(Data!$A$5:$K$301,MATCH('Forecast drivers'!$A49&amp;RIGHT(L$36,2),Data!$A$5:$A$301,0), MATCH($A$33, Data!$A$5:$K$5,0)),"")</f>
        <v>1521.2</v>
      </c>
      <c r="M49" s="66">
        <f>IFERROR(INDEX(Data!$A$5:$K$301,MATCH('Forecast drivers'!$A49&amp;RIGHT(M$36,2),Data!$A$5:$A$301,0), MATCH($A$33, Data!$A$5:$K$5,0)),"")</f>
        <v>1521.2</v>
      </c>
      <c r="N49" s="66">
        <f>IFERROR(INDEX(Data!$A$5:$K$301,MATCH('Forecast drivers'!$A49&amp;RIGHT(N$36,2),Data!$A$5:$A$301,0), MATCH($A$33, Data!$A$5:$K$5,0)),"")</f>
        <v>1521.2</v>
      </c>
      <c r="O49" s="66">
        <f>IFERROR(INDEX(Data!$A$5:$K$301,MATCH('Forecast drivers'!$A49&amp;RIGHT(O$36,2),Data!$A$5:$A$301,0), MATCH($A$33, Data!$A$5:$K$5,0)),"")</f>
        <v>1521.2</v>
      </c>
      <c r="P49" s="67">
        <f t="shared" si="22"/>
        <v>3752.2857142857147</v>
      </c>
      <c r="Q49" s="67">
        <f t="shared" si="22"/>
        <v>3368.3571428571431</v>
      </c>
      <c r="R49" s="67">
        <f t="shared" si="22"/>
        <v>2984.4285714285716</v>
      </c>
      <c r="S49" s="67">
        <f t="shared" si="22"/>
        <v>2600.5</v>
      </c>
      <c r="T49" s="67">
        <f t="shared" si="22"/>
        <v>2216.5714285714294</v>
      </c>
      <c r="U49" s="67">
        <f t="shared" si="22"/>
        <v>1832.6428571428578</v>
      </c>
      <c r="V49" s="67">
        <f t="shared" si="22"/>
        <v>1448.7142857142862</v>
      </c>
      <c r="W49" s="90">
        <f t="shared" si="13"/>
        <v>250</v>
      </c>
      <c r="X49" s="90">
        <f t="shared" si="14"/>
        <v>250</v>
      </c>
      <c r="Y49" s="90">
        <f t="shared" si="15"/>
        <v>1521.2</v>
      </c>
      <c r="Z49" s="90">
        <f t="shared" si="16"/>
        <v>1521.2</v>
      </c>
      <c r="AA49" s="90">
        <f t="shared" si="17"/>
        <v>1521.2</v>
      </c>
      <c r="AB49" s="90">
        <f t="shared" si="18"/>
        <v>1521.2</v>
      </c>
      <c r="AC49" s="90">
        <f t="shared" si="19"/>
        <v>1521.2</v>
      </c>
      <c r="AD49" s="84"/>
      <c r="AE49" s="91" t="s">
        <v>91</v>
      </c>
      <c r="AF49" s="92" t="s">
        <v>91</v>
      </c>
      <c r="AG49" s="93" t="str">
        <f t="shared" si="20"/>
        <v>OK</v>
      </c>
    </row>
    <row r="50" spans="1:33" x14ac:dyDescent="0.35">
      <c r="A50" s="70" t="s">
        <v>19</v>
      </c>
      <c r="B50" s="65">
        <f>IFERROR(INDEX(Data!$A$5:$K$301,MATCH('Forecast drivers'!$A50&amp;RIGHT(B$36,2),Data!$A$5:$A$301,0), MATCH($A$33, Data!$A$5:$K$5,0)),"")</f>
        <v>6</v>
      </c>
      <c r="C50" s="65">
        <f>IFERROR(INDEX(Data!$A$5:$K$301,MATCH('Forecast drivers'!$A50&amp;RIGHT(C$36,2),Data!$A$5:$A$301,0), MATCH($A$33, Data!$A$5:$K$5,0)),"")</f>
        <v>3</v>
      </c>
      <c r="D50" s="65">
        <f>IFERROR(INDEX(Data!$A$5:$K$301,MATCH('Forecast drivers'!$A50&amp;RIGHT(D$36,2),Data!$A$5:$A$301,0), MATCH($A$33, Data!$A$5:$K$5,0)),"")</f>
        <v>0</v>
      </c>
      <c r="E50" s="65">
        <f>IFERROR(INDEX(Data!$A$5:$K$301,MATCH('Forecast drivers'!$A50&amp;RIGHT(E$36,2),Data!$A$5:$A$301,0), MATCH($A$33, Data!$A$5:$K$5,0)),"")</f>
        <v>0</v>
      </c>
      <c r="F50" s="65">
        <f>IFERROR(INDEX(Data!$A$5:$K$301,MATCH('Forecast drivers'!$A50&amp;RIGHT(F$36,2),Data!$A$5:$A$301,0), MATCH($A$33, Data!$A$5:$K$5,0)),"")</f>
        <v>2379</v>
      </c>
      <c r="G50" s="65">
        <f>IFERROR(INDEX(Data!$A$5:$K$301,MATCH('Forecast drivers'!$A50&amp;RIGHT(G$36,2),Data!$A$5:$A$301,0), MATCH($A$33, Data!$A$5:$K$5,0)),"")</f>
        <v>3490</v>
      </c>
      <c r="H50" s="65">
        <f>IFERROR(INDEX(Data!$A$5:$K$301,MATCH('Forecast drivers'!$A50&amp;RIGHT(H$36,2),Data!$A$5:$A$301,0), MATCH($A$33, Data!$A$5:$K$5,0)),"")</f>
        <v>1120</v>
      </c>
      <c r="I50" s="66">
        <f>IFERROR(INDEX(Data!$A$5:$K$301,MATCH('Forecast drivers'!$A50&amp;RIGHT(I$36,2),Data!$A$5:$A$301,0), MATCH($A$33, Data!$A$5:$K$5,0)),"")</f>
        <v>4115</v>
      </c>
      <c r="J50" s="66">
        <f>IFERROR(INDEX(Data!$A$5:$K$301,MATCH('Forecast drivers'!$A50&amp;RIGHT(J$36,2),Data!$A$5:$A$301,0), MATCH($A$33, Data!$A$5:$K$5,0)),"")</f>
        <v>8150</v>
      </c>
      <c r="K50" s="66">
        <f>IFERROR(INDEX(Data!$A$5:$K$301,MATCH('Forecast drivers'!$A50&amp;RIGHT(K$36,2),Data!$A$5:$A$301,0), MATCH($A$33, Data!$A$5:$K$5,0)),"")</f>
        <v>1772</v>
      </c>
      <c r="L50" s="66">
        <f>IFERROR(INDEX(Data!$A$5:$K$301,MATCH('Forecast drivers'!$A50&amp;RIGHT(L$36,2),Data!$A$5:$A$301,0), MATCH($A$33, Data!$A$5:$K$5,0)),"")</f>
        <v>1772</v>
      </c>
      <c r="M50" s="66">
        <f>IFERROR(INDEX(Data!$A$5:$K$301,MATCH('Forecast drivers'!$A50&amp;RIGHT(M$36,2),Data!$A$5:$A$301,0), MATCH($A$33, Data!$A$5:$K$5,0)),"")</f>
        <v>1772</v>
      </c>
      <c r="N50" s="66">
        <f>IFERROR(INDEX(Data!$A$5:$K$301,MATCH('Forecast drivers'!$A50&amp;RIGHT(N$36,2),Data!$A$5:$A$301,0), MATCH($A$33, Data!$A$5:$K$5,0)),"")</f>
        <v>1772</v>
      </c>
      <c r="O50" s="66">
        <f>IFERROR(INDEX(Data!$A$5:$K$301,MATCH('Forecast drivers'!$A50&amp;RIGHT(O$36,2),Data!$A$5:$A$301,0), MATCH($A$33, Data!$A$5:$K$5,0)),"")</f>
        <v>1772</v>
      </c>
      <c r="P50" s="67">
        <f t="shared" si="22"/>
        <v>2813.2857142857138</v>
      </c>
      <c r="Q50" s="67">
        <f t="shared" si="22"/>
        <v>3266.6785714285706</v>
      </c>
      <c r="R50" s="67">
        <f t="shared" si="22"/>
        <v>3720.071428571428</v>
      </c>
      <c r="S50" s="67">
        <f t="shared" si="22"/>
        <v>4173.4642857142853</v>
      </c>
      <c r="T50" s="67">
        <f t="shared" si="22"/>
        <v>4626.8571428571422</v>
      </c>
      <c r="U50" s="67">
        <f t="shared" si="22"/>
        <v>5080.2499999999991</v>
      </c>
      <c r="V50" s="67">
        <f t="shared" si="22"/>
        <v>5533.6428571428569</v>
      </c>
      <c r="W50" s="90">
        <f t="shared" si="13"/>
        <v>8150</v>
      </c>
      <c r="X50" s="90">
        <f t="shared" si="14"/>
        <v>8150</v>
      </c>
      <c r="Y50" s="90">
        <f t="shared" si="15"/>
        <v>1772</v>
      </c>
      <c r="Z50" s="90">
        <f t="shared" si="16"/>
        <v>1772</v>
      </c>
      <c r="AA50" s="90">
        <f t="shared" si="17"/>
        <v>1772</v>
      </c>
      <c r="AB50" s="90">
        <f t="shared" si="18"/>
        <v>1772</v>
      </c>
      <c r="AC50" s="90">
        <f t="shared" si="19"/>
        <v>1772</v>
      </c>
      <c r="AD50" s="84"/>
      <c r="AE50" s="91" t="s">
        <v>91</v>
      </c>
      <c r="AF50" s="92" t="s">
        <v>91</v>
      </c>
      <c r="AG50" s="93" t="str">
        <f t="shared" si="20"/>
        <v>OK</v>
      </c>
    </row>
    <row r="51" spans="1:33" x14ac:dyDescent="0.35">
      <c r="A51" s="70" t="s">
        <v>20</v>
      </c>
      <c r="B51" s="65">
        <f>IFERROR(INDEX(Data!$A$5:$K$301,MATCH('Forecast drivers'!$A51&amp;RIGHT(B$36,2),Data!$A$5:$A$301,0), MATCH($A$33, Data!$A$5:$K$5,0)),"")</f>
        <v>54</v>
      </c>
      <c r="C51" s="65">
        <f>IFERROR(INDEX(Data!$A$5:$K$301,MATCH('Forecast drivers'!$A51&amp;RIGHT(C$36,2),Data!$A$5:$A$301,0), MATCH($A$33, Data!$A$5:$K$5,0)),"")</f>
        <v>67</v>
      </c>
      <c r="D51" s="65">
        <f>IFERROR(INDEX(Data!$A$5:$K$301,MATCH('Forecast drivers'!$A51&amp;RIGHT(D$36,2),Data!$A$5:$A$301,0), MATCH($A$33, Data!$A$5:$K$5,0)),"")</f>
        <v>42</v>
      </c>
      <c r="E51" s="65">
        <f>IFERROR(INDEX(Data!$A$5:$K$301,MATCH('Forecast drivers'!$A51&amp;RIGHT(E$36,2),Data!$A$5:$A$301,0), MATCH($A$33, Data!$A$5:$K$5,0)),"")</f>
        <v>46</v>
      </c>
      <c r="F51" s="65">
        <f>IFERROR(INDEX(Data!$A$5:$K$301,MATCH('Forecast drivers'!$A51&amp;RIGHT(F$36,2),Data!$A$5:$A$301,0), MATCH($A$33, Data!$A$5:$K$5,0)),"")</f>
        <v>50</v>
      </c>
      <c r="G51" s="65">
        <f>IFERROR(INDEX(Data!$A$5:$K$301,MATCH('Forecast drivers'!$A51&amp;RIGHT(G$36,2),Data!$A$5:$A$301,0), MATCH($A$33, Data!$A$5:$K$5,0)),"")</f>
        <v>106</v>
      </c>
      <c r="H51" s="65">
        <f>IFERROR(INDEX(Data!$A$5:$K$301,MATCH('Forecast drivers'!$A51&amp;RIGHT(H$36,2),Data!$A$5:$A$301,0), MATCH($A$33, Data!$A$5:$K$5,0)),"")</f>
        <v>86</v>
      </c>
      <c r="I51" s="66">
        <f>IFERROR(INDEX(Data!$A$5:$K$301,MATCH('Forecast drivers'!$A51&amp;RIGHT(I$36,2),Data!$A$5:$A$301,0), MATCH($A$33, Data!$A$5:$K$5,0)),"")</f>
        <v>73</v>
      </c>
      <c r="J51" s="66">
        <f>IFERROR(INDEX(Data!$A$5:$K$301,MATCH('Forecast drivers'!$A51&amp;RIGHT(J$36,2),Data!$A$5:$A$301,0), MATCH($A$33, Data!$A$5:$K$5,0)),"")</f>
        <v>46</v>
      </c>
      <c r="K51" s="66">
        <f>IFERROR(INDEX(Data!$A$5:$K$301,MATCH('Forecast drivers'!$A51&amp;RIGHT(K$36,2),Data!$A$5:$A$301,0), MATCH($A$33, Data!$A$5:$K$5,0)),"")</f>
        <v>128</v>
      </c>
      <c r="L51" s="66">
        <f>IFERROR(INDEX(Data!$A$5:$K$301,MATCH('Forecast drivers'!$A51&amp;RIGHT(L$36,2),Data!$A$5:$A$301,0), MATCH($A$33, Data!$A$5:$K$5,0)),"")</f>
        <v>129</v>
      </c>
      <c r="M51" s="66">
        <f>IFERROR(INDEX(Data!$A$5:$K$301,MATCH('Forecast drivers'!$A51&amp;RIGHT(M$36,2),Data!$A$5:$A$301,0), MATCH($A$33, Data!$A$5:$K$5,0)),"")</f>
        <v>129</v>
      </c>
      <c r="N51" s="66">
        <f>IFERROR(INDEX(Data!$A$5:$K$301,MATCH('Forecast drivers'!$A51&amp;RIGHT(N$36,2),Data!$A$5:$A$301,0), MATCH($A$33, Data!$A$5:$K$5,0)),"")</f>
        <v>129</v>
      </c>
      <c r="O51" s="66">
        <f>IFERROR(INDEX(Data!$A$5:$K$301,MATCH('Forecast drivers'!$A51&amp;RIGHT(O$36,2),Data!$A$5:$A$301,0), MATCH($A$33, Data!$A$5:$K$5,0)),"")</f>
        <v>129</v>
      </c>
      <c r="P51" s="67">
        <f t="shared" si="22"/>
        <v>90.428571428571431</v>
      </c>
      <c r="Q51" s="67">
        <f t="shared" si="22"/>
        <v>96.928571428571431</v>
      </c>
      <c r="R51" s="67">
        <f t="shared" si="22"/>
        <v>103.42857142857143</v>
      </c>
      <c r="S51" s="67">
        <f t="shared" si="22"/>
        <v>109.92857142857143</v>
      </c>
      <c r="T51" s="67">
        <f t="shared" si="22"/>
        <v>116.42857142857143</v>
      </c>
      <c r="U51" s="67">
        <f t="shared" si="22"/>
        <v>122.92857142857143</v>
      </c>
      <c r="V51" s="67">
        <f t="shared" si="22"/>
        <v>129.42857142857144</v>
      </c>
      <c r="W51" s="90">
        <f t="shared" si="13"/>
        <v>46</v>
      </c>
      <c r="X51" s="90">
        <f t="shared" si="14"/>
        <v>46</v>
      </c>
      <c r="Y51" s="90">
        <f t="shared" si="15"/>
        <v>128</v>
      </c>
      <c r="Z51" s="90">
        <f t="shared" si="16"/>
        <v>129</v>
      </c>
      <c r="AA51" s="90">
        <f t="shared" si="17"/>
        <v>129</v>
      </c>
      <c r="AB51" s="90">
        <f t="shared" si="18"/>
        <v>129</v>
      </c>
      <c r="AC51" s="90">
        <f t="shared" si="19"/>
        <v>129</v>
      </c>
      <c r="AD51" s="84"/>
      <c r="AE51" s="91" t="s">
        <v>91</v>
      </c>
      <c r="AF51" s="92" t="s">
        <v>91</v>
      </c>
      <c r="AG51" s="93" t="str">
        <f t="shared" si="20"/>
        <v>OK</v>
      </c>
    </row>
    <row r="52" spans="1:33" x14ac:dyDescent="0.35">
      <c r="A52" s="70" t="s">
        <v>22</v>
      </c>
      <c r="B52" s="65">
        <f>IFERROR(INDEX(Data!$A$5:$K$301,MATCH('Forecast drivers'!$A52&amp;RIGHT(B$36,2),Data!$A$5:$A$301,0), MATCH($A$33, Data!$A$5:$K$5,0)),"")</f>
        <v>34</v>
      </c>
      <c r="C52" s="65">
        <f>IFERROR(INDEX(Data!$A$5:$K$301,MATCH('Forecast drivers'!$A52&amp;RIGHT(C$36,2),Data!$A$5:$A$301,0), MATCH($A$33, Data!$A$5:$K$5,0)),"")</f>
        <v>19</v>
      </c>
      <c r="D52" s="65">
        <f>IFERROR(INDEX(Data!$A$5:$K$301,MATCH('Forecast drivers'!$A52&amp;RIGHT(D$36,2),Data!$A$5:$A$301,0), MATCH($A$33, Data!$A$5:$K$5,0)),"")</f>
        <v>28</v>
      </c>
      <c r="E52" s="65">
        <f>IFERROR(INDEX(Data!$A$5:$K$301,MATCH('Forecast drivers'!$A52&amp;RIGHT(E$36,2),Data!$A$5:$A$301,0), MATCH($A$33, Data!$A$5:$K$5,0)),"")</f>
        <v>37</v>
      </c>
      <c r="F52" s="65">
        <f>IFERROR(INDEX(Data!$A$5:$K$301,MATCH('Forecast drivers'!$A52&amp;RIGHT(F$36,2),Data!$A$5:$A$301,0), MATCH($A$33, Data!$A$5:$K$5,0)),"")</f>
        <v>60</v>
      </c>
      <c r="G52" s="65">
        <f>IFERROR(INDEX(Data!$A$5:$K$301,MATCH('Forecast drivers'!$A52&amp;RIGHT(G$36,2),Data!$A$5:$A$301,0), MATCH($A$33, Data!$A$5:$K$5,0)),"")</f>
        <v>81</v>
      </c>
      <c r="H52" s="65">
        <f>IFERROR(INDEX(Data!$A$5:$K$301,MATCH('Forecast drivers'!$A52&amp;RIGHT(H$36,2),Data!$A$5:$A$301,0), MATCH($A$33, Data!$A$5:$K$5,0)),"")</f>
        <v>67</v>
      </c>
      <c r="I52" s="69"/>
      <c r="J52" s="69"/>
      <c r="K52" s="69"/>
      <c r="L52" s="69"/>
      <c r="M52" s="69"/>
      <c r="N52" s="69"/>
      <c r="O52" s="69"/>
      <c r="P52" s="67">
        <f t="shared" si="22"/>
        <v>83</v>
      </c>
      <c r="Q52" s="67">
        <f t="shared" si="22"/>
        <v>92.107142857142861</v>
      </c>
      <c r="R52" s="67">
        <f t="shared" si="22"/>
        <v>101.21428571428572</v>
      </c>
      <c r="S52" s="67">
        <f t="shared" si="22"/>
        <v>110.32142857142857</v>
      </c>
      <c r="T52" s="67">
        <f t="shared" si="22"/>
        <v>119.42857142857143</v>
      </c>
      <c r="U52" s="67">
        <f t="shared" si="22"/>
        <v>128.53571428571428</v>
      </c>
      <c r="V52" s="67">
        <f t="shared" si="22"/>
        <v>137.64285714285714</v>
      </c>
      <c r="W52" s="90">
        <f t="shared" si="13"/>
        <v>0</v>
      </c>
      <c r="X52" s="90">
        <f t="shared" si="14"/>
        <v>0</v>
      </c>
      <c r="Y52" s="90">
        <f t="shared" si="15"/>
        <v>0</v>
      </c>
      <c r="Z52" s="90">
        <f t="shared" si="16"/>
        <v>0</v>
      </c>
      <c r="AA52" s="90">
        <f t="shared" si="17"/>
        <v>0</v>
      </c>
      <c r="AB52" s="90">
        <f t="shared" si="18"/>
        <v>0</v>
      </c>
      <c r="AC52" s="90">
        <f t="shared" si="19"/>
        <v>0</v>
      </c>
      <c r="AD52" s="84"/>
      <c r="AE52" s="91" t="s">
        <v>91</v>
      </c>
      <c r="AF52" s="92" t="s">
        <v>91</v>
      </c>
      <c r="AG52" s="93" t="str">
        <f t="shared" si="20"/>
        <v>OK</v>
      </c>
    </row>
    <row r="53" spans="1:33" x14ac:dyDescent="0.35">
      <c r="A53" s="70" t="s">
        <v>23</v>
      </c>
      <c r="B53" s="65">
        <f>IFERROR(INDEX(Data!$A$5:$K$301,MATCH('Forecast drivers'!$A53&amp;RIGHT(B$36,2),Data!$A$5:$A$301,0), MATCH($A$33, Data!$A$5:$K$5,0)),"")</f>
        <v>0</v>
      </c>
      <c r="C53" s="65">
        <f>IFERROR(INDEX(Data!$A$5:$K$301,MATCH('Forecast drivers'!$A53&amp;RIGHT(C$36,2),Data!$A$5:$A$301,0), MATCH($A$33, Data!$A$5:$K$5,0)),"")</f>
        <v>0</v>
      </c>
      <c r="D53" s="65">
        <f>IFERROR(INDEX(Data!$A$5:$K$301,MATCH('Forecast drivers'!$A53&amp;RIGHT(D$36,2),Data!$A$5:$A$301,0), MATCH($A$33, Data!$A$5:$K$5,0)),"")</f>
        <v>0</v>
      </c>
      <c r="E53" s="65">
        <f>IFERROR(INDEX(Data!$A$5:$K$301,MATCH('Forecast drivers'!$A53&amp;RIGHT(E$36,2),Data!$A$5:$A$301,0), MATCH($A$33, Data!$A$5:$K$5,0)),"")</f>
        <v>0</v>
      </c>
      <c r="F53" s="65">
        <f>IFERROR(INDEX(Data!$A$5:$K$301,MATCH('Forecast drivers'!$A53&amp;RIGHT(F$36,2),Data!$A$5:$A$301,0), MATCH($A$33, Data!$A$5:$K$5,0)),"")</f>
        <v>0</v>
      </c>
      <c r="G53" s="65">
        <f>IFERROR(INDEX(Data!$A$5:$K$301,MATCH('Forecast drivers'!$A53&amp;RIGHT(G$36,2),Data!$A$5:$A$301,0), MATCH($A$33, Data!$A$5:$K$5,0)),"")</f>
        <v>0</v>
      </c>
      <c r="H53" s="65">
        <f>IFERROR(INDEX(Data!$A$5:$K$301,MATCH('Forecast drivers'!$A53&amp;RIGHT(H$36,2),Data!$A$5:$A$301,0), MATCH($A$33, Data!$A$5:$K$5,0)),"")</f>
        <v>11</v>
      </c>
      <c r="I53" s="66">
        <f>IFERROR(INDEX(Data!$A$5:$K$301,MATCH('Forecast drivers'!$A53&amp;RIGHT(I$36,2),Data!$A$5:$A$301,0), MATCH($A$33, Data!$A$5:$K$5,0)),"")</f>
        <v>10</v>
      </c>
      <c r="J53" s="66">
        <f>IFERROR(INDEX(Data!$A$5:$K$301,MATCH('Forecast drivers'!$A53&amp;RIGHT(J$36,2),Data!$A$5:$A$301,0), MATCH($A$33, Data!$A$5:$K$5,0)),"")</f>
        <v>10</v>
      </c>
      <c r="K53" s="66">
        <f>IFERROR(INDEX(Data!$A$5:$K$301,MATCH('Forecast drivers'!$A53&amp;RIGHT(K$36,2),Data!$A$5:$A$301,0), MATCH($A$33, Data!$A$5:$K$5,0)),"")</f>
        <v>10</v>
      </c>
      <c r="L53" s="66">
        <f>IFERROR(INDEX(Data!$A$5:$K$301,MATCH('Forecast drivers'!$A53&amp;RIGHT(L$36,2),Data!$A$5:$A$301,0), MATCH($A$33, Data!$A$5:$K$5,0)),"")</f>
        <v>10</v>
      </c>
      <c r="M53" s="66">
        <f>IFERROR(INDEX(Data!$A$5:$K$301,MATCH('Forecast drivers'!$A53&amp;RIGHT(M$36,2),Data!$A$5:$A$301,0), MATCH($A$33, Data!$A$5:$K$5,0)),"")</f>
        <v>10</v>
      </c>
      <c r="N53" s="66">
        <f>IFERROR(INDEX(Data!$A$5:$K$301,MATCH('Forecast drivers'!$A53&amp;RIGHT(N$36,2),Data!$A$5:$A$301,0), MATCH($A$33, Data!$A$5:$K$5,0)),"")</f>
        <v>10</v>
      </c>
      <c r="O53" s="66">
        <f>IFERROR(INDEX(Data!$A$5:$K$301,MATCH('Forecast drivers'!$A53&amp;RIGHT(O$36,2),Data!$A$5:$A$301,0), MATCH($A$33, Data!$A$5:$K$5,0)),"")</f>
        <v>10</v>
      </c>
      <c r="P53" s="67">
        <f t="shared" si="22"/>
        <v>6.2857142857142856</v>
      </c>
      <c r="Q53" s="67">
        <f t="shared" si="22"/>
        <v>7.4642857142857144</v>
      </c>
      <c r="R53" s="67">
        <f t="shared" si="22"/>
        <v>8.6428571428571423</v>
      </c>
      <c r="S53" s="67">
        <f t="shared" si="22"/>
        <v>9.821428571428573</v>
      </c>
      <c r="T53" s="67">
        <f t="shared" si="22"/>
        <v>11</v>
      </c>
      <c r="U53" s="67">
        <f t="shared" si="22"/>
        <v>12.178571428571427</v>
      </c>
      <c r="V53" s="67">
        <f t="shared" si="22"/>
        <v>13.357142857142858</v>
      </c>
      <c r="W53" s="90">
        <f t="shared" si="13"/>
        <v>10</v>
      </c>
      <c r="X53" s="90">
        <f t="shared" si="14"/>
        <v>10</v>
      </c>
      <c r="Y53" s="90">
        <f t="shared" si="15"/>
        <v>10</v>
      </c>
      <c r="Z53" s="90">
        <f t="shared" si="16"/>
        <v>10</v>
      </c>
      <c r="AA53" s="90">
        <f t="shared" si="17"/>
        <v>10</v>
      </c>
      <c r="AB53" s="90">
        <f t="shared" si="18"/>
        <v>10</v>
      </c>
      <c r="AC53" s="90">
        <f t="shared" si="19"/>
        <v>10</v>
      </c>
      <c r="AD53" s="84"/>
      <c r="AE53" s="91" t="s">
        <v>91</v>
      </c>
      <c r="AF53" s="92" t="s">
        <v>91</v>
      </c>
      <c r="AG53" s="93" t="str">
        <f t="shared" si="20"/>
        <v>OK</v>
      </c>
    </row>
    <row r="54" spans="1:33" x14ac:dyDescent="0.35">
      <c r="A54" s="70" t="s">
        <v>24</v>
      </c>
      <c r="B54" s="65">
        <f>IFERROR(INDEX(Data!$A$5:$K$301,MATCH('Forecast drivers'!$A54&amp;RIGHT(B$36,2),Data!$A$5:$A$301,0), MATCH($A$33, Data!$A$5:$K$5,0)),"")</f>
        <v>132</v>
      </c>
      <c r="C54" s="65">
        <f>IFERROR(INDEX(Data!$A$5:$K$301,MATCH('Forecast drivers'!$A54&amp;RIGHT(C$36,2),Data!$A$5:$A$301,0), MATCH($A$33, Data!$A$5:$K$5,0)),"")</f>
        <v>18</v>
      </c>
      <c r="D54" s="65">
        <f>IFERROR(INDEX(Data!$A$5:$K$301,MATCH('Forecast drivers'!$A54&amp;RIGHT(D$36,2),Data!$A$5:$A$301,0), MATCH($A$33, Data!$A$5:$K$5,0)),"")</f>
        <v>26</v>
      </c>
      <c r="E54" s="65">
        <f>IFERROR(INDEX(Data!$A$5:$K$301,MATCH('Forecast drivers'!$A54&amp;RIGHT(E$36,2),Data!$A$5:$A$301,0), MATCH($A$33, Data!$A$5:$K$5,0)),"")</f>
        <v>54</v>
      </c>
      <c r="F54" s="65">
        <f>IFERROR(INDEX(Data!$A$5:$K$301,MATCH('Forecast drivers'!$A54&amp;RIGHT(F$36,2),Data!$A$5:$A$301,0), MATCH($A$33, Data!$A$5:$K$5,0)),"")</f>
        <v>31</v>
      </c>
      <c r="G54" s="65">
        <f>IFERROR(INDEX(Data!$A$5:$K$301,MATCH('Forecast drivers'!$A54&amp;RIGHT(G$36,2),Data!$A$5:$A$301,0), MATCH($A$33, Data!$A$5:$K$5,0)),"")</f>
        <v>19</v>
      </c>
      <c r="H54" s="65">
        <f>IFERROR(INDEX(Data!$A$5:$K$301,MATCH('Forecast drivers'!$A54&amp;RIGHT(H$36,2),Data!$A$5:$A$301,0), MATCH($A$33, Data!$A$5:$K$5,0)),"")</f>
        <v>254</v>
      </c>
      <c r="I54" s="66">
        <f>IFERROR(INDEX(Data!$A$5:$K$301,MATCH('Forecast drivers'!$A54&amp;RIGHT(I$36,2),Data!$A$5:$A$301,0), MATCH($A$33, Data!$A$5:$K$5,0)),"")</f>
        <v>287</v>
      </c>
      <c r="J54" s="66">
        <f>IFERROR(INDEX(Data!$A$5:$K$301,MATCH('Forecast drivers'!$A54&amp;RIGHT(J$36,2),Data!$A$5:$A$301,0), MATCH($A$33, Data!$A$5:$K$5,0)),"")</f>
        <v>287</v>
      </c>
      <c r="K54" s="66">
        <f>IFERROR(INDEX(Data!$A$5:$K$301,MATCH('Forecast drivers'!$A54&amp;RIGHT(K$36,2),Data!$A$5:$A$301,0), MATCH($A$33, Data!$A$5:$K$5,0)),"")</f>
        <v>287</v>
      </c>
      <c r="L54" s="66">
        <f>IFERROR(INDEX(Data!$A$5:$K$301,MATCH('Forecast drivers'!$A54&amp;RIGHT(L$36,2),Data!$A$5:$A$301,0), MATCH($A$33, Data!$A$5:$K$5,0)),"")</f>
        <v>287</v>
      </c>
      <c r="M54" s="66">
        <f>IFERROR(INDEX(Data!$A$5:$K$301,MATCH('Forecast drivers'!$A54&amp;RIGHT(M$36,2),Data!$A$5:$A$301,0), MATCH($A$33, Data!$A$5:$K$5,0)),"")</f>
        <v>287</v>
      </c>
      <c r="N54" s="66">
        <f>IFERROR(INDEX(Data!$A$5:$K$301,MATCH('Forecast drivers'!$A54&amp;RIGHT(N$36,2),Data!$A$5:$A$301,0), MATCH($A$33, Data!$A$5:$K$5,0)),"")</f>
        <v>287</v>
      </c>
      <c r="O54" s="66">
        <f>IFERROR(INDEX(Data!$A$5:$K$301,MATCH('Forecast drivers'!$A54&amp;RIGHT(O$36,2),Data!$A$5:$A$301,0), MATCH($A$33, Data!$A$5:$K$5,0)),"")</f>
        <v>287</v>
      </c>
      <c r="P54" s="67">
        <f t="shared" si="22"/>
        <v>129.57142857142858</v>
      </c>
      <c r="Q54" s="67">
        <f t="shared" si="22"/>
        <v>142.89285714285714</v>
      </c>
      <c r="R54" s="67">
        <f t="shared" si="22"/>
        <v>156.21428571428572</v>
      </c>
      <c r="S54" s="67">
        <f t="shared" si="22"/>
        <v>169.53571428571428</v>
      </c>
      <c r="T54" s="67">
        <f t="shared" si="22"/>
        <v>182.85714285714286</v>
      </c>
      <c r="U54" s="67">
        <f t="shared" si="22"/>
        <v>196.17857142857142</v>
      </c>
      <c r="V54" s="67">
        <f t="shared" si="22"/>
        <v>209.5</v>
      </c>
      <c r="W54" s="90">
        <f t="shared" si="13"/>
        <v>287</v>
      </c>
      <c r="X54" s="90">
        <f t="shared" si="14"/>
        <v>287</v>
      </c>
      <c r="Y54" s="90">
        <f t="shared" si="15"/>
        <v>287</v>
      </c>
      <c r="Z54" s="90">
        <f t="shared" si="16"/>
        <v>287</v>
      </c>
      <c r="AA54" s="90">
        <f t="shared" si="17"/>
        <v>287</v>
      </c>
      <c r="AB54" s="90">
        <f t="shared" si="18"/>
        <v>287</v>
      </c>
      <c r="AC54" s="90">
        <f t="shared" si="19"/>
        <v>287</v>
      </c>
      <c r="AD54" s="84"/>
      <c r="AE54" s="91" t="s">
        <v>91</v>
      </c>
      <c r="AF54" s="92" t="s">
        <v>91</v>
      </c>
      <c r="AG54" s="93" t="str">
        <f t="shared" si="20"/>
        <v>OK</v>
      </c>
    </row>
    <row r="55" spans="1:33" x14ac:dyDescent="0.35">
      <c r="A55" s="70" t="s">
        <v>25</v>
      </c>
      <c r="B55" s="65">
        <f>IFERROR(INDEX(Data!$A$5:$K$301,MATCH('Forecast drivers'!$A55&amp;RIGHT(B$36,2),Data!$A$5:$A$301,0), MATCH($A$33, Data!$A$5:$K$5,0)),"")</f>
        <v>2</v>
      </c>
      <c r="C55" s="65">
        <f>IFERROR(INDEX(Data!$A$5:$K$301,MATCH('Forecast drivers'!$A55&amp;RIGHT(C$36,2),Data!$A$5:$A$301,0), MATCH($A$33, Data!$A$5:$K$5,0)),"")</f>
        <v>3</v>
      </c>
      <c r="D55" s="65">
        <f>IFERROR(INDEX(Data!$A$5:$K$301,MATCH('Forecast drivers'!$A55&amp;RIGHT(D$36,2),Data!$A$5:$A$301,0), MATCH($A$33, Data!$A$5:$K$5,0)),"")</f>
        <v>1</v>
      </c>
      <c r="E55" s="65">
        <f>IFERROR(INDEX(Data!$A$5:$K$301,MATCH('Forecast drivers'!$A55&amp;RIGHT(E$36,2),Data!$A$5:$A$301,0), MATCH($A$33, Data!$A$5:$K$5,0)),"")</f>
        <v>3</v>
      </c>
      <c r="F55" s="65">
        <f>IFERROR(INDEX(Data!$A$5:$K$301,MATCH('Forecast drivers'!$A55&amp;RIGHT(F$36,2),Data!$A$5:$A$301,0), MATCH($A$33, Data!$A$5:$K$5,0)),"")</f>
        <v>1</v>
      </c>
      <c r="G55" s="65">
        <f>IFERROR(INDEX(Data!$A$5:$K$301,MATCH('Forecast drivers'!$A55&amp;RIGHT(G$36,2),Data!$A$5:$A$301,0), MATCH($A$33, Data!$A$5:$K$5,0)),"")</f>
        <v>4</v>
      </c>
      <c r="H55" s="65">
        <f>IFERROR(INDEX(Data!$A$5:$K$301,MATCH('Forecast drivers'!$A55&amp;RIGHT(H$36,2),Data!$A$5:$A$301,0), MATCH($A$33, Data!$A$5:$K$5,0)),"")</f>
        <v>3</v>
      </c>
      <c r="I55" s="66">
        <f>IFERROR(INDEX(Data!$A$5:$K$301,MATCH('Forecast drivers'!$A55&amp;RIGHT(I$36,2),Data!$A$5:$A$301,0), MATCH($A$33, Data!$A$5:$K$5,0)),"")</f>
        <v>4</v>
      </c>
      <c r="J55" s="66">
        <f>IFERROR(INDEX(Data!$A$5:$K$301,MATCH('Forecast drivers'!$A55&amp;RIGHT(J$36,2),Data!$A$5:$A$301,0), MATCH($A$33, Data!$A$5:$K$5,0)),"")</f>
        <v>184</v>
      </c>
      <c r="K55" s="66">
        <f>IFERROR(INDEX(Data!$A$5:$K$301,MATCH('Forecast drivers'!$A55&amp;RIGHT(K$36,2),Data!$A$5:$A$301,0), MATCH($A$33, Data!$A$5:$K$5,0)),"")</f>
        <v>4</v>
      </c>
      <c r="L55" s="66">
        <f>IFERROR(INDEX(Data!$A$5:$K$301,MATCH('Forecast drivers'!$A55&amp;RIGHT(L$36,2),Data!$A$5:$A$301,0), MATCH($A$33, Data!$A$5:$K$5,0)),"")</f>
        <v>4</v>
      </c>
      <c r="M55" s="66">
        <f>IFERROR(INDEX(Data!$A$5:$K$301,MATCH('Forecast drivers'!$A55&amp;RIGHT(M$36,2),Data!$A$5:$A$301,0), MATCH($A$33, Data!$A$5:$K$5,0)),"")</f>
        <v>4</v>
      </c>
      <c r="N55" s="66">
        <f>IFERROR(INDEX(Data!$A$5:$K$301,MATCH('Forecast drivers'!$A55&amp;RIGHT(N$36,2),Data!$A$5:$A$301,0), MATCH($A$33, Data!$A$5:$K$5,0)),"")</f>
        <v>4</v>
      </c>
      <c r="O55" s="66">
        <f>IFERROR(INDEX(Data!$A$5:$K$301,MATCH('Forecast drivers'!$A55&amp;RIGHT(O$36,2),Data!$A$5:$A$301,0), MATCH($A$33, Data!$A$5:$K$5,0)),"")</f>
        <v>4</v>
      </c>
      <c r="P55" s="67">
        <f t="shared" si="22"/>
        <v>3.1428571428571423</v>
      </c>
      <c r="Q55" s="67">
        <f t="shared" si="22"/>
        <v>3.3214285714285712</v>
      </c>
      <c r="R55" s="67">
        <f t="shared" si="22"/>
        <v>3.5</v>
      </c>
      <c r="S55" s="67">
        <f t="shared" si="22"/>
        <v>3.6785714285714284</v>
      </c>
      <c r="T55" s="67">
        <f t="shared" si="22"/>
        <v>3.8571428571428568</v>
      </c>
      <c r="U55" s="67">
        <f t="shared" si="22"/>
        <v>4.0357142857142856</v>
      </c>
      <c r="V55" s="67">
        <f t="shared" si="22"/>
        <v>4.2142857142857135</v>
      </c>
      <c r="W55" s="90">
        <f t="shared" si="13"/>
        <v>184</v>
      </c>
      <c r="X55" s="90">
        <f t="shared" si="14"/>
        <v>184</v>
      </c>
      <c r="Y55" s="90">
        <f t="shared" si="15"/>
        <v>4</v>
      </c>
      <c r="Z55" s="90">
        <f t="shared" si="16"/>
        <v>4</v>
      </c>
      <c r="AA55" s="90">
        <f t="shared" si="17"/>
        <v>4</v>
      </c>
      <c r="AB55" s="90">
        <f t="shared" si="18"/>
        <v>4</v>
      </c>
      <c r="AC55" s="90">
        <f t="shared" si="19"/>
        <v>4</v>
      </c>
      <c r="AD55" s="84"/>
      <c r="AE55" s="91" t="s">
        <v>91</v>
      </c>
      <c r="AF55" s="92" t="s">
        <v>91</v>
      </c>
      <c r="AG55" s="93" t="str">
        <f t="shared" si="20"/>
        <v>OK</v>
      </c>
    </row>
    <row r="56" spans="1:33" x14ac:dyDescent="0.35">
      <c r="A56" s="70" t="s">
        <v>26</v>
      </c>
      <c r="B56" s="65">
        <f>IFERROR(INDEX(Data!$A$5:$K$301,MATCH('Forecast drivers'!$A56&amp;RIGHT(B$36,2),Data!$A$5:$A$301,0), MATCH($A$33, Data!$A$5:$K$5,0)),"")</f>
        <v>206</v>
      </c>
      <c r="C56" s="65">
        <f>IFERROR(INDEX(Data!$A$5:$K$301,MATCH('Forecast drivers'!$A56&amp;RIGHT(C$36,2),Data!$A$5:$A$301,0), MATCH($A$33, Data!$A$5:$K$5,0)),"")</f>
        <v>175</v>
      </c>
      <c r="D56" s="65">
        <f>IFERROR(INDEX(Data!$A$5:$K$301,MATCH('Forecast drivers'!$A56&amp;RIGHT(D$36,2),Data!$A$5:$A$301,0), MATCH($A$33, Data!$A$5:$K$5,0)),"")</f>
        <v>154</v>
      </c>
      <c r="E56" s="65">
        <f>IFERROR(INDEX(Data!$A$5:$K$301,MATCH('Forecast drivers'!$A56&amp;RIGHT(E$36,2),Data!$A$5:$A$301,0), MATCH($A$33, Data!$A$5:$K$5,0)),"")</f>
        <v>157</v>
      </c>
      <c r="F56" s="65">
        <f>IFERROR(INDEX(Data!$A$5:$K$301,MATCH('Forecast drivers'!$A56&amp;RIGHT(F$36,2),Data!$A$5:$A$301,0), MATCH($A$33, Data!$A$5:$K$5,0)),"")</f>
        <v>198</v>
      </c>
      <c r="G56" s="65">
        <f>IFERROR(INDEX(Data!$A$5:$K$301,MATCH('Forecast drivers'!$A56&amp;RIGHT(G$36,2),Data!$A$5:$A$301,0), MATCH($A$33, Data!$A$5:$K$5,0)),"")</f>
        <v>142</v>
      </c>
      <c r="H56" s="65">
        <f>IFERROR(INDEX(Data!$A$5:$K$301,MATCH('Forecast drivers'!$A56&amp;RIGHT(H$36,2),Data!$A$5:$A$301,0), MATCH($A$33, Data!$A$5:$K$5,0)),"")</f>
        <v>205</v>
      </c>
      <c r="I56" s="66">
        <f>IFERROR(INDEX(Data!$A$5:$K$301,MATCH('Forecast drivers'!$A56&amp;RIGHT(I$36,2),Data!$A$5:$A$301,0), MATCH($A$33, Data!$A$5:$K$5,0)),"")</f>
        <v>177</v>
      </c>
      <c r="J56" s="66">
        <f>IFERROR(INDEX(Data!$A$5:$K$301,MATCH('Forecast drivers'!$A56&amp;RIGHT(J$36,2),Data!$A$5:$A$301,0), MATCH($A$33, Data!$A$5:$K$5,0)),"")</f>
        <v>177</v>
      </c>
      <c r="K56" s="66">
        <f>IFERROR(INDEX(Data!$A$5:$K$301,MATCH('Forecast drivers'!$A56&amp;RIGHT(K$36,2),Data!$A$5:$A$301,0), MATCH($A$33, Data!$A$5:$K$5,0)),"")</f>
        <v>333</v>
      </c>
      <c r="L56" s="66">
        <f>IFERROR(INDEX(Data!$A$5:$K$301,MATCH('Forecast drivers'!$A56&amp;RIGHT(L$36,2),Data!$A$5:$A$301,0), MATCH($A$33, Data!$A$5:$K$5,0)),"")</f>
        <v>333</v>
      </c>
      <c r="M56" s="66">
        <f>IFERROR(INDEX(Data!$A$5:$K$301,MATCH('Forecast drivers'!$A56&amp;RIGHT(M$36,2),Data!$A$5:$A$301,0), MATCH($A$33, Data!$A$5:$K$5,0)),"")</f>
        <v>333</v>
      </c>
      <c r="N56" s="66">
        <f>IFERROR(INDEX(Data!$A$5:$K$301,MATCH('Forecast drivers'!$A56&amp;RIGHT(N$36,2),Data!$A$5:$A$301,0), MATCH($A$33, Data!$A$5:$K$5,0)),"")</f>
        <v>333</v>
      </c>
      <c r="O56" s="66">
        <f>IFERROR(INDEX(Data!$A$5:$K$301,MATCH('Forecast drivers'!$A56&amp;RIGHT(O$36,2),Data!$A$5:$A$301,0), MATCH($A$33, Data!$A$5:$K$5,0)),"")</f>
        <v>333</v>
      </c>
      <c r="P56" s="67">
        <f t="shared" si="22"/>
        <v>173.14285714285717</v>
      </c>
      <c r="Q56" s="67">
        <f t="shared" si="22"/>
        <v>172.25000000000003</v>
      </c>
      <c r="R56" s="67">
        <f t="shared" si="22"/>
        <v>171.35714285714289</v>
      </c>
      <c r="S56" s="67">
        <f t="shared" si="22"/>
        <v>170.46428571428572</v>
      </c>
      <c r="T56" s="67">
        <f t="shared" si="22"/>
        <v>169.57142857142858</v>
      </c>
      <c r="U56" s="67">
        <f t="shared" si="22"/>
        <v>168.67857142857144</v>
      </c>
      <c r="V56" s="67">
        <f t="shared" si="22"/>
        <v>167.78571428571431</v>
      </c>
      <c r="W56" s="90">
        <f t="shared" si="13"/>
        <v>177</v>
      </c>
      <c r="X56" s="90">
        <f t="shared" si="14"/>
        <v>177</v>
      </c>
      <c r="Y56" s="90">
        <f t="shared" si="15"/>
        <v>333</v>
      </c>
      <c r="Z56" s="90">
        <f t="shared" si="16"/>
        <v>333</v>
      </c>
      <c r="AA56" s="90">
        <f t="shared" si="17"/>
        <v>333</v>
      </c>
      <c r="AB56" s="90">
        <f t="shared" si="18"/>
        <v>333</v>
      </c>
      <c r="AC56" s="90">
        <f t="shared" si="19"/>
        <v>333</v>
      </c>
      <c r="AD56" s="84"/>
      <c r="AE56" s="91" t="s">
        <v>91</v>
      </c>
      <c r="AF56" s="92" t="s">
        <v>91</v>
      </c>
      <c r="AG56" s="93" t="str">
        <f t="shared" si="20"/>
        <v>OK</v>
      </c>
    </row>
    <row r="57" spans="1:33" x14ac:dyDescent="0.35">
      <c r="A57" s="71" t="s">
        <v>107</v>
      </c>
      <c r="B57" s="61">
        <f>SUM(B$38:B$56)</f>
        <v>34647</v>
      </c>
      <c r="C57" s="61">
        <f t="shared" ref="C57:H57" si="23">SUM(C$38:C$56)</f>
        <v>21525</v>
      </c>
      <c r="D57" s="61">
        <f t="shared" si="23"/>
        <v>18867</v>
      </c>
      <c r="E57" s="61">
        <f t="shared" si="23"/>
        <v>15976</v>
      </c>
      <c r="F57" s="61">
        <f t="shared" si="23"/>
        <v>16465</v>
      </c>
      <c r="G57" s="61">
        <f t="shared" si="23"/>
        <v>19998</v>
      </c>
      <c r="H57" s="61">
        <f t="shared" si="23"/>
        <v>18599</v>
      </c>
      <c r="I57" s="72">
        <f t="shared" ref="I57:V57" si="24">SUM(I38:I56)</f>
        <v>26245</v>
      </c>
      <c r="J57" s="72">
        <f t="shared" si="24"/>
        <v>30034</v>
      </c>
      <c r="K57" s="72">
        <f t="shared" si="24"/>
        <v>28715.200000000001</v>
      </c>
      <c r="L57" s="72">
        <f t="shared" si="24"/>
        <v>33557.199999999997</v>
      </c>
      <c r="M57" s="72">
        <f t="shared" si="24"/>
        <v>34102.199999999997</v>
      </c>
      <c r="N57" s="72">
        <f t="shared" si="24"/>
        <v>31178.2</v>
      </c>
      <c r="O57" s="72">
        <f t="shared" si="24"/>
        <v>29870.2</v>
      </c>
      <c r="P57" s="73">
        <f t="shared" si="24"/>
        <v>12731.05714285714</v>
      </c>
      <c r="Q57" s="73">
        <f t="shared" si="24"/>
        <v>10725.471428571429</v>
      </c>
      <c r="R57" s="73">
        <f t="shared" si="24"/>
        <v>8719.8857142857141</v>
      </c>
      <c r="S57" s="73">
        <f t="shared" si="24"/>
        <v>6714.2999999999975</v>
      </c>
      <c r="T57" s="73">
        <f t="shared" si="24"/>
        <v>4708.7142857142853</v>
      </c>
      <c r="U57" s="73">
        <f t="shared" si="24"/>
        <v>2703.1285714285714</v>
      </c>
      <c r="V57" s="73">
        <f t="shared" si="24"/>
        <v>697.54285714285902</v>
      </c>
      <c r="W57" s="74">
        <f>SUM(W$38:W$56)</f>
        <v>30034</v>
      </c>
      <c r="X57" s="74">
        <f t="shared" ref="X57:AC57" si="25">SUM(X$38:X$56)</f>
        <v>30034</v>
      </c>
      <c r="Y57" s="74">
        <f t="shared" si="25"/>
        <v>28715.200000000001</v>
      </c>
      <c r="Z57" s="74">
        <f t="shared" si="25"/>
        <v>33557.199999999997</v>
      </c>
      <c r="AA57" s="74">
        <f t="shared" si="25"/>
        <v>34102.199999999997</v>
      </c>
      <c r="AB57" s="74">
        <f t="shared" si="25"/>
        <v>31178.2</v>
      </c>
      <c r="AC57" s="75">
        <f t="shared" si="25"/>
        <v>29870.2</v>
      </c>
      <c r="AE57" s="91" t="s">
        <v>91</v>
      </c>
      <c r="AF57" s="92" t="s">
        <v>91</v>
      </c>
      <c r="AG57" s="93" t="str">
        <f t="shared" si="20"/>
        <v>OK</v>
      </c>
    </row>
  </sheetData>
  <mergeCells count="6">
    <mergeCell ref="AE36:AE37"/>
    <mergeCell ref="AF36:AF37"/>
    <mergeCell ref="AG36:AG37"/>
    <mergeCell ref="AE8:AE9"/>
    <mergeCell ref="AF8:AF9"/>
    <mergeCell ref="AG8:AG9"/>
  </mergeCells>
  <conditionalFormatting sqref="A38:A57 AE39:AG57 A10:A31 AE11:AG31 X57:AC57 X29:AB31">
    <cfRule type="cellIs" dxfId="15" priority="50" operator="equal">
      <formula>0</formula>
    </cfRule>
  </conditionalFormatting>
  <conditionalFormatting sqref="V29:V31">
    <cfRule type="cellIs" dxfId="14" priority="46" operator="equal">
      <formula>0</formula>
    </cfRule>
  </conditionalFormatting>
  <conditionalFormatting sqref="V29:V31">
    <cfRule type="cellIs" dxfId="13" priority="45" operator="equal">
      <formula>0</formula>
    </cfRule>
  </conditionalFormatting>
  <conditionalFormatting sqref="P29:U31">
    <cfRule type="cellIs" dxfId="12" priority="44" operator="equal">
      <formula>0</formula>
    </cfRule>
  </conditionalFormatting>
  <conditionalFormatting sqref="P29:U31">
    <cfRule type="cellIs" dxfId="11" priority="43" operator="equal">
      <formula>0</formula>
    </cfRule>
  </conditionalFormatting>
  <conditionalFormatting sqref="AF38:AG57 AF11:AG31">
    <cfRule type="expression" dxfId="10" priority="29">
      <formula>AF11="error"</formula>
    </cfRule>
    <cfRule type="expression" dxfId="9" priority="30">
      <formula>AF11="OK"</formula>
    </cfRule>
  </conditionalFormatting>
  <conditionalFormatting sqref="AE38:AG38">
    <cfRule type="cellIs" dxfId="8" priority="31" operator="equal">
      <formula>0</formula>
    </cfRule>
  </conditionalFormatting>
  <conditionalFormatting sqref="AC29:AC31">
    <cfRule type="cellIs" dxfId="7" priority="24" operator="equal">
      <formula>0</formula>
    </cfRule>
  </conditionalFormatting>
  <conditionalFormatting sqref="AE10:AG10">
    <cfRule type="cellIs" dxfId="6" priority="19" operator="equal">
      <formula>0</formula>
    </cfRule>
  </conditionalFormatting>
  <conditionalFormatting sqref="AF10:AG10">
    <cfRule type="expression" dxfId="5" priority="17">
      <formula>AF10="error"</formula>
    </cfRule>
    <cfRule type="expression" dxfId="4" priority="18">
      <formula>AF10="OK"</formula>
    </cfRule>
  </conditionalFormatting>
  <conditionalFormatting sqref="W29:W31 W57">
    <cfRule type="cellIs" dxfId="3" priority="1" operator="equal">
      <formula>0</formula>
    </cfRule>
  </conditionalFormatting>
  <dataValidations count="1">
    <dataValidation type="list" allowBlank="1" showInputMessage="1" showErrorMessage="1" promptTitle="Ofwat forecast" prompt="Please choose a forecasting approach. The decision will be used to populate the block &quot;Final decision&quot;." sqref="AE38:AE57 AE10:AE31">
      <formula1>"Company forecast, Ofwat forecast"</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93"/>
  <sheetViews>
    <sheetView showGridLines="0" workbookViewId="0"/>
  </sheetViews>
  <sheetFormatPr defaultColWidth="9" defaultRowHeight="13" x14ac:dyDescent="0.3"/>
  <cols>
    <col min="1" max="4" width="9" style="1"/>
    <col min="5" max="8" width="15.33203125" style="1" customWidth="1"/>
    <col min="9" max="16384" width="9" style="1"/>
  </cols>
  <sheetData>
    <row r="1" spans="1:8" ht="15.5" x14ac:dyDescent="0.35">
      <c r="A1" s="211" t="s">
        <v>36</v>
      </c>
    </row>
    <row r="2" spans="1:8" x14ac:dyDescent="0.3">
      <c r="A2" s="10" t="s">
        <v>37</v>
      </c>
    </row>
    <row r="4" spans="1:8" x14ac:dyDescent="0.3">
      <c r="E4" s="5"/>
      <c r="F4" s="5"/>
      <c r="G4" s="5"/>
      <c r="H4" s="5"/>
    </row>
    <row r="5" spans="1:8" x14ac:dyDescent="0.3">
      <c r="E5" s="109" t="s">
        <v>115</v>
      </c>
      <c r="F5" s="109"/>
      <c r="G5" s="112" t="s">
        <v>114</v>
      </c>
      <c r="H5" s="112"/>
    </row>
    <row r="6" spans="1:8" ht="39" x14ac:dyDescent="0.3">
      <c r="A6" s="19" t="s">
        <v>29</v>
      </c>
      <c r="B6" s="19" t="s">
        <v>6</v>
      </c>
      <c r="C6" s="19" t="s">
        <v>116</v>
      </c>
      <c r="D6" s="19" t="s">
        <v>117</v>
      </c>
      <c r="E6" s="31" t="s">
        <v>69</v>
      </c>
      <c r="F6" s="111" t="s">
        <v>71</v>
      </c>
      <c r="G6" s="31" t="s">
        <v>69</v>
      </c>
      <c r="H6" s="31" t="s">
        <v>71</v>
      </c>
    </row>
    <row r="7" spans="1:8" x14ac:dyDescent="0.3">
      <c r="A7" s="212" t="str">
        <f>B7&amp;RIGHT(D7,2)</f>
        <v>ANH21</v>
      </c>
      <c r="B7" s="212" t="s">
        <v>8</v>
      </c>
      <c r="C7" s="212" t="s">
        <v>102</v>
      </c>
      <c r="D7" s="212">
        <v>2021</v>
      </c>
      <c r="E7" s="110">
        <f>INDEX(Data!H$8:H$301,MATCH($A7,Data!$A$8:$A$301,0))</f>
        <v>515450</v>
      </c>
      <c r="F7" s="110">
        <f>INDEX(Data!I$8:I$301,MATCH($A7,Data!$A$8:$A$301,0))</f>
        <v>550</v>
      </c>
      <c r="G7" s="121">
        <f>INDEX('Forecast drivers'!$W$10:$AC$29,MATCH('Selected forecast drivers'!B7,'Forecast drivers'!$A$10:$A$29,0),MATCH('Selected forecast drivers'!C7,'Forecast drivers'!$W$8:$AC$8))</f>
        <v>515450</v>
      </c>
      <c r="H7" s="121">
        <f>INDEX('Forecast drivers'!$W$38:$AC$57,MATCH('Selected forecast drivers'!B7,'Forecast drivers'!$A$38:$A$57,0),MATCH('Selected forecast drivers'!C7,'Forecast drivers'!$W$36:$AC$36))</f>
        <v>550</v>
      </c>
    </row>
    <row r="8" spans="1:8" x14ac:dyDescent="0.3">
      <c r="A8" s="212" t="str">
        <f t="shared" ref="A8:A71" si="0">B8&amp;RIGHT(D8,2)</f>
        <v>ANH22</v>
      </c>
      <c r="B8" s="212" t="s">
        <v>8</v>
      </c>
      <c r="C8" s="212" t="s">
        <v>103</v>
      </c>
      <c r="D8" s="212">
        <v>2022</v>
      </c>
      <c r="E8" s="110">
        <f>INDEX(Data!H$8:H$301,MATCH($A8,Data!$A$8:$A$301,0))</f>
        <v>513760</v>
      </c>
      <c r="F8" s="110">
        <f>INDEX(Data!I$8:I$301,MATCH($A8,Data!$A$8:$A$301,0))</f>
        <v>1350</v>
      </c>
      <c r="G8" s="121">
        <f>INDEX('Forecast drivers'!$W$10:$AC$29,MATCH('Selected forecast drivers'!B8,'Forecast drivers'!$A$10:$A$29,0),MATCH('Selected forecast drivers'!C8,'Forecast drivers'!$W$8:$AC$8))</f>
        <v>513760</v>
      </c>
      <c r="H8" s="121">
        <f>INDEX('Forecast drivers'!$W$38:$AC$57,MATCH('Selected forecast drivers'!B8,'Forecast drivers'!$A$38:$A$57,0),MATCH('Selected forecast drivers'!C8,'Forecast drivers'!$W$36:$AC$36))</f>
        <v>1350</v>
      </c>
    </row>
    <row r="9" spans="1:8" x14ac:dyDescent="0.3">
      <c r="A9" s="212" t="str">
        <f t="shared" si="0"/>
        <v>ANH23</v>
      </c>
      <c r="B9" s="9" t="s">
        <v>8</v>
      </c>
      <c r="C9" s="9" t="s">
        <v>104</v>
      </c>
      <c r="D9" s="9">
        <v>2023</v>
      </c>
      <c r="E9" s="110">
        <f>INDEX(Data!H$8:H$301,MATCH($A9,Data!$A$8:$A$301,0))</f>
        <v>512080</v>
      </c>
      <c r="F9" s="110">
        <f>INDEX(Data!I$8:I$301,MATCH($A9,Data!$A$8:$A$301,0))</f>
        <v>1350</v>
      </c>
      <c r="G9" s="121">
        <f>INDEX('Forecast drivers'!$W$10:$AC$29,MATCH('Selected forecast drivers'!B9,'Forecast drivers'!$A$10:$A$29,0),MATCH('Selected forecast drivers'!C9,'Forecast drivers'!$W$8:$AC$8))</f>
        <v>512080</v>
      </c>
      <c r="H9" s="121">
        <f>INDEX('Forecast drivers'!$W$38:$AC$57,MATCH('Selected forecast drivers'!B9,'Forecast drivers'!$A$38:$A$57,0),MATCH('Selected forecast drivers'!C9,'Forecast drivers'!$W$36:$AC$36))</f>
        <v>1350</v>
      </c>
    </row>
    <row r="10" spans="1:8" x14ac:dyDescent="0.3">
      <c r="A10" s="9" t="str">
        <f t="shared" si="0"/>
        <v>ANH24</v>
      </c>
      <c r="B10" s="9" t="s">
        <v>8</v>
      </c>
      <c r="C10" s="9" t="s">
        <v>105</v>
      </c>
      <c r="D10" s="9">
        <v>2024</v>
      </c>
      <c r="E10" s="110">
        <f>INDEX(Data!H$8:H$301,MATCH($A10,Data!$A$8:$A$301,0))</f>
        <v>510400</v>
      </c>
      <c r="F10" s="110">
        <f>INDEX(Data!I$8:I$301,MATCH($A10,Data!$A$8:$A$301,0))</f>
        <v>1350</v>
      </c>
      <c r="G10" s="121">
        <f>INDEX('Forecast drivers'!$W$10:$AC$29,MATCH('Selected forecast drivers'!B10,'Forecast drivers'!$A$10:$A$29,0),MATCH('Selected forecast drivers'!C10,'Forecast drivers'!$W$8:$AC$8))</f>
        <v>510400</v>
      </c>
      <c r="H10" s="121">
        <f>INDEX('Forecast drivers'!$W$38:$AC$57,MATCH('Selected forecast drivers'!B10,'Forecast drivers'!$A$38:$A$57,0),MATCH('Selected forecast drivers'!C10,'Forecast drivers'!$W$36:$AC$36))</f>
        <v>1350</v>
      </c>
    </row>
    <row r="11" spans="1:8" x14ac:dyDescent="0.3">
      <c r="A11" s="9" t="str">
        <f t="shared" si="0"/>
        <v>ANH25</v>
      </c>
      <c r="B11" s="9" t="s">
        <v>8</v>
      </c>
      <c r="C11" s="9" t="s">
        <v>106</v>
      </c>
      <c r="D11" s="9">
        <v>2025</v>
      </c>
      <c r="E11" s="110">
        <f>INDEX(Data!H$8:H$301,MATCH($A11,Data!$A$8:$A$301,0))</f>
        <v>509550</v>
      </c>
      <c r="F11" s="110">
        <f>INDEX(Data!I$8:I$301,MATCH($A11,Data!$A$8:$A$301,0))</f>
        <v>650</v>
      </c>
      <c r="G11" s="121">
        <f>INDEX('Forecast drivers'!$W$10:$AC$29,MATCH('Selected forecast drivers'!B11,'Forecast drivers'!$A$10:$A$29,0),MATCH('Selected forecast drivers'!C11,'Forecast drivers'!$W$8:$AC$8))</f>
        <v>509550</v>
      </c>
      <c r="H11" s="121">
        <f>INDEX('Forecast drivers'!$W$38:$AC$57,MATCH('Selected forecast drivers'!B11,'Forecast drivers'!$A$38:$A$57,0),MATCH('Selected forecast drivers'!C11,'Forecast drivers'!$W$36:$AC$36))</f>
        <v>650</v>
      </c>
    </row>
    <row r="12" spans="1:8" x14ac:dyDescent="0.3">
      <c r="A12" s="9" t="str">
        <f t="shared" si="0"/>
        <v>HDD21</v>
      </c>
      <c r="B12" s="9" t="s">
        <v>28</v>
      </c>
      <c r="C12" s="212" t="s">
        <v>102</v>
      </c>
      <c r="D12" s="9">
        <v>2021</v>
      </c>
      <c r="E12" s="110">
        <f>INDEX(Data!H$8:H$301,MATCH($A12,Data!$A$8:$A$301,0))</f>
        <v>22931.2596009974</v>
      </c>
      <c r="F12" s="110">
        <f>INDEX(Data!I$8:I$301,MATCH($A12,Data!$A$8:$A$301,0))</f>
        <v>51</v>
      </c>
      <c r="G12" s="121">
        <f>INDEX('Forecast drivers'!$W$10:$AC$29,MATCH('Selected forecast drivers'!B12,'Forecast drivers'!$A$10:$A$29,0),MATCH('Selected forecast drivers'!C12,'Forecast drivers'!$W$8:$AC$8))</f>
        <v>22931.2596009974</v>
      </c>
      <c r="H12" s="121">
        <f>INDEX('Forecast drivers'!$W$38:$AC$57,MATCH('Selected forecast drivers'!B12,'Forecast drivers'!$A$38:$A$57,0),MATCH('Selected forecast drivers'!C12,'Forecast drivers'!$W$36:$AC$36))</f>
        <v>51</v>
      </c>
    </row>
    <row r="13" spans="1:8" x14ac:dyDescent="0.3">
      <c r="A13" s="9" t="str">
        <f t="shared" si="0"/>
        <v>HDD22</v>
      </c>
      <c r="B13" s="9" t="s">
        <v>28</v>
      </c>
      <c r="C13" s="212" t="s">
        <v>103</v>
      </c>
      <c r="D13" s="9">
        <v>2022</v>
      </c>
      <c r="E13" s="110">
        <f>INDEX(Data!H$8:H$301,MATCH($A13,Data!$A$8:$A$301,0))</f>
        <v>22890.755632868899</v>
      </c>
      <c r="F13" s="110">
        <f>INDEX(Data!I$8:I$301,MATCH($A13,Data!$A$8:$A$301,0))</f>
        <v>51</v>
      </c>
      <c r="G13" s="121">
        <f>INDEX('Forecast drivers'!$W$10:$AC$29,MATCH('Selected forecast drivers'!B13,'Forecast drivers'!$A$10:$A$29,0),MATCH('Selected forecast drivers'!C13,'Forecast drivers'!$W$8:$AC$8))</f>
        <v>22890.755632868899</v>
      </c>
      <c r="H13" s="121">
        <f>INDEX('Forecast drivers'!$W$38:$AC$57,MATCH('Selected forecast drivers'!B13,'Forecast drivers'!$A$38:$A$57,0),MATCH('Selected forecast drivers'!C13,'Forecast drivers'!$W$36:$AC$36))</f>
        <v>51</v>
      </c>
    </row>
    <row r="14" spans="1:8" x14ac:dyDescent="0.3">
      <c r="A14" s="9" t="str">
        <f t="shared" si="0"/>
        <v>HDD23</v>
      </c>
      <c r="B14" s="9" t="s">
        <v>28</v>
      </c>
      <c r="C14" s="9" t="s">
        <v>104</v>
      </c>
      <c r="D14" s="9">
        <v>2023</v>
      </c>
      <c r="E14" s="110">
        <f>INDEX(Data!H$8:H$301,MATCH($A14,Data!$A$8:$A$301,0))</f>
        <v>22850.331952278</v>
      </c>
      <c r="F14" s="110">
        <f>INDEX(Data!I$8:I$301,MATCH($A14,Data!$A$8:$A$301,0))</f>
        <v>51</v>
      </c>
      <c r="G14" s="121">
        <f>INDEX('Forecast drivers'!$W$10:$AC$29,MATCH('Selected forecast drivers'!B14,'Forecast drivers'!$A$10:$A$29,0),MATCH('Selected forecast drivers'!C14,'Forecast drivers'!$W$8:$AC$8))</f>
        <v>22850.331952278</v>
      </c>
      <c r="H14" s="121">
        <f>INDEX('Forecast drivers'!$W$38:$AC$57,MATCH('Selected forecast drivers'!B14,'Forecast drivers'!$A$38:$A$57,0),MATCH('Selected forecast drivers'!C14,'Forecast drivers'!$W$36:$AC$36))</f>
        <v>51</v>
      </c>
    </row>
    <row r="15" spans="1:8" x14ac:dyDescent="0.3">
      <c r="A15" s="9" t="str">
        <f t="shared" si="0"/>
        <v>HDD24</v>
      </c>
      <c r="B15" s="9" t="s">
        <v>28</v>
      </c>
      <c r="C15" s="9" t="s">
        <v>105</v>
      </c>
      <c r="D15" s="9">
        <v>2024</v>
      </c>
      <c r="E15" s="110">
        <f>INDEX(Data!H$8:H$301,MATCH($A15,Data!$A$8:$A$301,0))</f>
        <v>22809.9883784349</v>
      </c>
      <c r="F15" s="110">
        <f>INDEX(Data!I$8:I$301,MATCH($A15,Data!$A$8:$A$301,0))</f>
        <v>51</v>
      </c>
      <c r="G15" s="121">
        <f>INDEX('Forecast drivers'!$W$10:$AC$29,MATCH('Selected forecast drivers'!B15,'Forecast drivers'!$A$10:$A$29,0),MATCH('Selected forecast drivers'!C15,'Forecast drivers'!$W$8:$AC$8))</f>
        <v>22809.9883784349</v>
      </c>
      <c r="H15" s="121">
        <f>INDEX('Forecast drivers'!$W$38:$AC$57,MATCH('Selected forecast drivers'!B15,'Forecast drivers'!$A$38:$A$57,0),MATCH('Selected forecast drivers'!C15,'Forecast drivers'!$W$36:$AC$36))</f>
        <v>51</v>
      </c>
    </row>
    <row r="16" spans="1:8" x14ac:dyDescent="0.3">
      <c r="A16" s="9" t="str">
        <f t="shared" si="0"/>
        <v>HDD25</v>
      </c>
      <c r="B16" s="9" t="s">
        <v>28</v>
      </c>
      <c r="C16" s="9" t="s">
        <v>106</v>
      </c>
      <c r="D16" s="9">
        <v>2025</v>
      </c>
      <c r="E16" s="110">
        <f>INDEX(Data!H$8:H$301,MATCH($A16,Data!$A$8:$A$301,0))</f>
        <v>22769.7247310046</v>
      </c>
      <c r="F16" s="110">
        <f>INDEX(Data!I$8:I$301,MATCH($A16,Data!$A$8:$A$301,0))</f>
        <v>51</v>
      </c>
      <c r="G16" s="121">
        <f>INDEX('Forecast drivers'!$W$10:$AC$29,MATCH('Selected forecast drivers'!B16,'Forecast drivers'!$A$10:$A$29,0),MATCH('Selected forecast drivers'!C16,'Forecast drivers'!$W$8:$AC$8))</f>
        <v>22769.7247310046</v>
      </c>
      <c r="H16" s="121">
        <f>INDEX('Forecast drivers'!$W$38:$AC$57,MATCH('Selected forecast drivers'!B16,'Forecast drivers'!$A$38:$A$57,0),MATCH('Selected forecast drivers'!C16,'Forecast drivers'!$W$36:$AC$36))</f>
        <v>51</v>
      </c>
    </row>
    <row r="17" spans="1:8" x14ac:dyDescent="0.3">
      <c r="A17" s="9" t="str">
        <f t="shared" si="0"/>
        <v>NES21</v>
      </c>
      <c r="B17" s="9" t="s">
        <v>9</v>
      </c>
      <c r="C17" s="212" t="s">
        <v>102</v>
      </c>
      <c r="D17" s="9">
        <v>2021</v>
      </c>
      <c r="E17" s="110">
        <f>INDEX(Data!H$8:H$301,MATCH($A17,Data!$A$8:$A$301,0))</f>
        <v>534475</v>
      </c>
      <c r="F17" s="110">
        <f>INDEX(Data!I$8:I$301,MATCH($A17,Data!$A$8:$A$301,0))</f>
        <v>1717</v>
      </c>
      <c r="G17" s="121">
        <f>INDEX('Forecast drivers'!$W$10:$AC$29,MATCH('Selected forecast drivers'!B17,'Forecast drivers'!$A$10:$A$29,0),MATCH('Selected forecast drivers'!C17,'Forecast drivers'!$W$8:$AC$8))</f>
        <v>534475</v>
      </c>
      <c r="H17" s="121">
        <f>INDEX('Forecast drivers'!$W$38:$AC$57,MATCH('Selected forecast drivers'!B17,'Forecast drivers'!$A$38:$A$57,0),MATCH('Selected forecast drivers'!C17,'Forecast drivers'!$W$36:$AC$36))</f>
        <v>1717</v>
      </c>
    </row>
    <row r="18" spans="1:8" x14ac:dyDescent="0.3">
      <c r="A18" s="9" t="str">
        <f t="shared" si="0"/>
        <v>NES22</v>
      </c>
      <c r="B18" s="9" t="s">
        <v>9</v>
      </c>
      <c r="C18" s="212" t="s">
        <v>103</v>
      </c>
      <c r="D18" s="9">
        <v>2022</v>
      </c>
      <c r="E18" s="110">
        <f>INDEX(Data!H$8:H$301,MATCH($A18,Data!$A$8:$A$301,0))</f>
        <v>527671</v>
      </c>
      <c r="F18" s="110">
        <f>INDEX(Data!I$8:I$301,MATCH($A18,Data!$A$8:$A$301,0))</f>
        <v>1895</v>
      </c>
      <c r="G18" s="121">
        <f>INDEX('Forecast drivers'!$W$10:$AC$29,MATCH('Selected forecast drivers'!B18,'Forecast drivers'!$A$10:$A$29,0),MATCH('Selected forecast drivers'!C18,'Forecast drivers'!$W$8:$AC$8))</f>
        <v>527671</v>
      </c>
      <c r="H18" s="121">
        <f>INDEX('Forecast drivers'!$W$38:$AC$57,MATCH('Selected forecast drivers'!B18,'Forecast drivers'!$A$38:$A$57,0),MATCH('Selected forecast drivers'!C18,'Forecast drivers'!$W$36:$AC$36))</f>
        <v>1895</v>
      </c>
    </row>
    <row r="19" spans="1:8" x14ac:dyDescent="0.3">
      <c r="A19" s="9" t="str">
        <f t="shared" si="0"/>
        <v>NES23</v>
      </c>
      <c r="B19" s="9" t="s">
        <v>9</v>
      </c>
      <c r="C19" s="9" t="s">
        <v>104</v>
      </c>
      <c r="D19" s="9">
        <v>2023</v>
      </c>
      <c r="E19" s="110">
        <f>INDEX(Data!H$8:H$301,MATCH($A19,Data!$A$8:$A$301,0))</f>
        <v>520867</v>
      </c>
      <c r="F19" s="110">
        <f>INDEX(Data!I$8:I$301,MATCH($A19,Data!$A$8:$A$301,0))</f>
        <v>1895</v>
      </c>
      <c r="G19" s="121">
        <f>INDEX('Forecast drivers'!$W$10:$AC$29,MATCH('Selected forecast drivers'!B19,'Forecast drivers'!$A$10:$A$29,0),MATCH('Selected forecast drivers'!C19,'Forecast drivers'!$W$8:$AC$8))</f>
        <v>520867</v>
      </c>
      <c r="H19" s="121">
        <f>INDEX('Forecast drivers'!$W$38:$AC$57,MATCH('Selected forecast drivers'!B19,'Forecast drivers'!$A$38:$A$57,0),MATCH('Selected forecast drivers'!C19,'Forecast drivers'!$W$36:$AC$36))</f>
        <v>1895</v>
      </c>
    </row>
    <row r="20" spans="1:8" x14ac:dyDescent="0.3">
      <c r="A20" s="9" t="str">
        <f t="shared" si="0"/>
        <v>NES24</v>
      </c>
      <c r="B20" s="9" t="s">
        <v>9</v>
      </c>
      <c r="C20" s="9" t="s">
        <v>105</v>
      </c>
      <c r="D20" s="9">
        <v>2024</v>
      </c>
      <c r="E20" s="110">
        <f>INDEX(Data!H$8:H$301,MATCH($A20,Data!$A$8:$A$301,0))</f>
        <v>514063</v>
      </c>
      <c r="F20" s="110">
        <f>INDEX(Data!I$8:I$301,MATCH($A20,Data!$A$8:$A$301,0))</f>
        <v>1895</v>
      </c>
      <c r="G20" s="121">
        <f>INDEX('Forecast drivers'!$W$10:$AC$29,MATCH('Selected forecast drivers'!B20,'Forecast drivers'!$A$10:$A$29,0),MATCH('Selected forecast drivers'!C20,'Forecast drivers'!$W$8:$AC$8))</f>
        <v>514063</v>
      </c>
      <c r="H20" s="121">
        <f>INDEX('Forecast drivers'!$W$38:$AC$57,MATCH('Selected forecast drivers'!B20,'Forecast drivers'!$A$38:$A$57,0),MATCH('Selected forecast drivers'!C20,'Forecast drivers'!$W$36:$AC$36))</f>
        <v>1895</v>
      </c>
    </row>
    <row r="21" spans="1:8" x14ac:dyDescent="0.3">
      <c r="A21" s="9" t="str">
        <f t="shared" si="0"/>
        <v>NES25</v>
      </c>
      <c r="B21" s="9" t="s">
        <v>9</v>
      </c>
      <c r="C21" s="9" t="s">
        <v>106</v>
      </c>
      <c r="D21" s="9">
        <v>2025</v>
      </c>
      <c r="E21" s="110">
        <f>INDEX(Data!H$8:H$301,MATCH($A21,Data!$A$8:$A$301,0))</f>
        <v>507274</v>
      </c>
      <c r="F21" s="110">
        <f>INDEX(Data!I$8:I$301,MATCH($A21,Data!$A$8:$A$301,0))</f>
        <v>1880</v>
      </c>
      <c r="G21" s="121">
        <f>INDEX('Forecast drivers'!$W$10:$AC$29,MATCH('Selected forecast drivers'!B21,'Forecast drivers'!$A$10:$A$29,0),MATCH('Selected forecast drivers'!C21,'Forecast drivers'!$W$8:$AC$8))</f>
        <v>507274</v>
      </c>
      <c r="H21" s="121">
        <f>INDEX('Forecast drivers'!$W$38:$AC$57,MATCH('Selected forecast drivers'!B21,'Forecast drivers'!$A$38:$A$57,0),MATCH('Selected forecast drivers'!C21,'Forecast drivers'!$W$36:$AC$36))</f>
        <v>1880</v>
      </c>
    </row>
    <row r="22" spans="1:8" x14ac:dyDescent="0.3">
      <c r="A22" s="9" t="str">
        <f t="shared" si="0"/>
        <v>NWT21</v>
      </c>
      <c r="B22" s="9" t="s">
        <v>10</v>
      </c>
      <c r="C22" s="212" t="s">
        <v>102</v>
      </c>
      <c r="D22" s="9">
        <v>2021</v>
      </c>
      <c r="E22" s="110">
        <f>INDEX(Data!H$8:H$301,MATCH($A22,Data!$A$8:$A$301,0))</f>
        <v>516895</v>
      </c>
      <c r="F22" s="110">
        <f>INDEX(Data!I$8:I$301,MATCH($A22,Data!$A$8:$A$301,0))</f>
        <v>4464</v>
      </c>
      <c r="G22" s="121">
        <f>INDEX('Forecast drivers'!$W$10:$AC$29,MATCH('Selected forecast drivers'!B22,'Forecast drivers'!$A$10:$A$29,0),MATCH('Selected forecast drivers'!C22,'Forecast drivers'!$W$8:$AC$8))</f>
        <v>516895</v>
      </c>
      <c r="H22" s="121">
        <f>INDEX('Forecast drivers'!$W$38:$AC$57,MATCH('Selected forecast drivers'!B22,'Forecast drivers'!$A$38:$A$57,0),MATCH('Selected forecast drivers'!C22,'Forecast drivers'!$W$36:$AC$36))</f>
        <v>4464</v>
      </c>
    </row>
    <row r="23" spans="1:8" x14ac:dyDescent="0.3">
      <c r="A23" s="9" t="str">
        <f t="shared" si="0"/>
        <v>NWT22</v>
      </c>
      <c r="B23" s="9" t="s">
        <v>10</v>
      </c>
      <c r="C23" s="212" t="s">
        <v>103</v>
      </c>
      <c r="D23" s="9">
        <v>2022</v>
      </c>
      <c r="E23" s="110">
        <f>INDEX(Data!H$8:H$301,MATCH($A23,Data!$A$8:$A$301,0))</f>
        <v>511931</v>
      </c>
      <c r="F23" s="110">
        <f>INDEX(Data!I$8:I$301,MATCH($A23,Data!$A$8:$A$301,0))</f>
        <v>4964</v>
      </c>
      <c r="G23" s="121">
        <f>INDEX('Forecast drivers'!$W$10:$AC$29,MATCH('Selected forecast drivers'!B23,'Forecast drivers'!$A$10:$A$29,0),MATCH('Selected forecast drivers'!C23,'Forecast drivers'!$W$8:$AC$8))</f>
        <v>511931</v>
      </c>
      <c r="H23" s="121">
        <f>INDEX('Forecast drivers'!$W$38:$AC$57,MATCH('Selected forecast drivers'!B23,'Forecast drivers'!$A$38:$A$57,0),MATCH('Selected forecast drivers'!C23,'Forecast drivers'!$W$36:$AC$36))</f>
        <v>4964</v>
      </c>
    </row>
    <row r="24" spans="1:8" x14ac:dyDescent="0.3">
      <c r="A24" s="9" t="str">
        <f t="shared" si="0"/>
        <v>NWT23</v>
      </c>
      <c r="B24" s="9" t="s">
        <v>10</v>
      </c>
      <c r="C24" s="9" t="s">
        <v>104</v>
      </c>
      <c r="D24" s="9">
        <v>2023</v>
      </c>
      <c r="E24" s="110">
        <f>INDEX(Data!H$8:H$301,MATCH($A24,Data!$A$8:$A$301,0))</f>
        <v>506667</v>
      </c>
      <c r="F24" s="110">
        <f>INDEX(Data!I$8:I$301,MATCH($A24,Data!$A$8:$A$301,0))</f>
        <v>5264</v>
      </c>
      <c r="G24" s="121">
        <f>INDEX('Forecast drivers'!$W$10:$AC$29,MATCH('Selected forecast drivers'!B24,'Forecast drivers'!$A$10:$A$29,0),MATCH('Selected forecast drivers'!C24,'Forecast drivers'!$W$8:$AC$8))</f>
        <v>506667</v>
      </c>
      <c r="H24" s="121">
        <f>INDEX('Forecast drivers'!$W$38:$AC$57,MATCH('Selected forecast drivers'!B24,'Forecast drivers'!$A$38:$A$57,0),MATCH('Selected forecast drivers'!C24,'Forecast drivers'!$W$36:$AC$36))</f>
        <v>5264</v>
      </c>
    </row>
    <row r="25" spans="1:8" x14ac:dyDescent="0.3">
      <c r="A25" s="9" t="str">
        <f t="shared" si="0"/>
        <v>NWT24</v>
      </c>
      <c r="B25" s="9" t="s">
        <v>10</v>
      </c>
      <c r="C25" s="9" t="s">
        <v>105</v>
      </c>
      <c r="D25" s="9">
        <v>2024</v>
      </c>
      <c r="E25" s="110">
        <f>INDEX(Data!H$8:H$301,MATCH($A25,Data!$A$8:$A$301,0))</f>
        <v>501453</v>
      </c>
      <c r="F25" s="110">
        <f>INDEX(Data!I$8:I$301,MATCH($A25,Data!$A$8:$A$301,0))</f>
        <v>5214</v>
      </c>
      <c r="G25" s="121">
        <f>INDEX('Forecast drivers'!$W$10:$AC$29,MATCH('Selected forecast drivers'!B25,'Forecast drivers'!$A$10:$A$29,0),MATCH('Selected forecast drivers'!C25,'Forecast drivers'!$W$8:$AC$8))</f>
        <v>501453</v>
      </c>
      <c r="H25" s="121">
        <f>INDEX('Forecast drivers'!$W$38:$AC$57,MATCH('Selected forecast drivers'!B25,'Forecast drivers'!$A$38:$A$57,0),MATCH('Selected forecast drivers'!C25,'Forecast drivers'!$W$36:$AC$36))</f>
        <v>5214</v>
      </c>
    </row>
    <row r="26" spans="1:8" x14ac:dyDescent="0.3">
      <c r="A26" s="9" t="str">
        <f t="shared" si="0"/>
        <v>NWT25</v>
      </c>
      <c r="B26" s="9" t="s">
        <v>10</v>
      </c>
      <c r="C26" s="9" t="s">
        <v>106</v>
      </c>
      <c r="D26" s="9">
        <v>2025</v>
      </c>
      <c r="E26" s="110">
        <f>INDEX(Data!H$8:H$301,MATCH($A26,Data!$A$8:$A$301,0))</f>
        <v>496239</v>
      </c>
      <c r="F26" s="110">
        <f>INDEX(Data!I$8:I$301,MATCH($A26,Data!$A$8:$A$301,0))</f>
        <v>5214</v>
      </c>
      <c r="G26" s="121">
        <f>INDEX('Forecast drivers'!$W$10:$AC$29,MATCH('Selected forecast drivers'!B26,'Forecast drivers'!$A$10:$A$29,0),MATCH('Selected forecast drivers'!C26,'Forecast drivers'!$W$8:$AC$8))</f>
        <v>496239</v>
      </c>
      <c r="H26" s="121">
        <f>INDEX('Forecast drivers'!$W$38:$AC$57,MATCH('Selected forecast drivers'!B26,'Forecast drivers'!$A$38:$A$57,0),MATCH('Selected forecast drivers'!C26,'Forecast drivers'!$W$36:$AC$36))</f>
        <v>5214</v>
      </c>
    </row>
    <row r="27" spans="1:8" x14ac:dyDescent="0.3">
      <c r="A27" s="9" t="str">
        <f t="shared" si="0"/>
        <v>SRN21</v>
      </c>
      <c r="B27" s="9" t="s">
        <v>11</v>
      </c>
      <c r="C27" s="212" t="s">
        <v>102</v>
      </c>
      <c r="D27" s="9">
        <v>2021</v>
      </c>
      <c r="E27" s="110">
        <f>INDEX(Data!H$8:H$301,MATCH($A27,Data!$A$8:$A$301,0))</f>
        <v>134542</v>
      </c>
      <c r="F27" s="110">
        <f>INDEX(Data!I$8:I$301,MATCH($A27,Data!$A$8:$A$301,0))</f>
        <v>4655</v>
      </c>
      <c r="G27" s="121">
        <f>INDEX('Forecast drivers'!$W$10:$AC$29,MATCH('Selected forecast drivers'!B27,'Forecast drivers'!$A$10:$A$29,0),MATCH('Selected forecast drivers'!C27,'Forecast drivers'!$W$8:$AC$8))</f>
        <v>134542</v>
      </c>
      <c r="H27" s="121">
        <f>INDEX('Forecast drivers'!$W$38:$AC$57,MATCH('Selected forecast drivers'!B27,'Forecast drivers'!$A$38:$A$57,0),MATCH('Selected forecast drivers'!C27,'Forecast drivers'!$W$36:$AC$36))</f>
        <v>4655</v>
      </c>
    </row>
    <row r="28" spans="1:8" x14ac:dyDescent="0.3">
      <c r="A28" s="9" t="str">
        <f t="shared" si="0"/>
        <v>SRN22</v>
      </c>
      <c r="B28" s="9" t="s">
        <v>11</v>
      </c>
      <c r="C28" s="212" t="s">
        <v>103</v>
      </c>
      <c r="D28" s="9">
        <v>2022</v>
      </c>
      <c r="E28" s="110">
        <f>INDEX(Data!H$8:H$301,MATCH($A28,Data!$A$8:$A$301,0))</f>
        <v>126774</v>
      </c>
      <c r="F28" s="110">
        <f>INDEX(Data!I$8:I$301,MATCH($A28,Data!$A$8:$A$301,0))</f>
        <v>7768</v>
      </c>
      <c r="G28" s="121">
        <f>INDEX('Forecast drivers'!$W$10:$AC$29,MATCH('Selected forecast drivers'!B28,'Forecast drivers'!$A$10:$A$29,0),MATCH('Selected forecast drivers'!C28,'Forecast drivers'!$W$8:$AC$8))</f>
        <v>126774</v>
      </c>
      <c r="H28" s="121">
        <f>INDEX('Forecast drivers'!$W$38:$AC$57,MATCH('Selected forecast drivers'!B28,'Forecast drivers'!$A$38:$A$57,0),MATCH('Selected forecast drivers'!C28,'Forecast drivers'!$W$36:$AC$36))</f>
        <v>7768</v>
      </c>
    </row>
    <row r="29" spans="1:8" x14ac:dyDescent="0.3">
      <c r="A29" s="9" t="str">
        <f t="shared" si="0"/>
        <v>SRN23</v>
      </c>
      <c r="B29" s="9" t="s">
        <v>11</v>
      </c>
      <c r="C29" s="9" t="s">
        <v>104</v>
      </c>
      <c r="D29" s="9">
        <v>2023</v>
      </c>
      <c r="E29" s="110">
        <f>INDEX(Data!H$8:H$301,MATCH($A29,Data!$A$8:$A$301,0))</f>
        <v>119361</v>
      </c>
      <c r="F29" s="110">
        <f>INDEX(Data!I$8:I$301,MATCH($A29,Data!$A$8:$A$301,0))</f>
        <v>7413</v>
      </c>
      <c r="G29" s="121">
        <f>INDEX('Forecast drivers'!$W$10:$AC$29,MATCH('Selected forecast drivers'!B29,'Forecast drivers'!$A$10:$A$29,0),MATCH('Selected forecast drivers'!C29,'Forecast drivers'!$W$8:$AC$8))</f>
        <v>119361</v>
      </c>
      <c r="H29" s="121">
        <f>INDEX('Forecast drivers'!$W$38:$AC$57,MATCH('Selected forecast drivers'!B29,'Forecast drivers'!$A$38:$A$57,0),MATCH('Selected forecast drivers'!C29,'Forecast drivers'!$W$36:$AC$36))</f>
        <v>7413</v>
      </c>
    </row>
    <row r="30" spans="1:8" x14ac:dyDescent="0.3">
      <c r="A30" s="9" t="str">
        <f t="shared" si="0"/>
        <v>SRN24</v>
      </c>
      <c r="B30" s="9" t="s">
        <v>11</v>
      </c>
      <c r="C30" s="9" t="s">
        <v>105</v>
      </c>
      <c r="D30" s="9">
        <v>2024</v>
      </c>
      <c r="E30" s="110">
        <f>INDEX(Data!H$8:H$301,MATCH($A30,Data!$A$8:$A$301,0))</f>
        <v>115023</v>
      </c>
      <c r="F30" s="110">
        <f>INDEX(Data!I$8:I$301,MATCH($A30,Data!$A$8:$A$301,0))</f>
        <v>4338</v>
      </c>
      <c r="G30" s="121">
        <f>INDEX('Forecast drivers'!$W$10:$AC$29,MATCH('Selected forecast drivers'!B30,'Forecast drivers'!$A$10:$A$29,0),MATCH('Selected forecast drivers'!C30,'Forecast drivers'!$W$8:$AC$8))</f>
        <v>115023</v>
      </c>
      <c r="H30" s="121">
        <f>INDEX('Forecast drivers'!$W$38:$AC$57,MATCH('Selected forecast drivers'!B30,'Forecast drivers'!$A$38:$A$57,0),MATCH('Selected forecast drivers'!C30,'Forecast drivers'!$W$36:$AC$36))</f>
        <v>4338</v>
      </c>
    </row>
    <row r="31" spans="1:8" x14ac:dyDescent="0.3">
      <c r="A31" s="9" t="str">
        <f t="shared" si="0"/>
        <v>SRN25</v>
      </c>
      <c r="B31" s="9" t="s">
        <v>11</v>
      </c>
      <c r="C31" s="9" t="s">
        <v>106</v>
      </c>
      <c r="D31" s="9">
        <v>2025</v>
      </c>
      <c r="E31" s="110">
        <f>INDEX(Data!H$8:H$301,MATCH($A31,Data!$A$8:$A$301,0))</f>
        <v>111278</v>
      </c>
      <c r="F31" s="110">
        <f>INDEX(Data!I$8:I$301,MATCH($A31,Data!$A$8:$A$301,0))</f>
        <v>3745</v>
      </c>
      <c r="G31" s="121">
        <f>INDEX('Forecast drivers'!$W$10:$AC$29,MATCH('Selected forecast drivers'!B31,'Forecast drivers'!$A$10:$A$29,0),MATCH('Selected forecast drivers'!C31,'Forecast drivers'!$W$8:$AC$8))</f>
        <v>111278</v>
      </c>
      <c r="H31" s="121">
        <f>INDEX('Forecast drivers'!$W$38:$AC$57,MATCH('Selected forecast drivers'!B31,'Forecast drivers'!$A$38:$A$57,0),MATCH('Selected forecast drivers'!C31,'Forecast drivers'!$W$36:$AC$36))</f>
        <v>3745</v>
      </c>
    </row>
    <row r="32" spans="1:8" x14ac:dyDescent="0.3">
      <c r="A32" s="9" t="str">
        <f t="shared" si="0"/>
        <v>SVE21</v>
      </c>
      <c r="B32" s="9" t="s">
        <v>27</v>
      </c>
      <c r="C32" s="212" t="s">
        <v>102</v>
      </c>
      <c r="D32" s="9">
        <v>2021</v>
      </c>
      <c r="E32" s="110">
        <f>INDEX(Data!H$8:H$301,MATCH($A32,Data!$A$8:$A$301,0))</f>
        <v>632238.79543348996</v>
      </c>
      <c r="F32" s="110">
        <f>INDEX(Data!I$8:I$301,MATCH($A32,Data!$A$8:$A$301,0))</f>
        <v>796</v>
      </c>
      <c r="G32" s="121">
        <f>INDEX('Forecast drivers'!$W$10:$AC$29,MATCH('Selected forecast drivers'!B32,'Forecast drivers'!$A$10:$A$29,0),MATCH('Selected forecast drivers'!C32,'Forecast drivers'!$W$8:$AC$8))</f>
        <v>632238.79543348996</v>
      </c>
      <c r="H32" s="121">
        <f>INDEX('Forecast drivers'!$W$38:$AC$57,MATCH('Selected forecast drivers'!B32,'Forecast drivers'!$A$38:$A$57,0),MATCH('Selected forecast drivers'!C32,'Forecast drivers'!$W$36:$AC$36))</f>
        <v>796</v>
      </c>
    </row>
    <row r="33" spans="1:8" x14ac:dyDescent="0.3">
      <c r="A33" s="9" t="str">
        <f t="shared" si="0"/>
        <v>SVE22</v>
      </c>
      <c r="B33" s="9" t="s">
        <v>27</v>
      </c>
      <c r="C33" s="212" t="s">
        <v>103</v>
      </c>
      <c r="D33" s="9">
        <v>2022</v>
      </c>
      <c r="E33" s="110">
        <f>INDEX(Data!H$8:H$301,MATCH($A33,Data!$A$8:$A$301,0))</f>
        <v>630360.93892097299</v>
      </c>
      <c r="F33" s="110">
        <f>INDEX(Data!I$8:I$301,MATCH($A33,Data!$A$8:$A$301,0))</f>
        <v>796</v>
      </c>
      <c r="G33" s="121">
        <f>INDEX('Forecast drivers'!$W$10:$AC$29,MATCH('Selected forecast drivers'!B33,'Forecast drivers'!$A$10:$A$29,0),MATCH('Selected forecast drivers'!C33,'Forecast drivers'!$W$8:$AC$8))</f>
        <v>630360.93892097299</v>
      </c>
      <c r="H33" s="121">
        <f>INDEX('Forecast drivers'!$W$38:$AC$57,MATCH('Selected forecast drivers'!B33,'Forecast drivers'!$A$38:$A$57,0),MATCH('Selected forecast drivers'!C33,'Forecast drivers'!$W$36:$AC$36))</f>
        <v>796</v>
      </c>
    </row>
    <row r="34" spans="1:8" x14ac:dyDescent="0.3">
      <c r="A34" s="9" t="str">
        <f t="shared" si="0"/>
        <v>SVE23</v>
      </c>
      <c r="B34" s="9" t="s">
        <v>27</v>
      </c>
      <c r="C34" s="9" t="s">
        <v>104</v>
      </c>
      <c r="D34" s="9">
        <v>2023</v>
      </c>
      <c r="E34" s="110">
        <f>INDEX(Data!H$8:H$301,MATCH($A34,Data!$A$8:$A$301,0))</f>
        <v>628488.68849508197</v>
      </c>
      <c r="F34" s="110">
        <f>INDEX(Data!I$8:I$301,MATCH($A34,Data!$A$8:$A$301,0))</f>
        <v>796</v>
      </c>
      <c r="G34" s="121">
        <f>INDEX('Forecast drivers'!$W$10:$AC$29,MATCH('Selected forecast drivers'!B34,'Forecast drivers'!$A$10:$A$29,0),MATCH('Selected forecast drivers'!C34,'Forecast drivers'!$W$8:$AC$8))</f>
        <v>628488.68849508197</v>
      </c>
      <c r="H34" s="121">
        <f>INDEX('Forecast drivers'!$W$38:$AC$57,MATCH('Selected forecast drivers'!B34,'Forecast drivers'!$A$38:$A$57,0),MATCH('Selected forecast drivers'!C34,'Forecast drivers'!$W$36:$AC$36))</f>
        <v>796</v>
      </c>
    </row>
    <row r="35" spans="1:8" x14ac:dyDescent="0.3">
      <c r="A35" s="9" t="str">
        <f t="shared" si="0"/>
        <v>SVE24</v>
      </c>
      <c r="B35" s="9" t="s">
        <v>27</v>
      </c>
      <c r="C35" s="9" t="s">
        <v>105</v>
      </c>
      <c r="D35" s="9">
        <v>2024</v>
      </c>
      <c r="E35" s="110">
        <f>INDEX(Data!H$8:H$301,MATCH($A35,Data!$A$8:$A$301,0))</f>
        <v>626622.02737760602</v>
      </c>
      <c r="F35" s="110">
        <f>INDEX(Data!I$8:I$301,MATCH($A35,Data!$A$8:$A$301,0))</f>
        <v>796</v>
      </c>
      <c r="G35" s="121">
        <f>INDEX('Forecast drivers'!$W$10:$AC$29,MATCH('Selected forecast drivers'!B35,'Forecast drivers'!$A$10:$A$29,0),MATCH('Selected forecast drivers'!C35,'Forecast drivers'!$W$8:$AC$8))</f>
        <v>626622.02737760602</v>
      </c>
      <c r="H35" s="121">
        <f>INDEX('Forecast drivers'!$W$38:$AC$57,MATCH('Selected forecast drivers'!B35,'Forecast drivers'!$A$38:$A$57,0),MATCH('Selected forecast drivers'!C35,'Forecast drivers'!$W$36:$AC$36))</f>
        <v>796</v>
      </c>
    </row>
    <row r="36" spans="1:8" x14ac:dyDescent="0.3">
      <c r="A36" s="9" t="str">
        <f t="shared" si="0"/>
        <v>SVE25</v>
      </c>
      <c r="B36" s="9" t="s">
        <v>27</v>
      </c>
      <c r="C36" s="9" t="s">
        <v>106</v>
      </c>
      <c r="D36" s="9">
        <v>2025</v>
      </c>
      <c r="E36" s="110">
        <f>INDEX(Data!H$8:H$301,MATCH($A36,Data!$A$8:$A$301,0))</f>
        <v>624760.93884060998</v>
      </c>
      <c r="F36" s="110">
        <f>INDEX(Data!I$8:I$301,MATCH($A36,Data!$A$8:$A$301,0))</f>
        <v>796</v>
      </c>
      <c r="G36" s="121">
        <f>INDEX('Forecast drivers'!$W$10:$AC$29,MATCH('Selected forecast drivers'!B36,'Forecast drivers'!$A$10:$A$29,0),MATCH('Selected forecast drivers'!C36,'Forecast drivers'!$W$8:$AC$8))</f>
        <v>624760.93884060998</v>
      </c>
      <c r="H36" s="121">
        <f>INDEX('Forecast drivers'!$W$38:$AC$57,MATCH('Selected forecast drivers'!B36,'Forecast drivers'!$A$38:$A$57,0),MATCH('Selected forecast drivers'!C36,'Forecast drivers'!$W$36:$AC$36))</f>
        <v>796</v>
      </c>
    </row>
    <row r="37" spans="1:8" x14ac:dyDescent="0.3">
      <c r="A37" s="9" t="str">
        <f t="shared" si="0"/>
        <v>SWB21</v>
      </c>
      <c r="B37" s="9" t="s">
        <v>14</v>
      </c>
      <c r="C37" s="212" t="s">
        <v>102</v>
      </c>
      <c r="D37" s="9">
        <v>2021</v>
      </c>
      <c r="E37" s="110">
        <f>INDEX(Data!H$8:H$301,MATCH($A37,Data!$A$8:$A$301,0))</f>
        <v>79948</v>
      </c>
      <c r="F37" s="110">
        <f>INDEX(Data!I$8:I$301,MATCH($A37,Data!$A$8:$A$301,0))</f>
        <v>500</v>
      </c>
      <c r="G37" s="121">
        <f>INDEX('Forecast drivers'!$W$10:$AC$29,MATCH('Selected forecast drivers'!B37,'Forecast drivers'!$A$10:$A$29,0),MATCH('Selected forecast drivers'!C37,'Forecast drivers'!$W$8:$AC$8))</f>
        <v>79948</v>
      </c>
      <c r="H37" s="121">
        <f>INDEX('Forecast drivers'!$W$38:$AC$57,MATCH('Selected forecast drivers'!B37,'Forecast drivers'!$A$38:$A$57,0),MATCH('Selected forecast drivers'!C37,'Forecast drivers'!$W$36:$AC$36))</f>
        <v>500</v>
      </c>
    </row>
    <row r="38" spans="1:8" x14ac:dyDescent="0.3">
      <c r="A38" s="9" t="str">
        <f t="shared" si="0"/>
        <v>SWB22</v>
      </c>
      <c r="B38" s="9" t="s">
        <v>14</v>
      </c>
      <c r="C38" s="212" t="s">
        <v>103</v>
      </c>
      <c r="D38" s="9">
        <v>2022</v>
      </c>
      <c r="E38" s="110">
        <f>INDEX(Data!H$8:H$301,MATCH($A38,Data!$A$8:$A$301,0))</f>
        <v>79348</v>
      </c>
      <c r="F38" s="110">
        <f>INDEX(Data!I$8:I$301,MATCH($A38,Data!$A$8:$A$301,0))</f>
        <v>500</v>
      </c>
      <c r="G38" s="121">
        <f>INDEX('Forecast drivers'!$W$10:$AC$29,MATCH('Selected forecast drivers'!B38,'Forecast drivers'!$A$10:$A$29,0),MATCH('Selected forecast drivers'!C38,'Forecast drivers'!$W$8:$AC$8))</f>
        <v>79348</v>
      </c>
      <c r="H38" s="121">
        <f>INDEX('Forecast drivers'!$W$38:$AC$57,MATCH('Selected forecast drivers'!B38,'Forecast drivers'!$A$38:$A$57,0),MATCH('Selected forecast drivers'!C38,'Forecast drivers'!$W$36:$AC$36))</f>
        <v>500</v>
      </c>
    </row>
    <row r="39" spans="1:8" x14ac:dyDescent="0.3">
      <c r="A39" s="9" t="str">
        <f t="shared" si="0"/>
        <v>SWB23</v>
      </c>
      <c r="B39" s="9" t="s">
        <v>14</v>
      </c>
      <c r="C39" s="9" t="s">
        <v>104</v>
      </c>
      <c r="D39" s="9">
        <v>2023</v>
      </c>
      <c r="E39" s="110">
        <f>INDEX(Data!H$8:H$301,MATCH($A39,Data!$A$8:$A$301,0))</f>
        <v>78748</v>
      </c>
      <c r="F39" s="110">
        <f>INDEX(Data!I$8:I$301,MATCH($A39,Data!$A$8:$A$301,0))</f>
        <v>500</v>
      </c>
      <c r="G39" s="121">
        <f>INDEX('Forecast drivers'!$W$10:$AC$29,MATCH('Selected forecast drivers'!B39,'Forecast drivers'!$A$10:$A$29,0),MATCH('Selected forecast drivers'!C39,'Forecast drivers'!$W$8:$AC$8))</f>
        <v>78748</v>
      </c>
      <c r="H39" s="121">
        <f>INDEX('Forecast drivers'!$W$38:$AC$57,MATCH('Selected forecast drivers'!B39,'Forecast drivers'!$A$38:$A$57,0),MATCH('Selected forecast drivers'!C39,'Forecast drivers'!$W$36:$AC$36))</f>
        <v>500</v>
      </c>
    </row>
    <row r="40" spans="1:8" x14ac:dyDescent="0.3">
      <c r="A40" s="9" t="str">
        <f t="shared" si="0"/>
        <v>SWB24</v>
      </c>
      <c r="B40" s="9" t="s">
        <v>14</v>
      </c>
      <c r="C40" s="9" t="s">
        <v>105</v>
      </c>
      <c r="D40" s="9">
        <v>2024</v>
      </c>
      <c r="E40" s="110">
        <f>INDEX(Data!H$8:H$301,MATCH($A40,Data!$A$8:$A$301,0))</f>
        <v>78148</v>
      </c>
      <c r="F40" s="110">
        <f>INDEX(Data!I$8:I$301,MATCH($A40,Data!$A$8:$A$301,0))</f>
        <v>500</v>
      </c>
      <c r="G40" s="121">
        <f>INDEX('Forecast drivers'!$W$10:$AC$29,MATCH('Selected forecast drivers'!B40,'Forecast drivers'!$A$10:$A$29,0),MATCH('Selected forecast drivers'!C40,'Forecast drivers'!$W$8:$AC$8))</f>
        <v>78148</v>
      </c>
      <c r="H40" s="121">
        <f>INDEX('Forecast drivers'!$W$38:$AC$57,MATCH('Selected forecast drivers'!B40,'Forecast drivers'!$A$38:$A$57,0),MATCH('Selected forecast drivers'!C40,'Forecast drivers'!$W$36:$AC$36))</f>
        <v>500</v>
      </c>
    </row>
    <row r="41" spans="1:8" x14ac:dyDescent="0.3">
      <c r="A41" s="9" t="str">
        <f t="shared" si="0"/>
        <v>SWB25</v>
      </c>
      <c r="B41" s="9" t="s">
        <v>14</v>
      </c>
      <c r="C41" s="9" t="s">
        <v>106</v>
      </c>
      <c r="D41" s="9">
        <v>2025</v>
      </c>
      <c r="E41" s="110">
        <f>INDEX(Data!H$8:H$301,MATCH($A41,Data!$A$8:$A$301,0))</f>
        <v>77548</v>
      </c>
      <c r="F41" s="110">
        <f>INDEX(Data!I$8:I$301,MATCH($A41,Data!$A$8:$A$301,0))</f>
        <v>500</v>
      </c>
      <c r="G41" s="121">
        <f>INDEX('Forecast drivers'!$W$10:$AC$29,MATCH('Selected forecast drivers'!B41,'Forecast drivers'!$A$10:$A$29,0),MATCH('Selected forecast drivers'!C41,'Forecast drivers'!$W$8:$AC$8))</f>
        <v>77548</v>
      </c>
      <c r="H41" s="121">
        <f>INDEX('Forecast drivers'!$W$38:$AC$57,MATCH('Selected forecast drivers'!B41,'Forecast drivers'!$A$38:$A$57,0),MATCH('Selected forecast drivers'!C41,'Forecast drivers'!$W$36:$AC$36))</f>
        <v>500</v>
      </c>
    </row>
    <row r="42" spans="1:8" x14ac:dyDescent="0.3">
      <c r="A42" s="9" t="str">
        <f t="shared" si="0"/>
        <v>TMS21</v>
      </c>
      <c r="B42" s="9" t="s">
        <v>15</v>
      </c>
      <c r="C42" s="212" t="s">
        <v>102</v>
      </c>
      <c r="D42" s="9">
        <v>2021</v>
      </c>
      <c r="E42" s="110">
        <f>INDEX(Data!H$8:H$301,MATCH($A42,Data!$A$8:$A$301,0))</f>
        <v>1154188</v>
      </c>
      <c r="F42" s="110">
        <f>INDEX(Data!I$8:I$301,MATCH($A42,Data!$A$8:$A$301,0))</f>
        <v>10767</v>
      </c>
      <c r="G42" s="121">
        <f>INDEX('Forecast drivers'!$W$10:$AC$29,MATCH('Selected forecast drivers'!B42,'Forecast drivers'!$A$10:$A$29,0),MATCH('Selected forecast drivers'!C42,'Forecast drivers'!$W$8:$AC$8))</f>
        <v>1154188</v>
      </c>
      <c r="H42" s="121">
        <f>INDEX('Forecast drivers'!$W$38:$AC$57,MATCH('Selected forecast drivers'!B42,'Forecast drivers'!$A$38:$A$57,0),MATCH('Selected forecast drivers'!C42,'Forecast drivers'!$W$36:$AC$36))</f>
        <v>10767</v>
      </c>
    </row>
    <row r="43" spans="1:8" x14ac:dyDescent="0.3">
      <c r="A43" s="9" t="str">
        <f t="shared" si="0"/>
        <v>TMS22</v>
      </c>
      <c r="B43" s="9" t="s">
        <v>15</v>
      </c>
      <c r="C43" s="212" t="s">
        <v>103</v>
      </c>
      <c r="D43" s="9">
        <v>2022</v>
      </c>
      <c r="E43" s="110">
        <f>INDEX(Data!H$8:H$301,MATCH($A43,Data!$A$8:$A$301,0))</f>
        <v>1131561</v>
      </c>
      <c r="F43" s="110">
        <f>INDEX(Data!I$8:I$301,MATCH($A43,Data!$A$8:$A$301,0))</f>
        <v>10767</v>
      </c>
      <c r="G43" s="121">
        <f>INDEX('Forecast drivers'!$W$10:$AC$29,MATCH('Selected forecast drivers'!B43,'Forecast drivers'!$A$10:$A$29,0),MATCH('Selected forecast drivers'!C43,'Forecast drivers'!$W$8:$AC$8))</f>
        <v>1131561</v>
      </c>
      <c r="H43" s="121">
        <f>INDEX('Forecast drivers'!$W$38:$AC$57,MATCH('Selected forecast drivers'!B43,'Forecast drivers'!$A$38:$A$57,0),MATCH('Selected forecast drivers'!C43,'Forecast drivers'!$W$36:$AC$36))</f>
        <v>10767</v>
      </c>
    </row>
    <row r="44" spans="1:8" x14ac:dyDescent="0.3">
      <c r="A44" s="9" t="str">
        <f t="shared" si="0"/>
        <v>TMS23</v>
      </c>
      <c r="B44" s="9" t="s">
        <v>15</v>
      </c>
      <c r="C44" s="9" t="s">
        <v>104</v>
      </c>
      <c r="D44" s="9">
        <v>2023</v>
      </c>
      <c r="E44" s="110">
        <f>INDEX(Data!H$8:H$301,MATCH($A44,Data!$A$8:$A$301,0))</f>
        <v>1108844</v>
      </c>
      <c r="F44" s="110">
        <f>INDEX(Data!I$8:I$301,MATCH($A44,Data!$A$8:$A$301,0))</f>
        <v>10767</v>
      </c>
      <c r="G44" s="121">
        <f>INDEX('Forecast drivers'!$W$10:$AC$29,MATCH('Selected forecast drivers'!B44,'Forecast drivers'!$A$10:$A$29,0),MATCH('Selected forecast drivers'!C44,'Forecast drivers'!$W$8:$AC$8))</f>
        <v>1108844</v>
      </c>
      <c r="H44" s="121">
        <f>INDEX('Forecast drivers'!$W$38:$AC$57,MATCH('Selected forecast drivers'!B44,'Forecast drivers'!$A$38:$A$57,0),MATCH('Selected forecast drivers'!C44,'Forecast drivers'!$W$36:$AC$36))</f>
        <v>10767</v>
      </c>
    </row>
    <row r="45" spans="1:8" x14ac:dyDescent="0.3">
      <c r="A45" s="9" t="str">
        <f t="shared" si="0"/>
        <v>TMS24</v>
      </c>
      <c r="B45" s="9" t="s">
        <v>15</v>
      </c>
      <c r="C45" s="9" t="s">
        <v>105</v>
      </c>
      <c r="D45" s="9">
        <v>2024</v>
      </c>
      <c r="E45" s="110">
        <f>INDEX(Data!H$8:H$301,MATCH($A45,Data!$A$8:$A$301,0))</f>
        <v>1086043</v>
      </c>
      <c r="F45" s="110">
        <f>INDEX(Data!I$8:I$301,MATCH($A45,Data!$A$8:$A$301,0))</f>
        <v>10768</v>
      </c>
      <c r="G45" s="121">
        <f>INDEX('Forecast drivers'!$W$10:$AC$29,MATCH('Selected forecast drivers'!B45,'Forecast drivers'!$A$10:$A$29,0),MATCH('Selected forecast drivers'!C45,'Forecast drivers'!$W$8:$AC$8))</f>
        <v>1086043</v>
      </c>
      <c r="H45" s="121">
        <f>INDEX('Forecast drivers'!$W$38:$AC$57,MATCH('Selected forecast drivers'!B45,'Forecast drivers'!$A$38:$A$57,0),MATCH('Selected forecast drivers'!C45,'Forecast drivers'!$W$36:$AC$36))</f>
        <v>10768</v>
      </c>
    </row>
    <row r="46" spans="1:8" x14ac:dyDescent="0.3">
      <c r="A46" s="9" t="str">
        <f t="shared" si="0"/>
        <v>TMS25</v>
      </c>
      <c r="B46" s="9" t="s">
        <v>15</v>
      </c>
      <c r="C46" s="9" t="s">
        <v>106</v>
      </c>
      <c r="D46" s="9">
        <v>2025</v>
      </c>
      <c r="E46" s="110">
        <f>INDEX(Data!H$8:H$301,MATCH($A46,Data!$A$8:$A$301,0))</f>
        <v>1063159</v>
      </c>
      <c r="F46" s="110">
        <f>INDEX(Data!I$8:I$301,MATCH($A46,Data!$A$8:$A$301,0))</f>
        <v>10768</v>
      </c>
      <c r="G46" s="121">
        <f>INDEX('Forecast drivers'!$W$10:$AC$29,MATCH('Selected forecast drivers'!B46,'Forecast drivers'!$A$10:$A$29,0),MATCH('Selected forecast drivers'!C46,'Forecast drivers'!$W$8:$AC$8))</f>
        <v>1063159</v>
      </c>
      <c r="H46" s="121">
        <f>INDEX('Forecast drivers'!$W$38:$AC$57,MATCH('Selected forecast drivers'!B46,'Forecast drivers'!$A$38:$A$57,0),MATCH('Selected forecast drivers'!C46,'Forecast drivers'!$W$36:$AC$36))</f>
        <v>10768</v>
      </c>
    </row>
    <row r="47" spans="1:8" x14ac:dyDescent="0.3">
      <c r="A47" s="9" t="str">
        <f t="shared" si="0"/>
        <v>WSH21</v>
      </c>
      <c r="B47" s="9" t="s">
        <v>16</v>
      </c>
      <c r="C47" s="212" t="s">
        <v>102</v>
      </c>
      <c r="D47" s="9">
        <v>2021</v>
      </c>
      <c r="E47" s="110">
        <f>INDEX(Data!H$8:H$301,MATCH($A47,Data!$A$8:$A$301,0))</f>
        <v>169111</v>
      </c>
      <c r="F47" s="110">
        <f>INDEX(Data!I$8:I$301,MATCH($A47,Data!$A$8:$A$301,0))</f>
        <v>0</v>
      </c>
      <c r="G47" s="121">
        <f>INDEX('Forecast drivers'!$W$10:$AC$29,MATCH('Selected forecast drivers'!B47,'Forecast drivers'!$A$10:$A$29,0),MATCH('Selected forecast drivers'!C47,'Forecast drivers'!$W$8:$AC$8))</f>
        <v>169111</v>
      </c>
      <c r="H47" s="121">
        <f>INDEX('Forecast drivers'!$W$38:$AC$57,MATCH('Selected forecast drivers'!B47,'Forecast drivers'!$A$38:$A$57,0),MATCH('Selected forecast drivers'!C47,'Forecast drivers'!$W$36:$AC$36))</f>
        <v>0</v>
      </c>
    </row>
    <row r="48" spans="1:8" x14ac:dyDescent="0.3">
      <c r="A48" s="9" t="str">
        <f t="shared" si="0"/>
        <v>WSH22</v>
      </c>
      <c r="B48" s="9" t="s">
        <v>16</v>
      </c>
      <c r="C48" s="212" t="s">
        <v>103</v>
      </c>
      <c r="D48" s="9">
        <v>2022</v>
      </c>
      <c r="E48" s="110">
        <f>INDEX(Data!H$8:H$301,MATCH($A48,Data!$A$8:$A$301,0))</f>
        <v>167682</v>
      </c>
      <c r="F48" s="110">
        <f>INDEX(Data!I$8:I$301,MATCH($A48,Data!$A$8:$A$301,0))</f>
        <v>0</v>
      </c>
      <c r="G48" s="121">
        <f>INDEX('Forecast drivers'!$W$10:$AC$29,MATCH('Selected forecast drivers'!B48,'Forecast drivers'!$A$10:$A$29,0),MATCH('Selected forecast drivers'!C48,'Forecast drivers'!$W$8:$AC$8))</f>
        <v>167682</v>
      </c>
      <c r="H48" s="121">
        <f>INDEX('Forecast drivers'!$W$38:$AC$57,MATCH('Selected forecast drivers'!B48,'Forecast drivers'!$A$38:$A$57,0),MATCH('Selected forecast drivers'!C48,'Forecast drivers'!$W$36:$AC$36))</f>
        <v>0</v>
      </c>
    </row>
    <row r="49" spans="1:8" x14ac:dyDescent="0.3">
      <c r="A49" s="9" t="str">
        <f t="shared" si="0"/>
        <v>WSH23</v>
      </c>
      <c r="B49" s="9" t="s">
        <v>16</v>
      </c>
      <c r="C49" s="9" t="s">
        <v>104</v>
      </c>
      <c r="D49" s="9">
        <v>2023</v>
      </c>
      <c r="E49" s="110">
        <f>INDEX(Data!H$8:H$301,MATCH($A49,Data!$A$8:$A$301,0))</f>
        <v>166253</v>
      </c>
      <c r="F49" s="110">
        <f>INDEX(Data!I$8:I$301,MATCH($A49,Data!$A$8:$A$301,0))</f>
        <v>0</v>
      </c>
      <c r="G49" s="121">
        <f>INDEX('Forecast drivers'!$W$10:$AC$29,MATCH('Selected forecast drivers'!B49,'Forecast drivers'!$A$10:$A$29,0),MATCH('Selected forecast drivers'!C49,'Forecast drivers'!$W$8:$AC$8))</f>
        <v>166253</v>
      </c>
      <c r="H49" s="121">
        <f>INDEX('Forecast drivers'!$W$38:$AC$57,MATCH('Selected forecast drivers'!B49,'Forecast drivers'!$A$38:$A$57,0),MATCH('Selected forecast drivers'!C49,'Forecast drivers'!$W$36:$AC$36))</f>
        <v>0</v>
      </c>
    </row>
    <row r="50" spans="1:8" x14ac:dyDescent="0.3">
      <c r="A50" s="9" t="str">
        <f t="shared" si="0"/>
        <v>WSH24</v>
      </c>
      <c r="B50" s="9" t="s">
        <v>16</v>
      </c>
      <c r="C50" s="9" t="s">
        <v>105</v>
      </c>
      <c r="D50" s="9">
        <v>2024</v>
      </c>
      <c r="E50" s="110">
        <f>INDEX(Data!H$8:H$301,MATCH($A50,Data!$A$8:$A$301,0))</f>
        <v>164824</v>
      </c>
      <c r="F50" s="110">
        <f>INDEX(Data!I$8:I$301,MATCH($A50,Data!$A$8:$A$301,0))</f>
        <v>0</v>
      </c>
      <c r="G50" s="121">
        <f>INDEX('Forecast drivers'!$W$10:$AC$29,MATCH('Selected forecast drivers'!B50,'Forecast drivers'!$A$10:$A$29,0),MATCH('Selected forecast drivers'!C50,'Forecast drivers'!$W$8:$AC$8))</f>
        <v>164824</v>
      </c>
      <c r="H50" s="121">
        <f>INDEX('Forecast drivers'!$W$38:$AC$57,MATCH('Selected forecast drivers'!B50,'Forecast drivers'!$A$38:$A$57,0),MATCH('Selected forecast drivers'!C50,'Forecast drivers'!$W$36:$AC$36))</f>
        <v>0</v>
      </c>
    </row>
    <row r="51" spans="1:8" x14ac:dyDescent="0.3">
      <c r="A51" s="9" t="str">
        <f t="shared" si="0"/>
        <v>WSH25</v>
      </c>
      <c r="B51" s="9" t="s">
        <v>16</v>
      </c>
      <c r="C51" s="9" t="s">
        <v>106</v>
      </c>
      <c r="D51" s="9">
        <v>2025</v>
      </c>
      <c r="E51" s="110">
        <f>INDEX(Data!H$8:H$301,MATCH($A51,Data!$A$8:$A$301,0))</f>
        <v>163395</v>
      </c>
      <c r="F51" s="110">
        <f>INDEX(Data!I$8:I$301,MATCH($A51,Data!$A$8:$A$301,0))</f>
        <v>0</v>
      </c>
      <c r="G51" s="121">
        <f>INDEX('Forecast drivers'!$W$10:$AC$29,MATCH('Selected forecast drivers'!B51,'Forecast drivers'!$A$10:$A$29,0),MATCH('Selected forecast drivers'!C51,'Forecast drivers'!$W$8:$AC$8))</f>
        <v>163395</v>
      </c>
      <c r="H51" s="121">
        <f>INDEX('Forecast drivers'!$W$38:$AC$57,MATCH('Selected forecast drivers'!B51,'Forecast drivers'!$A$38:$A$57,0),MATCH('Selected forecast drivers'!C51,'Forecast drivers'!$W$36:$AC$36))</f>
        <v>0</v>
      </c>
    </row>
    <row r="52" spans="1:8" x14ac:dyDescent="0.3">
      <c r="A52" s="9" t="str">
        <f t="shared" si="0"/>
        <v>WSX21</v>
      </c>
      <c r="B52" s="9" t="s">
        <v>17</v>
      </c>
      <c r="C52" s="212" t="s">
        <v>102</v>
      </c>
      <c r="D52" s="9">
        <v>2021</v>
      </c>
      <c r="E52" s="110">
        <f>INDEX(Data!H$8:H$301,MATCH($A52,Data!$A$8:$A$301,0))</f>
        <v>44451</v>
      </c>
      <c r="F52" s="110">
        <f>INDEX(Data!I$8:I$301,MATCH($A52,Data!$A$8:$A$301,0))</f>
        <v>1160</v>
      </c>
      <c r="G52" s="121">
        <f>INDEX('Forecast drivers'!$W$10:$AC$29,MATCH('Selected forecast drivers'!B52,'Forecast drivers'!$A$10:$A$29,0),MATCH('Selected forecast drivers'!C52,'Forecast drivers'!$W$8:$AC$8))</f>
        <v>44451</v>
      </c>
      <c r="H52" s="121">
        <f>INDEX('Forecast drivers'!$W$38:$AC$57,MATCH('Selected forecast drivers'!B52,'Forecast drivers'!$A$38:$A$57,0),MATCH('Selected forecast drivers'!C52,'Forecast drivers'!$W$36:$AC$36))</f>
        <v>1160</v>
      </c>
    </row>
    <row r="53" spans="1:8" x14ac:dyDescent="0.3">
      <c r="A53" s="9" t="str">
        <f t="shared" si="0"/>
        <v>WSX22</v>
      </c>
      <c r="B53" s="9" t="s">
        <v>17</v>
      </c>
      <c r="C53" s="212" t="s">
        <v>103</v>
      </c>
      <c r="D53" s="9">
        <v>2022</v>
      </c>
      <c r="E53" s="110">
        <f>INDEX(Data!H$8:H$301,MATCH($A53,Data!$A$8:$A$301,0))</f>
        <v>43041</v>
      </c>
      <c r="F53" s="110">
        <f>INDEX(Data!I$8:I$301,MATCH($A53,Data!$A$8:$A$301,0))</f>
        <v>1410</v>
      </c>
      <c r="G53" s="121">
        <f>INDEX('Forecast drivers'!$W$10:$AC$29,MATCH('Selected forecast drivers'!B53,'Forecast drivers'!$A$10:$A$29,0),MATCH('Selected forecast drivers'!C53,'Forecast drivers'!$W$8:$AC$8))</f>
        <v>43041</v>
      </c>
      <c r="H53" s="121">
        <f>INDEX('Forecast drivers'!$W$38:$AC$57,MATCH('Selected forecast drivers'!B53,'Forecast drivers'!$A$38:$A$57,0),MATCH('Selected forecast drivers'!C53,'Forecast drivers'!$W$36:$AC$36))</f>
        <v>1410</v>
      </c>
    </row>
    <row r="54" spans="1:8" x14ac:dyDescent="0.3">
      <c r="A54" s="9" t="str">
        <f t="shared" si="0"/>
        <v>WSX23</v>
      </c>
      <c r="B54" s="9" t="s">
        <v>17</v>
      </c>
      <c r="C54" s="9" t="s">
        <v>104</v>
      </c>
      <c r="D54" s="9">
        <v>2023</v>
      </c>
      <c r="E54" s="110">
        <f>INDEX(Data!H$8:H$301,MATCH($A54,Data!$A$8:$A$301,0))</f>
        <v>41031</v>
      </c>
      <c r="F54" s="110">
        <f>INDEX(Data!I$8:I$301,MATCH($A54,Data!$A$8:$A$301,0))</f>
        <v>2010</v>
      </c>
      <c r="G54" s="121">
        <f>INDEX('Forecast drivers'!$W$10:$AC$29,MATCH('Selected forecast drivers'!B54,'Forecast drivers'!$A$10:$A$29,0),MATCH('Selected forecast drivers'!C54,'Forecast drivers'!$W$8:$AC$8))</f>
        <v>41031</v>
      </c>
      <c r="H54" s="121">
        <f>INDEX('Forecast drivers'!$W$38:$AC$57,MATCH('Selected forecast drivers'!B54,'Forecast drivers'!$A$38:$A$57,0),MATCH('Selected forecast drivers'!C54,'Forecast drivers'!$W$36:$AC$36))</f>
        <v>2010</v>
      </c>
    </row>
    <row r="55" spans="1:8" x14ac:dyDescent="0.3">
      <c r="A55" s="9" t="str">
        <f t="shared" si="0"/>
        <v>WSX24</v>
      </c>
      <c r="B55" s="9" t="s">
        <v>17</v>
      </c>
      <c r="C55" s="9" t="s">
        <v>105</v>
      </c>
      <c r="D55" s="9">
        <v>2024</v>
      </c>
      <c r="E55" s="110">
        <f>INDEX(Data!H$8:H$301,MATCH($A55,Data!$A$8:$A$301,0))</f>
        <v>38821</v>
      </c>
      <c r="F55" s="110">
        <f>INDEX(Data!I$8:I$301,MATCH($A55,Data!$A$8:$A$301,0))</f>
        <v>2210</v>
      </c>
      <c r="G55" s="121">
        <f>INDEX('Forecast drivers'!$W$10:$AC$29,MATCH('Selected forecast drivers'!B55,'Forecast drivers'!$A$10:$A$29,0),MATCH('Selected forecast drivers'!C55,'Forecast drivers'!$W$8:$AC$8))</f>
        <v>38821</v>
      </c>
      <c r="H55" s="121">
        <f>INDEX('Forecast drivers'!$W$38:$AC$57,MATCH('Selected forecast drivers'!B55,'Forecast drivers'!$A$38:$A$57,0),MATCH('Selected forecast drivers'!C55,'Forecast drivers'!$W$36:$AC$36))</f>
        <v>2210</v>
      </c>
    </row>
    <row r="56" spans="1:8" x14ac:dyDescent="0.3">
      <c r="A56" s="9" t="str">
        <f t="shared" si="0"/>
        <v>WSX25</v>
      </c>
      <c r="B56" s="9" t="s">
        <v>17</v>
      </c>
      <c r="C56" s="9" t="s">
        <v>106</v>
      </c>
      <c r="D56" s="9">
        <v>2025</v>
      </c>
      <c r="E56" s="110">
        <f>INDEX(Data!H$8:H$301,MATCH($A56,Data!$A$8:$A$301,0))</f>
        <v>36611</v>
      </c>
      <c r="F56" s="110">
        <f>INDEX(Data!I$8:I$301,MATCH($A56,Data!$A$8:$A$301,0))</f>
        <v>2210</v>
      </c>
      <c r="G56" s="121">
        <f>INDEX('Forecast drivers'!$W$10:$AC$29,MATCH('Selected forecast drivers'!B56,'Forecast drivers'!$A$10:$A$29,0),MATCH('Selected forecast drivers'!C56,'Forecast drivers'!$W$8:$AC$8))</f>
        <v>36611</v>
      </c>
      <c r="H56" s="121">
        <f>INDEX('Forecast drivers'!$W$38:$AC$57,MATCH('Selected forecast drivers'!B56,'Forecast drivers'!$A$38:$A$57,0),MATCH('Selected forecast drivers'!C56,'Forecast drivers'!$W$36:$AC$36))</f>
        <v>2210</v>
      </c>
    </row>
    <row r="57" spans="1:8" x14ac:dyDescent="0.3">
      <c r="A57" s="9" t="str">
        <f t="shared" si="0"/>
        <v>YKY21</v>
      </c>
      <c r="B57" s="9" t="s">
        <v>18</v>
      </c>
      <c r="C57" s="212" t="s">
        <v>102</v>
      </c>
      <c r="D57" s="9">
        <v>2021</v>
      </c>
      <c r="E57" s="110">
        <f>INDEX(Data!H$8:H$301,MATCH($A57,Data!$A$8:$A$301,0))</f>
        <v>1267914</v>
      </c>
      <c r="F57" s="110">
        <f>INDEX(Data!I$8:I$301,MATCH($A57,Data!$A$8:$A$301,0))</f>
        <v>1521.2</v>
      </c>
      <c r="G57" s="121">
        <f>INDEX('Forecast drivers'!$W$10:$AC$29,MATCH('Selected forecast drivers'!B57,'Forecast drivers'!$A$10:$A$29,0),MATCH('Selected forecast drivers'!C57,'Forecast drivers'!$W$8:$AC$8))</f>
        <v>1267914</v>
      </c>
      <c r="H57" s="121">
        <f>INDEX('Forecast drivers'!$W$38:$AC$57,MATCH('Selected forecast drivers'!B57,'Forecast drivers'!$A$38:$A$57,0),MATCH('Selected forecast drivers'!C57,'Forecast drivers'!$W$36:$AC$36))</f>
        <v>1521.2</v>
      </c>
    </row>
    <row r="58" spans="1:8" x14ac:dyDescent="0.3">
      <c r="A58" s="9" t="str">
        <f t="shared" si="0"/>
        <v>YKY22</v>
      </c>
      <c r="B58" s="9" t="s">
        <v>18</v>
      </c>
      <c r="C58" s="212" t="s">
        <v>103</v>
      </c>
      <c r="D58" s="9">
        <v>2022</v>
      </c>
      <c r="E58" s="110">
        <f>INDEX(Data!H$8:H$301,MATCH($A58,Data!$A$8:$A$301,0))</f>
        <v>1266393</v>
      </c>
      <c r="F58" s="110">
        <f>INDEX(Data!I$8:I$301,MATCH($A58,Data!$A$8:$A$301,0))</f>
        <v>1521.2</v>
      </c>
      <c r="G58" s="121">
        <f>INDEX('Forecast drivers'!$W$10:$AC$29,MATCH('Selected forecast drivers'!B58,'Forecast drivers'!$A$10:$A$29,0),MATCH('Selected forecast drivers'!C58,'Forecast drivers'!$W$8:$AC$8))</f>
        <v>1266393</v>
      </c>
      <c r="H58" s="121">
        <f>INDEX('Forecast drivers'!$W$38:$AC$57,MATCH('Selected forecast drivers'!B58,'Forecast drivers'!$A$38:$A$57,0),MATCH('Selected forecast drivers'!C58,'Forecast drivers'!$W$36:$AC$36))</f>
        <v>1521.2</v>
      </c>
    </row>
    <row r="59" spans="1:8" x14ac:dyDescent="0.3">
      <c r="A59" s="9" t="str">
        <f t="shared" si="0"/>
        <v>YKY23</v>
      </c>
      <c r="B59" s="9" t="s">
        <v>18</v>
      </c>
      <c r="C59" s="9" t="s">
        <v>104</v>
      </c>
      <c r="D59" s="9">
        <v>2023</v>
      </c>
      <c r="E59" s="110">
        <f>INDEX(Data!H$8:H$301,MATCH($A59,Data!$A$8:$A$301,0))</f>
        <v>1264871</v>
      </c>
      <c r="F59" s="110">
        <f>INDEX(Data!I$8:I$301,MATCH($A59,Data!$A$8:$A$301,0))</f>
        <v>1521.2</v>
      </c>
      <c r="G59" s="121">
        <f>INDEX('Forecast drivers'!$W$10:$AC$29,MATCH('Selected forecast drivers'!B59,'Forecast drivers'!$A$10:$A$29,0),MATCH('Selected forecast drivers'!C59,'Forecast drivers'!$W$8:$AC$8))</f>
        <v>1264871</v>
      </c>
      <c r="H59" s="121">
        <f>INDEX('Forecast drivers'!$W$38:$AC$57,MATCH('Selected forecast drivers'!B59,'Forecast drivers'!$A$38:$A$57,0),MATCH('Selected forecast drivers'!C59,'Forecast drivers'!$W$36:$AC$36))</f>
        <v>1521.2</v>
      </c>
    </row>
    <row r="60" spans="1:8" x14ac:dyDescent="0.3">
      <c r="A60" s="9" t="str">
        <f t="shared" si="0"/>
        <v>YKY24</v>
      </c>
      <c r="B60" s="9" t="s">
        <v>18</v>
      </c>
      <c r="C60" s="9" t="s">
        <v>105</v>
      </c>
      <c r="D60" s="9">
        <v>2024</v>
      </c>
      <c r="E60" s="110">
        <f>INDEX(Data!H$8:H$301,MATCH($A60,Data!$A$8:$A$301,0))</f>
        <v>1263350</v>
      </c>
      <c r="F60" s="110">
        <f>INDEX(Data!I$8:I$301,MATCH($A60,Data!$A$8:$A$301,0))</f>
        <v>1521.2</v>
      </c>
      <c r="G60" s="121">
        <f>INDEX('Forecast drivers'!$W$10:$AC$29,MATCH('Selected forecast drivers'!B60,'Forecast drivers'!$A$10:$A$29,0),MATCH('Selected forecast drivers'!C60,'Forecast drivers'!$W$8:$AC$8))</f>
        <v>1263350</v>
      </c>
      <c r="H60" s="121">
        <f>INDEX('Forecast drivers'!$W$38:$AC$57,MATCH('Selected forecast drivers'!B60,'Forecast drivers'!$A$38:$A$57,0),MATCH('Selected forecast drivers'!C60,'Forecast drivers'!$W$36:$AC$36))</f>
        <v>1521.2</v>
      </c>
    </row>
    <row r="61" spans="1:8" x14ac:dyDescent="0.3">
      <c r="A61" s="9" t="str">
        <f t="shared" si="0"/>
        <v>YKY25</v>
      </c>
      <c r="B61" s="9" t="s">
        <v>18</v>
      </c>
      <c r="C61" s="9" t="s">
        <v>106</v>
      </c>
      <c r="D61" s="9">
        <v>2025</v>
      </c>
      <c r="E61" s="110">
        <f>INDEX(Data!H$8:H$301,MATCH($A61,Data!$A$8:$A$301,0))</f>
        <v>1261829</v>
      </c>
      <c r="F61" s="110">
        <f>INDEX(Data!I$8:I$301,MATCH($A61,Data!$A$8:$A$301,0))</f>
        <v>1521.2</v>
      </c>
      <c r="G61" s="121">
        <f>INDEX('Forecast drivers'!$W$10:$AC$29,MATCH('Selected forecast drivers'!B61,'Forecast drivers'!$A$10:$A$29,0),MATCH('Selected forecast drivers'!C61,'Forecast drivers'!$W$8:$AC$8))</f>
        <v>1261829</v>
      </c>
      <c r="H61" s="121">
        <f>INDEX('Forecast drivers'!$W$38:$AC$57,MATCH('Selected forecast drivers'!B61,'Forecast drivers'!$A$38:$A$57,0),MATCH('Selected forecast drivers'!C61,'Forecast drivers'!$W$36:$AC$36))</f>
        <v>1521.2</v>
      </c>
    </row>
    <row r="62" spans="1:8" x14ac:dyDescent="0.3">
      <c r="A62" s="9" t="str">
        <f t="shared" si="0"/>
        <v>AFW21</v>
      </c>
      <c r="B62" s="9" t="s">
        <v>19</v>
      </c>
      <c r="C62" s="212" t="s">
        <v>102</v>
      </c>
      <c r="D62" s="9">
        <v>2021</v>
      </c>
      <c r="E62" s="110">
        <f>INDEX(Data!H$8:H$301,MATCH($A62,Data!$A$8:$A$301,0))</f>
        <v>305851</v>
      </c>
      <c r="F62" s="110">
        <f>INDEX(Data!I$8:I$301,MATCH($A62,Data!$A$8:$A$301,0))</f>
        <v>1772</v>
      </c>
      <c r="G62" s="121">
        <f>INDEX('Forecast drivers'!$W$10:$AC$29,MATCH('Selected forecast drivers'!B62,'Forecast drivers'!$A$10:$A$29,0),MATCH('Selected forecast drivers'!C62,'Forecast drivers'!$W$8:$AC$8))</f>
        <v>305851</v>
      </c>
      <c r="H62" s="121">
        <f>INDEX('Forecast drivers'!$W$38:$AC$57,MATCH('Selected forecast drivers'!B62,'Forecast drivers'!$A$38:$A$57,0),MATCH('Selected forecast drivers'!C62,'Forecast drivers'!$W$36:$AC$36))</f>
        <v>1772</v>
      </c>
    </row>
    <row r="63" spans="1:8" x14ac:dyDescent="0.3">
      <c r="A63" s="9" t="str">
        <f t="shared" si="0"/>
        <v>AFW22</v>
      </c>
      <c r="B63" s="9" t="s">
        <v>19</v>
      </c>
      <c r="C63" s="212" t="s">
        <v>103</v>
      </c>
      <c r="D63" s="9">
        <v>2022</v>
      </c>
      <c r="E63" s="110">
        <f>INDEX(Data!H$8:H$301,MATCH($A63,Data!$A$8:$A$301,0))</f>
        <v>302649</v>
      </c>
      <c r="F63" s="110">
        <f>INDEX(Data!I$8:I$301,MATCH($A63,Data!$A$8:$A$301,0))</f>
        <v>1772</v>
      </c>
      <c r="G63" s="121">
        <f>INDEX('Forecast drivers'!$W$10:$AC$29,MATCH('Selected forecast drivers'!B63,'Forecast drivers'!$A$10:$A$29,0),MATCH('Selected forecast drivers'!C63,'Forecast drivers'!$W$8:$AC$8))</f>
        <v>302649</v>
      </c>
      <c r="H63" s="121">
        <f>INDEX('Forecast drivers'!$W$38:$AC$57,MATCH('Selected forecast drivers'!B63,'Forecast drivers'!$A$38:$A$57,0),MATCH('Selected forecast drivers'!C63,'Forecast drivers'!$W$36:$AC$36))</f>
        <v>1772</v>
      </c>
    </row>
    <row r="64" spans="1:8" x14ac:dyDescent="0.3">
      <c r="A64" s="9" t="str">
        <f t="shared" si="0"/>
        <v>AFW23</v>
      </c>
      <c r="B64" s="9" t="s">
        <v>19</v>
      </c>
      <c r="C64" s="9" t="s">
        <v>104</v>
      </c>
      <c r="D64" s="9">
        <v>2023</v>
      </c>
      <c r="E64" s="110">
        <f>INDEX(Data!H$8:H$301,MATCH($A64,Data!$A$8:$A$301,0))</f>
        <v>299400</v>
      </c>
      <c r="F64" s="110">
        <f>INDEX(Data!I$8:I$301,MATCH($A64,Data!$A$8:$A$301,0))</f>
        <v>1772</v>
      </c>
      <c r="G64" s="121">
        <f>INDEX('Forecast drivers'!$W$10:$AC$29,MATCH('Selected forecast drivers'!B64,'Forecast drivers'!$A$10:$A$29,0),MATCH('Selected forecast drivers'!C64,'Forecast drivers'!$W$8:$AC$8))</f>
        <v>299400</v>
      </c>
      <c r="H64" s="121">
        <f>INDEX('Forecast drivers'!$W$38:$AC$57,MATCH('Selected forecast drivers'!B64,'Forecast drivers'!$A$38:$A$57,0),MATCH('Selected forecast drivers'!C64,'Forecast drivers'!$W$36:$AC$36))</f>
        <v>1772</v>
      </c>
    </row>
    <row r="65" spans="1:8" x14ac:dyDescent="0.3">
      <c r="A65" s="9" t="str">
        <f t="shared" si="0"/>
        <v>AFW24</v>
      </c>
      <c r="B65" s="9" t="s">
        <v>19</v>
      </c>
      <c r="C65" s="9" t="s">
        <v>105</v>
      </c>
      <c r="D65" s="9">
        <v>2024</v>
      </c>
      <c r="E65" s="110">
        <f>INDEX(Data!H$8:H$301,MATCH($A65,Data!$A$8:$A$301,0))</f>
        <v>296102</v>
      </c>
      <c r="F65" s="110">
        <f>INDEX(Data!I$8:I$301,MATCH($A65,Data!$A$8:$A$301,0))</f>
        <v>1772</v>
      </c>
      <c r="G65" s="121">
        <f>INDEX('Forecast drivers'!$W$10:$AC$29,MATCH('Selected forecast drivers'!B65,'Forecast drivers'!$A$10:$A$29,0),MATCH('Selected forecast drivers'!C65,'Forecast drivers'!$W$8:$AC$8))</f>
        <v>296102</v>
      </c>
      <c r="H65" s="121">
        <f>INDEX('Forecast drivers'!$W$38:$AC$57,MATCH('Selected forecast drivers'!B65,'Forecast drivers'!$A$38:$A$57,0),MATCH('Selected forecast drivers'!C65,'Forecast drivers'!$W$36:$AC$36))</f>
        <v>1772</v>
      </c>
    </row>
    <row r="66" spans="1:8" x14ac:dyDescent="0.3">
      <c r="A66" s="9" t="str">
        <f t="shared" si="0"/>
        <v>AFW25</v>
      </c>
      <c r="B66" s="9" t="s">
        <v>19</v>
      </c>
      <c r="C66" s="9" t="s">
        <v>106</v>
      </c>
      <c r="D66" s="9">
        <v>2025</v>
      </c>
      <c r="E66" s="110">
        <f>INDEX(Data!H$8:H$301,MATCH($A66,Data!$A$8:$A$301,0))</f>
        <v>292754</v>
      </c>
      <c r="F66" s="110">
        <f>INDEX(Data!I$8:I$301,MATCH($A66,Data!$A$8:$A$301,0))</f>
        <v>1772</v>
      </c>
      <c r="G66" s="121">
        <f>INDEX('Forecast drivers'!$W$10:$AC$29,MATCH('Selected forecast drivers'!B66,'Forecast drivers'!$A$10:$A$29,0),MATCH('Selected forecast drivers'!C66,'Forecast drivers'!$W$8:$AC$8))</f>
        <v>292754</v>
      </c>
      <c r="H66" s="121">
        <f>INDEX('Forecast drivers'!$W$38:$AC$57,MATCH('Selected forecast drivers'!B66,'Forecast drivers'!$A$38:$A$57,0),MATCH('Selected forecast drivers'!C66,'Forecast drivers'!$W$36:$AC$36))</f>
        <v>1772</v>
      </c>
    </row>
    <row r="67" spans="1:8" x14ac:dyDescent="0.3">
      <c r="A67" s="9" t="str">
        <f t="shared" si="0"/>
        <v>BRL21</v>
      </c>
      <c r="B67" s="9" t="s">
        <v>20</v>
      </c>
      <c r="C67" s="212" t="s">
        <v>102</v>
      </c>
      <c r="D67" s="9">
        <v>2021</v>
      </c>
      <c r="E67" s="110">
        <f>INDEX(Data!H$8:H$301,MATCH($A67,Data!$A$8:$A$301,0))</f>
        <v>144527</v>
      </c>
      <c r="F67" s="110">
        <f>INDEX(Data!I$8:I$301,MATCH($A67,Data!$A$8:$A$301,0))</f>
        <v>128</v>
      </c>
      <c r="G67" s="121">
        <f>INDEX('Forecast drivers'!$W$10:$AC$29,MATCH('Selected forecast drivers'!B67,'Forecast drivers'!$A$10:$A$29,0),MATCH('Selected forecast drivers'!C67,'Forecast drivers'!$W$8:$AC$8))</f>
        <v>144527</v>
      </c>
      <c r="H67" s="121">
        <f>INDEX('Forecast drivers'!$W$38:$AC$57,MATCH('Selected forecast drivers'!B67,'Forecast drivers'!$A$38:$A$57,0),MATCH('Selected forecast drivers'!C67,'Forecast drivers'!$W$36:$AC$36))</f>
        <v>128</v>
      </c>
    </row>
    <row r="68" spans="1:8" x14ac:dyDescent="0.3">
      <c r="A68" s="9" t="str">
        <f t="shared" si="0"/>
        <v>BRL22</v>
      </c>
      <c r="B68" s="9" t="s">
        <v>20</v>
      </c>
      <c r="C68" s="212" t="s">
        <v>103</v>
      </c>
      <c r="D68" s="9">
        <v>2022</v>
      </c>
      <c r="E68" s="110">
        <f>INDEX(Data!H$8:H$301,MATCH($A68,Data!$A$8:$A$301,0))</f>
        <v>143018</v>
      </c>
      <c r="F68" s="110">
        <f>INDEX(Data!I$8:I$301,MATCH($A68,Data!$A$8:$A$301,0))</f>
        <v>129</v>
      </c>
      <c r="G68" s="121">
        <f>INDEX('Forecast drivers'!$W$10:$AC$29,MATCH('Selected forecast drivers'!B68,'Forecast drivers'!$A$10:$A$29,0),MATCH('Selected forecast drivers'!C68,'Forecast drivers'!$W$8:$AC$8))</f>
        <v>143018</v>
      </c>
      <c r="H68" s="121">
        <f>INDEX('Forecast drivers'!$W$38:$AC$57,MATCH('Selected forecast drivers'!B68,'Forecast drivers'!$A$38:$A$57,0),MATCH('Selected forecast drivers'!C68,'Forecast drivers'!$W$36:$AC$36))</f>
        <v>129</v>
      </c>
    </row>
    <row r="69" spans="1:8" x14ac:dyDescent="0.3">
      <c r="A69" s="9" t="str">
        <f t="shared" si="0"/>
        <v>BRL23</v>
      </c>
      <c r="B69" s="9" t="s">
        <v>20</v>
      </c>
      <c r="C69" s="9" t="s">
        <v>104</v>
      </c>
      <c r="D69" s="9">
        <v>2023</v>
      </c>
      <c r="E69" s="110">
        <f>INDEX(Data!H$8:H$301,MATCH($A69,Data!$A$8:$A$301,0))</f>
        <v>141508</v>
      </c>
      <c r="F69" s="110">
        <f>INDEX(Data!I$8:I$301,MATCH($A69,Data!$A$8:$A$301,0))</f>
        <v>129</v>
      </c>
      <c r="G69" s="121">
        <f>INDEX('Forecast drivers'!$W$10:$AC$29,MATCH('Selected forecast drivers'!B69,'Forecast drivers'!$A$10:$A$29,0),MATCH('Selected forecast drivers'!C69,'Forecast drivers'!$W$8:$AC$8))</f>
        <v>141508</v>
      </c>
      <c r="H69" s="121">
        <f>INDEX('Forecast drivers'!$W$38:$AC$57,MATCH('Selected forecast drivers'!B69,'Forecast drivers'!$A$38:$A$57,0),MATCH('Selected forecast drivers'!C69,'Forecast drivers'!$W$36:$AC$36))</f>
        <v>129</v>
      </c>
    </row>
    <row r="70" spans="1:8" x14ac:dyDescent="0.3">
      <c r="A70" s="9" t="str">
        <f t="shared" si="0"/>
        <v>BRL24</v>
      </c>
      <c r="B70" s="9" t="s">
        <v>20</v>
      </c>
      <c r="C70" s="9" t="s">
        <v>105</v>
      </c>
      <c r="D70" s="9">
        <v>2024</v>
      </c>
      <c r="E70" s="110">
        <f>INDEX(Data!H$8:H$301,MATCH($A70,Data!$A$8:$A$301,0))</f>
        <v>139999</v>
      </c>
      <c r="F70" s="110">
        <f>INDEX(Data!I$8:I$301,MATCH($A70,Data!$A$8:$A$301,0))</f>
        <v>129</v>
      </c>
      <c r="G70" s="121">
        <f>INDEX('Forecast drivers'!$W$10:$AC$29,MATCH('Selected forecast drivers'!B70,'Forecast drivers'!$A$10:$A$29,0),MATCH('Selected forecast drivers'!C70,'Forecast drivers'!$W$8:$AC$8))</f>
        <v>139999</v>
      </c>
      <c r="H70" s="121">
        <f>INDEX('Forecast drivers'!$W$38:$AC$57,MATCH('Selected forecast drivers'!B70,'Forecast drivers'!$A$38:$A$57,0),MATCH('Selected forecast drivers'!C70,'Forecast drivers'!$W$36:$AC$36))</f>
        <v>129</v>
      </c>
    </row>
    <row r="71" spans="1:8" x14ac:dyDescent="0.3">
      <c r="A71" s="9" t="str">
        <f t="shared" si="0"/>
        <v>BRL25</v>
      </c>
      <c r="B71" s="9" t="s">
        <v>20</v>
      </c>
      <c r="C71" s="9" t="s">
        <v>106</v>
      </c>
      <c r="D71" s="9">
        <v>2025</v>
      </c>
      <c r="E71" s="110">
        <f>INDEX(Data!H$8:H$301,MATCH($A71,Data!$A$8:$A$301,0))</f>
        <v>138490</v>
      </c>
      <c r="F71" s="110">
        <f>INDEX(Data!I$8:I$301,MATCH($A71,Data!$A$8:$A$301,0))</f>
        <v>129</v>
      </c>
      <c r="G71" s="121">
        <f>INDEX('Forecast drivers'!$W$10:$AC$29,MATCH('Selected forecast drivers'!B71,'Forecast drivers'!$A$10:$A$29,0),MATCH('Selected forecast drivers'!C71,'Forecast drivers'!$W$8:$AC$8))</f>
        <v>138490</v>
      </c>
      <c r="H71" s="121">
        <f>INDEX('Forecast drivers'!$W$38:$AC$57,MATCH('Selected forecast drivers'!B71,'Forecast drivers'!$A$38:$A$57,0),MATCH('Selected forecast drivers'!C71,'Forecast drivers'!$W$36:$AC$36))</f>
        <v>129</v>
      </c>
    </row>
    <row r="72" spans="1:8" x14ac:dyDescent="0.3">
      <c r="A72" s="9" t="str">
        <f t="shared" ref="A72:A91" si="1">B72&amp;RIGHT(D72,2)</f>
        <v>PRT21</v>
      </c>
      <c r="B72" s="9" t="s">
        <v>23</v>
      </c>
      <c r="C72" s="212" t="s">
        <v>102</v>
      </c>
      <c r="D72" s="9">
        <v>2021</v>
      </c>
      <c r="E72" s="110">
        <f>INDEX(Data!H$8:H$301,MATCH($A72,Data!$A$8:$A$301,0))</f>
        <v>78110</v>
      </c>
      <c r="F72" s="110">
        <f>INDEX(Data!I$8:I$301,MATCH($A72,Data!$A$8:$A$301,0))</f>
        <v>10</v>
      </c>
      <c r="G72" s="121">
        <f>INDEX('Forecast drivers'!$W$10:$AC$29,MATCH('Selected forecast drivers'!B72,'Forecast drivers'!$A$10:$A$29,0),MATCH('Selected forecast drivers'!C72,'Forecast drivers'!$W$8:$AC$8))</f>
        <v>78110</v>
      </c>
      <c r="H72" s="121">
        <f>INDEX('Forecast drivers'!$W$38:$AC$57,MATCH('Selected forecast drivers'!B72,'Forecast drivers'!$A$38:$A$57,0),MATCH('Selected forecast drivers'!C72,'Forecast drivers'!$W$36:$AC$36))</f>
        <v>10</v>
      </c>
    </row>
    <row r="73" spans="1:8" x14ac:dyDescent="0.3">
      <c r="A73" s="9" t="str">
        <f t="shared" si="1"/>
        <v>PRT22</v>
      </c>
      <c r="B73" s="9" t="s">
        <v>23</v>
      </c>
      <c r="C73" s="212" t="s">
        <v>103</v>
      </c>
      <c r="D73" s="9">
        <v>2022</v>
      </c>
      <c r="E73" s="110">
        <f>INDEX(Data!H$8:H$301,MATCH($A73,Data!$A$8:$A$301,0))</f>
        <v>77316</v>
      </c>
      <c r="F73" s="110">
        <f>INDEX(Data!I$8:I$301,MATCH($A73,Data!$A$8:$A$301,0))</f>
        <v>10</v>
      </c>
      <c r="G73" s="121">
        <f>INDEX('Forecast drivers'!$W$10:$AC$29,MATCH('Selected forecast drivers'!B73,'Forecast drivers'!$A$10:$A$29,0),MATCH('Selected forecast drivers'!C73,'Forecast drivers'!$W$8:$AC$8))</f>
        <v>77316</v>
      </c>
      <c r="H73" s="121">
        <f>INDEX('Forecast drivers'!$W$38:$AC$57,MATCH('Selected forecast drivers'!B73,'Forecast drivers'!$A$38:$A$57,0),MATCH('Selected forecast drivers'!C73,'Forecast drivers'!$W$36:$AC$36))</f>
        <v>10</v>
      </c>
    </row>
    <row r="74" spans="1:8" x14ac:dyDescent="0.3">
      <c r="A74" s="9" t="str">
        <f t="shared" si="1"/>
        <v>PRT23</v>
      </c>
      <c r="B74" s="9" t="s">
        <v>23</v>
      </c>
      <c r="C74" s="9" t="s">
        <v>104</v>
      </c>
      <c r="D74" s="9">
        <v>2023</v>
      </c>
      <c r="E74" s="110">
        <f>INDEX(Data!H$8:H$301,MATCH($A74,Data!$A$8:$A$301,0))</f>
        <v>76522</v>
      </c>
      <c r="F74" s="110">
        <f>INDEX(Data!I$8:I$301,MATCH($A74,Data!$A$8:$A$301,0))</f>
        <v>10</v>
      </c>
      <c r="G74" s="121">
        <f>INDEX('Forecast drivers'!$W$10:$AC$29,MATCH('Selected forecast drivers'!B74,'Forecast drivers'!$A$10:$A$29,0),MATCH('Selected forecast drivers'!C74,'Forecast drivers'!$W$8:$AC$8))</f>
        <v>76522</v>
      </c>
      <c r="H74" s="121">
        <f>INDEX('Forecast drivers'!$W$38:$AC$57,MATCH('Selected forecast drivers'!B74,'Forecast drivers'!$A$38:$A$57,0),MATCH('Selected forecast drivers'!C74,'Forecast drivers'!$W$36:$AC$36))</f>
        <v>10</v>
      </c>
    </row>
    <row r="75" spans="1:8" x14ac:dyDescent="0.3">
      <c r="A75" s="9" t="str">
        <f t="shared" si="1"/>
        <v>PRT24</v>
      </c>
      <c r="B75" s="9" t="s">
        <v>23</v>
      </c>
      <c r="C75" s="9" t="s">
        <v>105</v>
      </c>
      <c r="D75" s="9">
        <v>2024</v>
      </c>
      <c r="E75" s="110">
        <f>INDEX(Data!H$8:H$301,MATCH($A75,Data!$A$8:$A$301,0))</f>
        <v>75728</v>
      </c>
      <c r="F75" s="110">
        <f>INDEX(Data!I$8:I$301,MATCH($A75,Data!$A$8:$A$301,0))</f>
        <v>10</v>
      </c>
      <c r="G75" s="121">
        <f>INDEX('Forecast drivers'!$W$10:$AC$29,MATCH('Selected forecast drivers'!B75,'Forecast drivers'!$A$10:$A$29,0),MATCH('Selected forecast drivers'!C75,'Forecast drivers'!$W$8:$AC$8))</f>
        <v>75728</v>
      </c>
      <c r="H75" s="121">
        <f>INDEX('Forecast drivers'!$W$38:$AC$57,MATCH('Selected forecast drivers'!B75,'Forecast drivers'!$A$38:$A$57,0),MATCH('Selected forecast drivers'!C75,'Forecast drivers'!$W$36:$AC$36))</f>
        <v>10</v>
      </c>
    </row>
    <row r="76" spans="1:8" x14ac:dyDescent="0.3">
      <c r="A76" s="9" t="str">
        <f t="shared" si="1"/>
        <v>PRT25</v>
      </c>
      <c r="B76" s="9" t="s">
        <v>23</v>
      </c>
      <c r="C76" s="9" t="s">
        <v>106</v>
      </c>
      <c r="D76" s="9">
        <v>2025</v>
      </c>
      <c r="E76" s="110">
        <f>INDEX(Data!H$8:H$301,MATCH($A76,Data!$A$8:$A$301,0))</f>
        <v>74934</v>
      </c>
      <c r="F76" s="110">
        <f>INDEX(Data!I$8:I$301,MATCH($A76,Data!$A$8:$A$301,0))</f>
        <v>10</v>
      </c>
      <c r="G76" s="121">
        <f>INDEX('Forecast drivers'!$W$10:$AC$29,MATCH('Selected forecast drivers'!B76,'Forecast drivers'!$A$10:$A$29,0),MATCH('Selected forecast drivers'!C76,'Forecast drivers'!$W$8:$AC$8))</f>
        <v>74934</v>
      </c>
      <c r="H76" s="121">
        <f>INDEX('Forecast drivers'!$W$38:$AC$57,MATCH('Selected forecast drivers'!B76,'Forecast drivers'!$A$38:$A$57,0),MATCH('Selected forecast drivers'!C76,'Forecast drivers'!$W$36:$AC$36))</f>
        <v>10</v>
      </c>
    </row>
    <row r="77" spans="1:8" x14ac:dyDescent="0.3">
      <c r="A77" s="9" t="str">
        <f t="shared" si="1"/>
        <v>SES21</v>
      </c>
      <c r="B77" s="9" t="s">
        <v>24</v>
      </c>
      <c r="C77" s="212" t="s">
        <v>102</v>
      </c>
      <c r="D77" s="9">
        <v>2021</v>
      </c>
      <c r="E77" s="110">
        <f>INDEX(Data!H$8:H$301,MATCH($A77,Data!$A$8:$A$301,0))</f>
        <v>99702</v>
      </c>
      <c r="F77" s="110">
        <f>INDEX(Data!I$8:I$301,MATCH($A77,Data!$A$8:$A$301,0))</f>
        <v>287</v>
      </c>
      <c r="G77" s="121">
        <f>INDEX('Forecast drivers'!$W$10:$AC$29,MATCH('Selected forecast drivers'!B77,'Forecast drivers'!$A$10:$A$29,0),MATCH('Selected forecast drivers'!C77,'Forecast drivers'!$W$8:$AC$8))</f>
        <v>99702</v>
      </c>
      <c r="H77" s="121">
        <f>INDEX('Forecast drivers'!$W$38:$AC$57,MATCH('Selected forecast drivers'!B77,'Forecast drivers'!$A$38:$A$57,0),MATCH('Selected forecast drivers'!C77,'Forecast drivers'!$W$36:$AC$36))</f>
        <v>287</v>
      </c>
    </row>
    <row r="78" spans="1:8" x14ac:dyDescent="0.3">
      <c r="A78" s="9" t="str">
        <f t="shared" si="1"/>
        <v>SES22</v>
      </c>
      <c r="B78" s="9" t="s">
        <v>24</v>
      </c>
      <c r="C78" s="212" t="s">
        <v>103</v>
      </c>
      <c r="D78" s="9">
        <v>2022</v>
      </c>
      <c r="E78" s="110">
        <f>INDEX(Data!H$8:H$301,MATCH($A78,Data!$A$8:$A$301,0))</f>
        <v>98658</v>
      </c>
      <c r="F78" s="110">
        <f>INDEX(Data!I$8:I$301,MATCH($A78,Data!$A$8:$A$301,0))</f>
        <v>287</v>
      </c>
      <c r="G78" s="121">
        <f>INDEX('Forecast drivers'!$W$10:$AC$29,MATCH('Selected forecast drivers'!B78,'Forecast drivers'!$A$10:$A$29,0),MATCH('Selected forecast drivers'!C78,'Forecast drivers'!$W$8:$AC$8))</f>
        <v>98658</v>
      </c>
      <c r="H78" s="121">
        <f>INDEX('Forecast drivers'!$W$38:$AC$57,MATCH('Selected forecast drivers'!B78,'Forecast drivers'!$A$38:$A$57,0),MATCH('Selected forecast drivers'!C78,'Forecast drivers'!$W$36:$AC$36))</f>
        <v>287</v>
      </c>
    </row>
    <row r="79" spans="1:8" x14ac:dyDescent="0.3">
      <c r="A79" s="9" t="str">
        <f t="shared" si="1"/>
        <v>SES23</v>
      </c>
      <c r="B79" s="9" t="s">
        <v>24</v>
      </c>
      <c r="C79" s="9" t="s">
        <v>104</v>
      </c>
      <c r="D79" s="9">
        <v>2023</v>
      </c>
      <c r="E79" s="110">
        <f>INDEX(Data!H$8:H$301,MATCH($A79,Data!$A$8:$A$301,0))</f>
        <v>97615</v>
      </c>
      <c r="F79" s="110">
        <f>INDEX(Data!I$8:I$301,MATCH($A79,Data!$A$8:$A$301,0))</f>
        <v>287</v>
      </c>
      <c r="G79" s="121">
        <f>INDEX('Forecast drivers'!$W$10:$AC$29,MATCH('Selected forecast drivers'!B79,'Forecast drivers'!$A$10:$A$29,0),MATCH('Selected forecast drivers'!C79,'Forecast drivers'!$W$8:$AC$8))</f>
        <v>97615</v>
      </c>
      <c r="H79" s="121">
        <f>INDEX('Forecast drivers'!$W$38:$AC$57,MATCH('Selected forecast drivers'!B79,'Forecast drivers'!$A$38:$A$57,0),MATCH('Selected forecast drivers'!C79,'Forecast drivers'!$W$36:$AC$36))</f>
        <v>287</v>
      </c>
    </row>
    <row r="80" spans="1:8" x14ac:dyDescent="0.3">
      <c r="A80" s="9" t="str">
        <f t="shared" si="1"/>
        <v>SES24</v>
      </c>
      <c r="B80" s="9" t="s">
        <v>24</v>
      </c>
      <c r="C80" s="9" t="s">
        <v>105</v>
      </c>
      <c r="D80" s="9">
        <v>2024</v>
      </c>
      <c r="E80" s="110">
        <f>INDEX(Data!H$8:H$301,MATCH($A80,Data!$A$8:$A$301,0))</f>
        <v>96571</v>
      </c>
      <c r="F80" s="110">
        <f>INDEX(Data!I$8:I$301,MATCH($A80,Data!$A$8:$A$301,0))</f>
        <v>287</v>
      </c>
      <c r="G80" s="121">
        <f>INDEX('Forecast drivers'!$W$10:$AC$29,MATCH('Selected forecast drivers'!B80,'Forecast drivers'!$A$10:$A$29,0),MATCH('Selected forecast drivers'!C80,'Forecast drivers'!$W$8:$AC$8))</f>
        <v>96571</v>
      </c>
      <c r="H80" s="121">
        <f>INDEX('Forecast drivers'!$W$38:$AC$57,MATCH('Selected forecast drivers'!B80,'Forecast drivers'!$A$38:$A$57,0),MATCH('Selected forecast drivers'!C80,'Forecast drivers'!$W$36:$AC$36))</f>
        <v>287</v>
      </c>
    </row>
    <row r="81" spans="1:8" x14ac:dyDescent="0.3">
      <c r="A81" s="9" t="str">
        <f t="shared" si="1"/>
        <v>SES25</v>
      </c>
      <c r="B81" s="9" t="s">
        <v>24</v>
      </c>
      <c r="C81" s="9" t="s">
        <v>106</v>
      </c>
      <c r="D81" s="9">
        <v>2025</v>
      </c>
      <c r="E81" s="110">
        <f>INDEX(Data!H$8:H$301,MATCH($A81,Data!$A$8:$A$301,0))</f>
        <v>95527</v>
      </c>
      <c r="F81" s="110">
        <f>INDEX(Data!I$8:I$301,MATCH($A81,Data!$A$8:$A$301,0))</f>
        <v>287</v>
      </c>
      <c r="G81" s="121">
        <f>INDEX('Forecast drivers'!$W$10:$AC$29,MATCH('Selected forecast drivers'!B81,'Forecast drivers'!$A$10:$A$29,0),MATCH('Selected forecast drivers'!C81,'Forecast drivers'!$W$8:$AC$8))</f>
        <v>95527</v>
      </c>
      <c r="H81" s="121">
        <f>INDEX('Forecast drivers'!$W$38:$AC$57,MATCH('Selected forecast drivers'!B81,'Forecast drivers'!$A$38:$A$57,0),MATCH('Selected forecast drivers'!C81,'Forecast drivers'!$W$36:$AC$36))</f>
        <v>287</v>
      </c>
    </row>
    <row r="82" spans="1:8" x14ac:dyDescent="0.3">
      <c r="A82" s="9" t="str">
        <f t="shared" si="1"/>
        <v>SEW21</v>
      </c>
      <c r="B82" s="9" t="s">
        <v>25</v>
      </c>
      <c r="C82" s="212" t="s">
        <v>102</v>
      </c>
      <c r="D82" s="9">
        <v>2021</v>
      </c>
      <c r="E82" s="110">
        <f>INDEX(Data!H$8:H$301,MATCH($A82,Data!$A$8:$A$301,0))</f>
        <v>33534.878523949199</v>
      </c>
      <c r="F82" s="110">
        <f>INDEX(Data!I$8:I$301,MATCH($A82,Data!$A$8:$A$301,0))</f>
        <v>4</v>
      </c>
      <c r="G82" s="121">
        <f>INDEX('Forecast drivers'!$W$10:$AC$29,MATCH('Selected forecast drivers'!B82,'Forecast drivers'!$A$10:$A$29,0),MATCH('Selected forecast drivers'!C82,'Forecast drivers'!$W$8:$AC$8))</f>
        <v>33534.878523949199</v>
      </c>
      <c r="H82" s="121">
        <f>INDEX('Forecast drivers'!$W$38:$AC$57,MATCH('Selected forecast drivers'!B82,'Forecast drivers'!$A$38:$A$57,0),MATCH('Selected forecast drivers'!C82,'Forecast drivers'!$W$36:$AC$36))</f>
        <v>4</v>
      </c>
    </row>
    <row r="83" spans="1:8" x14ac:dyDescent="0.3">
      <c r="A83" s="9" t="str">
        <f t="shared" si="1"/>
        <v>SEW22</v>
      </c>
      <c r="B83" s="9" t="s">
        <v>25</v>
      </c>
      <c r="C83" s="212" t="s">
        <v>103</v>
      </c>
      <c r="D83" s="9">
        <v>2022</v>
      </c>
      <c r="E83" s="110">
        <f>INDEX(Data!H$8:H$301,MATCH($A83,Data!$A$8:$A$301,0))</f>
        <v>33267.817785923799</v>
      </c>
      <c r="F83" s="110">
        <f>INDEX(Data!I$8:I$301,MATCH($A83,Data!$A$8:$A$301,0))</f>
        <v>4</v>
      </c>
      <c r="G83" s="121">
        <f>INDEX('Forecast drivers'!$W$10:$AC$29,MATCH('Selected forecast drivers'!B83,'Forecast drivers'!$A$10:$A$29,0),MATCH('Selected forecast drivers'!C83,'Forecast drivers'!$W$8:$AC$8))</f>
        <v>33267.817785923799</v>
      </c>
      <c r="H83" s="121">
        <f>INDEX('Forecast drivers'!$W$38:$AC$57,MATCH('Selected forecast drivers'!B83,'Forecast drivers'!$A$38:$A$57,0),MATCH('Selected forecast drivers'!C83,'Forecast drivers'!$W$36:$AC$36))</f>
        <v>4</v>
      </c>
    </row>
    <row r="84" spans="1:8" x14ac:dyDescent="0.3">
      <c r="A84" s="9" t="str">
        <f t="shared" si="1"/>
        <v>SEW23</v>
      </c>
      <c r="B84" s="9" t="s">
        <v>25</v>
      </c>
      <c r="C84" s="9" t="s">
        <v>104</v>
      </c>
      <c r="D84" s="9">
        <v>2023</v>
      </c>
      <c r="E84" s="110">
        <f>INDEX(Data!H$8:H$301,MATCH($A84,Data!$A$8:$A$301,0))</f>
        <v>33000.757047898303</v>
      </c>
      <c r="F84" s="110">
        <f>INDEX(Data!I$8:I$301,MATCH($A84,Data!$A$8:$A$301,0))</f>
        <v>4</v>
      </c>
      <c r="G84" s="121">
        <f>INDEX('Forecast drivers'!$W$10:$AC$29,MATCH('Selected forecast drivers'!B84,'Forecast drivers'!$A$10:$A$29,0),MATCH('Selected forecast drivers'!C84,'Forecast drivers'!$W$8:$AC$8))</f>
        <v>33000.757047898303</v>
      </c>
      <c r="H84" s="121">
        <f>INDEX('Forecast drivers'!$W$38:$AC$57,MATCH('Selected forecast drivers'!B84,'Forecast drivers'!$A$38:$A$57,0),MATCH('Selected forecast drivers'!C84,'Forecast drivers'!$W$36:$AC$36))</f>
        <v>4</v>
      </c>
    </row>
    <row r="85" spans="1:8" x14ac:dyDescent="0.3">
      <c r="A85" s="9" t="str">
        <f t="shared" si="1"/>
        <v>SEW24</v>
      </c>
      <c r="B85" s="9" t="s">
        <v>25</v>
      </c>
      <c r="C85" s="9" t="s">
        <v>105</v>
      </c>
      <c r="D85" s="9">
        <v>2024</v>
      </c>
      <c r="E85" s="110">
        <f>INDEX(Data!H$8:H$301,MATCH($A85,Data!$A$8:$A$301,0))</f>
        <v>32733.696309872899</v>
      </c>
      <c r="F85" s="110">
        <f>INDEX(Data!I$8:I$301,MATCH($A85,Data!$A$8:$A$301,0))</f>
        <v>4</v>
      </c>
      <c r="G85" s="121">
        <f>INDEX('Forecast drivers'!$W$10:$AC$29,MATCH('Selected forecast drivers'!B85,'Forecast drivers'!$A$10:$A$29,0),MATCH('Selected forecast drivers'!C85,'Forecast drivers'!$W$8:$AC$8))</f>
        <v>32733.696309872899</v>
      </c>
      <c r="H85" s="121">
        <f>INDEX('Forecast drivers'!$W$38:$AC$57,MATCH('Selected forecast drivers'!B85,'Forecast drivers'!$A$38:$A$57,0),MATCH('Selected forecast drivers'!C85,'Forecast drivers'!$W$36:$AC$36))</f>
        <v>4</v>
      </c>
    </row>
    <row r="86" spans="1:8" x14ac:dyDescent="0.3">
      <c r="A86" s="9" t="str">
        <f t="shared" si="1"/>
        <v>SEW25</v>
      </c>
      <c r="B86" s="9" t="s">
        <v>25</v>
      </c>
      <c r="C86" s="9" t="s">
        <v>106</v>
      </c>
      <c r="D86" s="9">
        <v>2025</v>
      </c>
      <c r="E86" s="110">
        <f>INDEX(Data!H$8:H$301,MATCH($A86,Data!$A$8:$A$301,0))</f>
        <v>32466.635571847499</v>
      </c>
      <c r="F86" s="110">
        <f>INDEX(Data!I$8:I$301,MATCH($A86,Data!$A$8:$A$301,0))</f>
        <v>4</v>
      </c>
      <c r="G86" s="121">
        <f>INDEX('Forecast drivers'!$W$10:$AC$29,MATCH('Selected forecast drivers'!B86,'Forecast drivers'!$A$10:$A$29,0),MATCH('Selected forecast drivers'!C86,'Forecast drivers'!$W$8:$AC$8))</f>
        <v>32466.635571847499</v>
      </c>
      <c r="H86" s="121">
        <f>INDEX('Forecast drivers'!$W$38:$AC$57,MATCH('Selected forecast drivers'!B86,'Forecast drivers'!$A$38:$A$57,0),MATCH('Selected forecast drivers'!C86,'Forecast drivers'!$W$36:$AC$36))</f>
        <v>4</v>
      </c>
    </row>
    <row r="87" spans="1:8" x14ac:dyDescent="0.3">
      <c r="A87" s="9" t="str">
        <f t="shared" si="1"/>
        <v>SSC21</v>
      </c>
      <c r="B87" s="9" t="s">
        <v>26</v>
      </c>
      <c r="C87" s="212" t="s">
        <v>102</v>
      </c>
      <c r="D87" s="9">
        <v>2021</v>
      </c>
      <c r="E87" s="110">
        <f>INDEX(Data!H$8:H$301,MATCH($A87,Data!$A$8:$A$301,0))</f>
        <v>150439</v>
      </c>
      <c r="F87" s="110">
        <f>INDEX(Data!I$8:I$301,MATCH($A87,Data!$A$8:$A$301,0))</f>
        <v>333</v>
      </c>
      <c r="G87" s="121">
        <f>INDEX('Forecast drivers'!$W$10:$AC$29,MATCH('Selected forecast drivers'!B87,'Forecast drivers'!$A$10:$A$29,0),MATCH('Selected forecast drivers'!C87,'Forecast drivers'!$W$8:$AC$8))</f>
        <v>150439</v>
      </c>
      <c r="H87" s="121">
        <f>INDEX('Forecast drivers'!$W$38:$AC$57,MATCH('Selected forecast drivers'!B87,'Forecast drivers'!$A$38:$A$57,0),MATCH('Selected forecast drivers'!C87,'Forecast drivers'!$W$36:$AC$36))</f>
        <v>333</v>
      </c>
    </row>
    <row r="88" spans="1:8" x14ac:dyDescent="0.3">
      <c r="A88" s="9" t="str">
        <f t="shared" si="1"/>
        <v>SSC22</v>
      </c>
      <c r="B88" s="9" t="s">
        <v>26</v>
      </c>
      <c r="C88" s="212" t="s">
        <v>103</v>
      </c>
      <c r="D88" s="9">
        <v>2022</v>
      </c>
      <c r="E88" s="110">
        <f>INDEX(Data!H$8:H$301,MATCH($A88,Data!$A$8:$A$301,0))</f>
        <v>148382</v>
      </c>
      <c r="F88" s="110">
        <f>INDEX(Data!I$8:I$301,MATCH($A88,Data!$A$8:$A$301,0))</f>
        <v>333</v>
      </c>
      <c r="G88" s="121">
        <f>INDEX('Forecast drivers'!$W$10:$AC$29,MATCH('Selected forecast drivers'!B88,'Forecast drivers'!$A$10:$A$29,0),MATCH('Selected forecast drivers'!C88,'Forecast drivers'!$W$8:$AC$8))</f>
        <v>148382</v>
      </c>
      <c r="H88" s="121">
        <f>INDEX('Forecast drivers'!$W$38:$AC$57,MATCH('Selected forecast drivers'!B88,'Forecast drivers'!$A$38:$A$57,0),MATCH('Selected forecast drivers'!C88,'Forecast drivers'!$W$36:$AC$36))</f>
        <v>333</v>
      </c>
    </row>
    <row r="89" spans="1:8" x14ac:dyDescent="0.3">
      <c r="A89" s="9" t="str">
        <f t="shared" si="1"/>
        <v>SSC23</v>
      </c>
      <c r="B89" s="9" t="s">
        <v>26</v>
      </c>
      <c r="C89" s="9" t="s">
        <v>104</v>
      </c>
      <c r="D89" s="9">
        <v>2023</v>
      </c>
      <c r="E89" s="110">
        <f>INDEX(Data!H$8:H$301,MATCH($A89,Data!$A$8:$A$301,0))</f>
        <v>146325</v>
      </c>
      <c r="F89" s="110">
        <f>INDEX(Data!I$8:I$301,MATCH($A89,Data!$A$8:$A$301,0))</f>
        <v>333</v>
      </c>
      <c r="G89" s="121">
        <f>INDEX('Forecast drivers'!$W$10:$AC$29,MATCH('Selected forecast drivers'!B89,'Forecast drivers'!$A$10:$A$29,0),MATCH('Selected forecast drivers'!C89,'Forecast drivers'!$W$8:$AC$8))</f>
        <v>146325</v>
      </c>
      <c r="H89" s="121">
        <f>INDEX('Forecast drivers'!$W$38:$AC$57,MATCH('Selected forecast drivers'!B89,'Forecast drivers'!$A$38:$A$57,0),MATCH('Selected forecast drivers'!C89,'Forecast drivers'!$W$36:$AC$36))</f>
        <v>333</v>
      </c>
    </row>
    <row r="90" spans="1:8" x14ac:dyDescent="0.3">
      <c r="A90" s="9" t="str">
        <f t="shared" si="1"/>
        <v>SSC24</v>
      </c>
      <c r="B90" s="9" t="s">
        <v>26</v>
      </c>
      <c r="C90" s="9" t="s">
        <v>105</v>
      </c>
      <c r="D90" s="9">
        <v>2024</v>
      </c>
      <c r="E90" s="110">
        <f>INDEX(Data!H$8:H$301,MATCH($A90,Data!$A$8:$A$301,0))</f>
        <v>144268</v>
      </c>
      <c r="F90" s="110">
        <f>INDEX(Data!I$8:I$301,MATCH($A90,Data!$A$8:$A$301,0))</f>
        <v>333</v>
      </c>
      <c r="G90" s="121">
        <f>INDEX('Forecast drivers'!$W$10:$AC$29,MATCH('Selected forecast drivers'!B90,'Forecast drivers'!$A$10:$A$29,0),MATCH('Selected forecast drivers'!C90,'Forecast drivers'!$W$8:$AC$8))</f>
        <v>144268</v>
      </c>
      <c r="H90" s="121">
        <f>INDEX('Forecast drivers'!$W$38:$AC$57,MATCH('Selected forecast drivers'!B90,'Forecast drivers'!$A$38:$A$57,0),MATCH('Selected forecast drivers'!C90,'Forecast drivers'!$W$36:$AC$36))</f>
        <v>333</v>
      </c>
    </row>
    <row r="91" spans="1:8" x14ac:dyDescent="0.3">
      <c r="A91" s="9" t="str">
        <f t="shared" si="1"/>
        <v>SSC25</v>
      </c>
      <c r="B91" s="9" t="s">
        <v>26</v>
      </c>
      <c r="C91" s="9" t="s">
        <v>106</v>
      </c>
      <c r="D91" s="9">
        <v>2025</v>
      </c>
      <c r="E91" s="110">
        <f>INDEX(Data!H$8:H$301,MATCH($A91,Data!$A$8:$A$301,0))</f>
        <v>142211</v>
      </c>
      <c r="F91" s="110">
        <f>INDEX(Data!I$8:I$301,MATCH($A91,Data!$A$8:$A$301,0))</f>
        <v>333</v>
      </c>
      <c r="G91" s="121">
        <f>INDEX('Forecast drivers'!$W$10:$AC$29,MATCH('Selected forecast drivers'!B91,'Forecast drivers'!$A$10:$A$29,0),MATCH('Selected forecast drivers'!C91,'Forecast drivers'!$W$8:$AC$8))</f>
        <v>142211</v>
      </c>
      <c r="H91" s="121">
        <f>INDEX('Forecast drivers'!$W$38:$AC$57,MATCH('Selected forecast drivers'!B91,'Forecast drivers'!$A$38:$A$57,0),MATCH('Selected forecast drivers'!C91,'Forecast drivers'!$W$36:$AC$36))</f>
        <v>333</v>
      </c>
    </row>
    <row r="93" spans="1:8" x14ac:dyDescent="0.3">
      <c r="E93" s="138"/>
      <c r="F93" s="138"/>
      <c r="G93" s="138"/>
      <c r="H93" s="13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97"/>
  <sheetViews>
    <sheetView showGridLines="0" workbookViewId="0"/>
  </sheetViews>
  <sheetFormatPr defaultColWidth="9" defaultRowHeight="13" x14ac:dyDescent="0.3"/>
  <cols>
    <col min="1" max="3" width="9" style="1"/>
    <col min="4" max="5" width="9" style="6"/>
    <col min="6" max="6" width="9.83203125" style="1" customWidth="1"/>
    <col min="7" max="7" width="11.1640625" style="1" customWidth="1"/>
    <col min="8" max="14" width="9" style="1"/>
    <col min="15" max="15" width="12.6640625" style="1" customWidth="1"/>
    <col min="16" max="16384" width="9" style="1"/>
  </cols>
  <sheetData>
    <row r="1" spans="1:15" ht="18.5" x14ac:dyDescent="0.45">
      <c r="A1" s="142" t="s">
        <v>226</v>
      </c>
      <c r="D1" s="1"/>
      <c r="E1" s="1"/>
    </row>
    <row r="2" spans="1:15" x14ac:dyDescent="0.3">
      <c r="D2" s="43"/>
      <c r="E2" s="1"/>
    </row>
    <row r="3" spans="1:15" x14ac:dyDescent="0.3">
      <c r="D3" s="1"/>
      <c r="E3" s="1"/>
    </row>
    <row r="4" spans="1:15" ht="14.25" customHeight="1" x14ac:dyDescent="0.3">
      <c r="D4" s="122" t="s">
        <v>5</v>
      </c>
      <c r="E4" s="11"/>
      <c r="J4" s="5" t="s">
        <v>63</v>
      </c>
    </row>
    <row r="5" spans="1:15" ht="13.5" customHeight="1" x14ac:dyDescent="0.3">
      <c r="D5" s="124">
        <f>Controls!B9</f>
        <v>0.5</v>
      </c>
      <c r="E5" s="124">
        <f>Controls!C9</f>
        <v>0.5</v>
      </c>
      <c r="F5" s="32"/>
      <c r="G5" s="33"/>
    </row>
    <row r="6" spans="1:15" ht="13.5" customHeight="1" x14ac:dyDescent="0.3">
      <c r="D6" s="136" t="s">
        <v>32</v>
      </c>
      <c r="E6" s="11" t="s">
        <v>33</v>
      </c>
      <c r="F6" s="233" t="s">
        <v>41</v>
      </c>
      <c r="G6" s="233" t="s">
        <v>83</v>
      </c>
    </row>
    <row r="7" spans="1:15" ht="26.25" customHeight="1" x14ac:dyDescent="0.3">
      <c r="A7" s="8" t="s">
        <v>29</v>
      </c>
      <c r="B7" s="8" t="s">
        <v>6</v>
      </c>
      <c r="C7" s="8" t="s">
        <v>7</v>
      </c>
      <c r="D7" s="124" t="s">
        <v>78</v>
      </c>
      <c r="E7" s="124" t="s">
        <v>77</v>
      </c>
      <c r="F7" s="233"/>
      <c r="G7" s="234"/>
      <c r="J7" s="209" t="s">
        <v>6</v>
      </c>
      <c r="K7" s="137" t="s">
        <v>40</v>
      </c>
      <c r="L7" s="137" t="s">
        <v>222</v>
      </c>
      <c r="M7" s="12" t="s">
        <v>223</v>
      </c>
      <c r="N7" s="12" t="s">
        <v>42</v>
      </c>
      <c r="O7" s="12" t="s">
        <v>43</v>
      </c>
    </row>
    <row r="8" spans="1:15" x14ac:dyDescent="0.3">
      <c r="A8" s="2" t="str">
        <f>'Selected forecast drivers'!A7</f>
        <v>ANH21</v>
      </c>
      <c r="B8" s="2" t="str">
        <f>'Selected forecast drivers'!B7</f>
        <v>ANH</v>
      </c>
      <c r="C8" s="2">
        <f>'Selected forecast drivers'!D7</f>
        <v>2021</v>
      </c>
      <c r="D8" s="41">
        <f>Coeffs!$C$13+(Coeffs!$C$12*'Selected forecast drivers'!H7)+(Coeffs!$C$11*'Selected forecast drivers'!G7)</f>
        <v>1.5148628</v>
      </c>
      <c r="E8" s="41">
        <f>Coeffs!$D$13+(Coeffs!$D$12*'Selected forecast drivers'!H7)+(Coeffs!$D$11*'Selected forecast drivers'!G7)</f>
        <v>2.0930686000000001</v>
      </c>
      <c r="F8" s="42">
        <f t="shared" ref="F8:F39" si="0">SUMPRODUCT($D$5:$E$5,$D8:$E8)</f>
        <v>1.8039657</v>
      </c>
      <c r="G8" s="42">
        <f>Controls!$B$14*F8</f>
        <v>1.8039657</v>
      </c>
      <c r="J8" s="2" t="s">
        <v>8</v>
      </c>
      <c r="K8" s="3">
        <f>SUMIFS(Data!$F$8:$F$301,Data!$B$8:$B$301,$J8,Data!$C$8:$C$301,"&gt;=2021")</f>
        <v>25.02268858621186</v>
      </c>
      <c r="L8" s="3">
        <f>SUMIFS('Modelled costs'!F$8:F$92,'Modelled costs'!$B$8:$B$92,$J8)</f>
        <v>9.9697154000000001</v>
      </c>
      <c r="M8" s="3"/>
      <c r="N8" s="3">
        <f>SUM(L8:M8)</f>
        <v>9.9697154000000001</v>
      </c>
      <c r="O8" s="210">
        <f>K8/N8</f>
        <v>2.5098698992161661</v>
      </c>
    </row>
    <row r="9" spans="1:15" x14ac:dyDescent="0.3">
      <c r="A9" s="2" t="str">
        <f>'Selected forecast drivers'!A8</f>
        <v>ANH22</v>
      </c>
      <c r="B9" s="2" t="str">
        <f>'Selected forecast drivers'!B8</f>
        <v>ANH</v>
      </c>
      <c r="C9" s="2">
        <f>'Selected forecast drivers'!D8</f>
        <v>2022</v>
      </c>
      <c r="D9" s="41">
        <f>Coeffs!$C$13+(Coeffs!$C$12*'Selected forecast drivers'!H8)+(Coeffs!$C$11*'Selected forecast drivers'!G8)</f>
        <v>1.7859267999999999</v>
      </c>
      <c r="E9" s="41">
        <f>Coeffs!$D$13+(Coeffs!$D$12*'Selected forecast drivers'!H8)+(Coeffs!$D$11*'Selected forecast drivers'!G8)</f>
        <v>2.4492267999999999</v>
      </c>
      <c r="F9" s="42">
        <f>SUMPRODUCT($D$5:$E$5,$D9:$E9)</f>
        <v>2.1175768000000001</v>
      </c>
      <c r="G9" s="42">
        <f>Controls!$B$14*F9</f>
        <v>2.1175768000000001</v>
      </c>
      <c r="J9" s="2" t="s">
        <v>28</v>
      </c>
      <c r="K9" s="3">
        <f>SUMIFS(Data!$F$8:$F$301,Data!$B$8:$B$301,$J9,Data!$C$8:$C$301,"&gt;=2021")</f>
        <v>2.9299999999999997</v>
      </c>
      <c r="L9" s="3">
        <f>SUMIFS('Modelled costs'!F$8:F$92,'Modelled costs'!$B$8:$B$92,$J9)</f>
        <v>1.1059190394305904</v>
      </c>
      <c r="M9" s="3"/>
      <c r="N9" s="3">
        <f t="shared" ref="N9:N24" si="1">SUM(L9:M9)</f>
        <v>1.1059190394305904</v>
      </c>
      <c r="O9" s="210">
        <f t="shared" ref="O9:O24" si="2">K9/N9</f>
        <v>2.6493801946918123</v>
      </c>
    </row>
    <row r="10" spans="1:15" x14ac:dyDescent="0.3">
      <c r="A10" s="2" t="str">
        <f>'Selected forecast drivers'!A9</f>
        <v>ANH23</v>
      </c>
      <c r="B10" s="2" t="str">
        <f>'Selected forecast drivers'!B9</f>
        <v>ANH</v>
      </c>
      <c r="C10" s="2">
        <f>'Selected forecast drivers'!D9</f>
        <v>2023</v>
      </c>
      <c r="D10" s="41">
        <f>Coeffs!$C$13+(Coeffs!$C$12*'Selected forecast drivers'!H9)+(Coeffs!$C$11*'Selected forecast drivers'!G9)</f>
        <v>1.7818947999999999</v>
      </c>
      <c r="E10" s="41">
        <f>Coeffs!$D$13+(Coeffs!$D$12*'Selected forecast drivers'!H9)+(Coeffs!$D$11*'Selected forecast drivers'!G9)</f>
        <v>2.4438171999999998</v>
      </c>
      <c r="F10" s="42">
        <f t="shared" si="0"/>
        <v>2.1128559999999998</v>
      </c>
      <c r="G10" s="42">
        <f>Controls!$B$14*F10</f>
        <v>2.1128559999999998</v>
      </c>
      <c r="J10" s="2" t="s">
        <v>9</v>
      </c>
      <c r="K10" s="3">
        <f>SUMIFS(Data!$F$8:$F$301,Data!$B$8:$B$301,$J10,Data!$C$8:$C$301,"&gt;=2021")</f>
        <v>4.0030000000000001</v>
      </c>
      <c r="L10" s="3">
        <f>SUMIFS('Modelled costs'!F$8:F$92,'Modelled costs'!$B$8:$B$92,$J10)</f>
        <v>11.695388900000001</v>
      </c>
      <c r="M10" s="3"/>
      <c r="N10" s="3">
        <f t="shared" si="1"/>
        <v>11.695388900000001</v>
      </c>
      <c r="O10" s="210">
        <f t="shared" si="2"/>
        <v>0.3422716451951418</v>
      </c>
    </row>
    <row r="11" spans="1:15" x14ac:dyDescent="0.3">
      <c r="A11" s="2" t="str">
        <f>'Selected forecast drivers'!A10</f>
        <v>ANH24</v>
      </c>
      <c r="B11" s="2" t="str">
        <f>'Selected forecast drivers'!B10</f>
        <v>ANH</v>
      </c>
      <c r="C11" s="2">
        <f>'Selected forecast drivers'!D10</f>
        <v>2024</v>
      </c>
      <c r="D11" s="41">
        <f>Coeffs!$C$13+(Coeffs!$C$12*'Selected forecast drivers'!H10)+(Coeffs!$C$11*'Selected forecast drivers'!G10)</f>
        <v>1.7778628000000001</v>
      </c>
      <c r="E11" s="41">
        <f>Coeffs!$D$13+(Coeffs!$D$12*'Selected forecast drivers'!H10)+(Coeffs!$D$11*'Selected forecast drivers'!G10)</f>
        <v>2.4384076000000001</v>
      </c>
      <c r="F11" s="42">
        <f t="shared" si="0"/>
        <v>2.1081352</v>
      </c>
      <c r="G11" s="42">
        <f>Controls!$B$14*F11</f>
        <v>2.1081352</v>
      </c>
      <c r="J11" s="2" t="s">
        <v>10</v>
      </c>
      <c r="K11" s="3">
        <f>SUMIFS(Data!$F$8:$F$301,Data!$B$8:$B$301,$J11,Data!$C$8:$C$301,"&gt;=2021")</f>
        <v>0</v>
      </c>
      <c r="L11" s="3">
        <f>SUMIFS('Modelled costs'!F$8:F$92,'Modelled costs'!$B$8:$B$92,$J11)</f>
        <v>17.798147350000001</v>
      </c>
      <c r="M11" s="3"/>
      <c r="N11" s="3">
        <f t="shared" si="1"/>
        <v>17.798147350000001</v>
      </c>
      <c r="O11" s="210">
        <f t="shared" si="2"/>
        <v>0</v>
      </c>
    </row>
    <row r="12" spans="1:15" x14ac:dyDescent="0.3">
      <c r="A12" s="2" t="str">
        <f>'Selected forecast drivers'!A11</f>
        <v>ANH25</v>
      </c>
      <c r="B12" s="2" t="str">
        <f>'Selected forecast drivers'!B11</f>
        <v>ANH</v>
      </c>
      <c r="C12" s="2">
        <f>'Selected forecast drivers'!D11</f>
        <v>2025</v>
      </c>
      <c r="D12" s="41">
        <f>Coeffs!$C$13+(Coeffs!$C$12*'Selected forecast drivers'!H11)+(Coeffs!$C$11*'Selected forecast drivers'!G11)</f>
        <v>1.5350928000000001</v>
      </c>
      <c r="E12" s="41">
        <f>Coeffs!$D$13+(Coeffs!$D$12*'Selected forecast drivers'!H11)+(Coeffs!$D$11*'Selected forecast drivers'!G11)</f>
        <v>2.1192706000000001</v>
      </c>
      <c r="F12" s="42">
        <f t="shared" si="0"/>
        <v>1.8271817000000001</v>
      </c>
      <c r="G12" s="42">
        <f>Controls!$B$14*F12</f>
        <v>1.8271817000000001</v>
      </c>
      <c r="J12" s="2" t="s">
        <v>11</v>
      </c>
      <c r="K12" s="3">
        <f>SUMIFS(Data!$F$8:$F$301,Data!$B$8:$B$301,$J12,Data!$C$8:$C$301,"&gt;=2021")</f>
        <v>19.847999999999999</v>
      </c>
      <c r="L12" s="3">
        <f>SUMIFS('Modelled costs'!F$8:F$92,'Modelled costs'!$B$8:$B$92,$J12)</f>
        <v>13.499367729999999</v>
      </c>
      <c r="M12" s="3"/>
      <c r="N12" s="3">
        <f t="shared" si="1"/>
        <v>13.499367729999999</v>
      </c>
      <c r="O12" s="210">
        <f t="shared" si="2"/>
        <v>1.47029108303282</v>
      </c>
    </row>
    <row r="13" spans="1:15" x14ac:dyDescent="0.3">
      <c r="A13" s="2" t="str">
        <f>'Selected forecast drivers'!A12</f>
        <v>HDD21</v>
      </c>
      <c r="B13" s="2" t="str">
        <f>'Selected forecast drivers'!B12</f>
        <v>HDD</v>
      </c>
      <c r="C13" s="2">
        <f>'Selected forecast drivers'!D12</f>
        <v>2021</v>
      </c>
      <c r="D13" s="41">
        <f>Coeffs!$C$13+(Coeffs!$C$12*'Selected forecast drivers'!H12)+(Coeffs!$C$11*'Selected forecast drivers'!G12)</f>
        <v>0.16121172304239376</v>
      </c>
      <c r="E13" s="41">
        <f>Coeffs!$D$13+(Coeffs!$D$12*'Selected forecast drivers'!H12)+(Coeffs!$D$11*'Selected forecast drivers'!G12)</f>
        <v>0.2816102559152116</v>
      </c>
      <c r="F13" s="42">
        <f t="shared" si="0"/>
        <v>0.22141098947880267</v>
      </c>
      <c r="G13" s="42">
        <f>Controls!$B$14*F13</f>
        <v>0.22141098947880267</v>
      </c>
      <c r="J13" s="2" t="s">
        <v>27</v>
      </c>
      <c r="K13" s="3">
        <f>SUMIFS(Data!$F$8:$F$301,Data!$B$8:$B$301,$J13,Data!$C$8:$C$301,"&gt;=2021")</f>
        <v>16.379000000000001</v>
      </c>
      <c r="L13" s="3">
        <f>SUMIFS('Modelled costs'!F$8:F$92,'Modelled costs'!$B$8:$B$92,$J13)</f>
        <v>11.097579103280406</v>
      </c>
      <c r="M13" s="3"/>
      <c r="N13" s="3">
        <f t="shared" si="1"/>
        <v>11.097579103280406</v>
      </c>
      <c r="O13" s="210">
        <f t="shared" si="2"/>
        <v>1.4759074792409839</v>
      </c>
    </row>
    <row r="14" spans="1:15" x14ac:dyDescent="0.3">
      <c r="A14" s="2" t="str">
        <f>'Selected forecast drivers'!A13</f>
        <v>HDD22</v>
      </c>
      <c r="B14" s="2" t="str">
        <f>'Selected forecast drivers'!B13</f>
        <v>HDD</v>
      </c>
      <c r="C14" s="2">
        <f>'Selected forecast drivers'!D13</f>
        <v>2022</v>
      </c>
      <c r="D14" s="41">
        <f>Coeffs!$C$13+(Coeffs!$C$12*'Selected forecast drivers'!H13)+(Coeffs!$C$11*'Selected forecast drivers'!G13)</f>
        <v>0.16111451351888534</v>
      </c>
      <c r="E14" s="41">
        <f>Coeffs!$D$13+(Coeffs!$D$12*'Selected forecast drivers'!H13)+(Coeffs!$D$11*'Selected forecast drivers'!G13)</f>
        <v>0.28147983313783786</v>
      </c>
      <c r="F14" s="42">
        <f t="shared" si="0"/>
        <v>0.2212971733283616</v>
      </c>
      <c r="G14" s="42">
        <f>Controls!$B$14*F14</f>
        <v>0.2212971733283616</v>
      </c>
      <c r="J14" s="2" t="s">
        <v>14</v>
      </c>
      <c r="K14" s="3">
        <f>SUMIFS(Data!$F$8:$F$301,Data!$B$8:$B$301,$J14,Data!$C$8:$C$301,"&gt;=2021")</f>
        <v>4</v>
      </c>
      <c r="L14" s="3">
        <f>SUMIFS('Modelled costs'!F$8:F$92,'Modelled costs'!$B$8:$B$92,$J14)</f>
        <v>2.7846778999999997</v>
      </c>
      <c r="M14" s="3"/>
      <c r="N14" s="3">
        <f t="shared" si="1"/>
        <v>2.7846778999999997</v>
      </c>
      <c r="O14" s="210">
        <f t="shared" si="2"/>
        <v>1.4364318401061755</v>
      </c>
    </row>
    <row r="15" spans="1:15" x14ac:dyDescent="0.3">
      <c r="A15" s="2" t="str">
        <f>'Selected forecast drivers'!A14</f>
        <v>HDD23</v>
      </c>
      <c r="B15" s="2" t="str">
        <f>'Selected forecast drivers'!B14</f>
        <v>HDD</v>
      </c>
      <c r="C15" s="2">
        <f>'Selected forecast drivers'!D14</f>
        <v>2023</v>
      </c>
      <c r="D15" s="41">
        <f>Coeffs!$C$13+(Coeffs!$C$12*'Selected forecast drivers'!H14)+(Coeffs!$C$11*'Selected forecast drivers'!G14)</f>
        <v>0.16101749668546719</v>
      </c>
      <c r="E15" s="41">
        <f>Coeffs!$D$13+(Coeffs!$D$12*'Selected forecast drivers'!H14)+(Coeffs!$D$11*'Selected forecast drivers'!G14)</f>
        <v>0.28134966888633517</v>
      </c>
      <c r="F15" s="42">
        <f t="shared" si="0"/>
        <v>0.22118358278590117</v>
      </c>
      <c r="G15" s="42">
        <f>Controls!$B$14*F15</f>
        <v>0.22118358278590117</v>
      </c>
      <c r="J15" s="2" t="s">
        <v>15</v>
      </c>
      <c r="K15" s="3">
        <f>SUMIFS(Data!$F$8:$F$301,Data!$B$8:$B$301,$J15,Data!$C$8:$C$301,"&gt;=2021")</f>
        <v>76.420038670099999</v>
      </c>
      <c r="L15" s="3">
        <f>SUMIFS('Modelled costs'!F$8:F$92,'Modelled costs'!$B$8:$B$92,$J15)</f>
        <v>37.685891600000005</v>
      </c>
      <c r="M15" s="3"/>
      <c r="N15" s="3">
        <f t="shared" si="1"/>
        <v>37.685891600000005</v>
      </c>
      <c r="O15" s="210">
        <f t="shared" si="2"/>
        <v>2.0278155942607441</v>
      </c>
    </row>
    <row r="16" spans="1:15" x14ac:dyDescent="0.3">
      <c r="A16" s="2" t="str">
        <f>'Selected forecast drivers'!A15</f>
        <v>HDD24</v>
      </c>
      <c r="B16" s="2" t="str">
        <f>'Selected forecast drivers'!B15</f>
        <v>HDD</v>
      </c>
      <c r="C16" s="2">
        <f>'Selected forecast drivers'!D15</f>
        <v>2024</v>
      </c>
      <c r="D16" s="41">
        <f>Coeffs!$C$13+(Coeffs!$C$12*'Selected forecast drivers'!H15)+(Coeffs!$C$11*'Selected forecast drivers'!G15)</f>
        <v>0.16092067210824376</v>
      </c>
      <c r="E16" s="41">
        <f>Coeffs!$D$13+(Coeffs!$D$12*'Selected forecast drivers'!H15)+(Coeffs!$D$11*'Selected forecast drivers'!G15)</f>
        <v>0.28121976257856041</v>
      </c>
      <c r="F16" s="42">
        <f t="shared" si="0"/>
        <v>0.2210702173434021</v>
      </c>
      <c r="G16" s="42">
        <f>Controls!$B$14*F16</f>
        <v>0.2210702173434021</v>
      </c>
      <c r="J16" s="2" t="s">
        <v>16</v>
      </c>
      <c r="K16" s="3">
        <f>SUMIFS(Data!$F$8:$F$301,Data!$B$8:$B$301,$J16,Data!$C$8:$C$301,"&gt;=2021")</f>
        <v>15.047000000000001</v>
      </c>
      <c r="L16" s="3">
        <v>0</v>
      </c>
      <c r="M16" s="3">
        <f>'Deep dive_WSH'!B12</f>
        <v>10.308</v>
      </c>
      <c r="N16" s="3">
        <f t="shared" si="1"/>
        <v>10.308</v>
      </c>
      <c r="O16" s="210">
        <f t="shared" si="2"/>
        <v>1.4597400077609624</v>
      </c>
    </row>
    <row r="17" spans="1:15" x14ac:dyDescent="0.3">
      <c r="A17" s="2" t="str">
        <f>'Selected forecast drivers'!A16</f>
        <v>HDD25</v>
      </c>
      <c r="B17" s="2" t="str">
        <f>'Selected forecast drivers'!B16</f>
        <v>HDD</v>
      </c>
      <c r="C17" s="2">
        <f>'Selected forecast drivers'!D16</f>
        <v>2025</v>
      </c>
      <c r="D17" s="41">
        <f>Coeffs!$C$13+(Coeffs!$C$12*'Selected forecast drivers'!H16)+(Coeffs!$C$11*'Selected forecast drivers'!G16)</f>
        <v>0.16082403935441103</v>
      </c>
      <c r="E17" s="41">
        <f>Coeffs!$D$13+(Coeffs!$D$12*'Selected forecast drivers'!H16)+(Coeffs!$D$11*'Selected forecast drivers'!G16)</f>
        <v>0.28109011363383485</v>
      </c>
      <c r="F17" s="42">
        <f t="shared" si="0"/>
        <v>0.22095707649412294</v>
      </c>
      <c r="G17" s="42">
        <f>Controls!$B$14*F17</f>
        <v>0.22095707649412294</v>
      </c>
      <c r="J17" s="2" t="s">
        <v>17</v>
      </c>
      <c r="K17" s="3">
        <f>SUMIFS(Data!$F$8:$F$301,Data!$B$8:$B$301,$J17,Data!$C$8:$C$301,"&gt;=2021")</f>
        <v>5.5797403846153806</v>
      </c>
      <c r="L17" s="3">
        <f>SUMIFS('Modelled costs'!F$8:F$92,'Modelled costs'!$B$8:$B$92,$J17)</f>
        <v>4.8380570499999997</v>
      </c>
      <c r="M17" s="3"/>
      <c r="N17" s="3">
        <f t="shared" si="1"/>
        <v>4.8380570499999997</v>
      </c>
      <c r="O17" s="210">
        <f t="shared" si="2"/>
        <v>1.1533018992852473</v>
      </c>
    </row>
    <row r="18" spans="1:15" x14ac:dyDescent="0.3">
      <c r="A18" s="2" t="str">
        <f>'Selected forecast drivers'!A17</f>
        <v>NES21</v>
      </c>
      <c r="B18" s="2" t="str">
        <f>'Selected forecast drivers'!B17</f>
        <v>NES</v>
      </c>
      <c r="C18" s="2">
        <f>'Selected forecast drivers'!D17</f>
        <v>2021</v>
      </c>
      <c r="D18" s="41">
        <f>Coeffs!$C$13+(Coeffs!$C$12*'Selected forecast drivers'!H17)+(Coeffs!$C$11*'Selected forecast drivers'!G17)</f>
        <v>1.9618541</v>
      </c>
      <c r="E18" s="41">
        <f>Coeffs!$D$13+(Coeffs!$D$12*'Selected forecast drivers'!H17)+(Coeffs!$D$11*'Selected forecast drivers'!G17)</f>
        <v>2.6818131000000003</v>
      </c>
      <c r="F18" s="42">
        <f t="shared" si="0"/>
        <v>2.3218336000000002</v>
      </c>
      <c r="G18" s="42">
        <f>Controls!$B$14*F18</f>
        <v>2.3218336000000002</v>
      </c>
      <c r="J18" s="2" t="s">
        <v>18</v>
      </c>
      <c r="K18" s="3">
        <f>SUMIFS(Data!$F$8:$F$301,Data!$B$8:$B$301,$J18,Data!$C$8:$C$301,"&gt;=2021")</f>
        <v>12.343</v>
      </c>
      <c r="L18" s="3">
        <f>SUMIFS('Modelled costs'!F$8:F$92,'Modelled costs'!$B$8:$B$92,$J18)</f>
        <v>21.481644370000001</v>
      </c>
      <c r="M18" s="3"/>
      <c r="N18" s="3">
        <f t="shared" si="1"/>
        <v>21.481644370000001</v>
      </c>
      <c r="O18" s="210">
        <f t="shared" si="2"/>
        <v>0.57458357411583938</v>
      </c>
    </row>
    <row r="19" spans="1:15" x14ac:dyDescent="0.3">
      <c r="A19" s="2" t="str">
        <f>'Selected forecast drivers'!A18</f>
        <v>NES22</v>
      </c>
      <c r="B19" s="2" t="str">
        <f>'Selected forecast drivers'!B18</f>
        <v>NES</v>
      </c>
      <c r="C19" s="2">
        <f>'Selected forecast drivers'!D18</f>
        <v>2022</v>
      </c>
      <c r="D19" s="41">
        <f>Coeffs!$C$13+(Coeffs!$C$12*'Selected forecast drivers'!H18)+(Coeffs!$C$11*'Selected forecast drivers'!G18)</f>
        <v>2.0067387000000001</v>
      </c>
      <c r="E19" s="41">
        <f>Coeffs!$D$13+(Coeffs!$D$12*'Selected forecast drivers'!H18)+(Coeffs!$D$11*'Selected forecast drivers'!G18)</f>
        <v>2.7403602200000003</v>
      </c>
      <c r="F19" s="42">
        <f t="shared" si="0"/>
        <v>2.3735494600000004</v>
      </c>
      <c r="G19" s="42">
        <f>Controls!$B$14*F19</f>
        <v>2.3735494600000004</v>
      </c>
      <c r="J19" s="2" t="s">
        <v>19</v>
      </c>
      <c r="K19" s="3">
        <f>SUMIFS(Data!$F$8:$F$301,Data!$B$8:$B$301,$J19,Data!$C$8:$C$301,"&gt;=2021")</f>
        <v>9.1997560000000007</v>
      </c>
      <c r="L19" s="3">
        <f>SUMIFS('Modelled costs'!F$8:F$92,'Modelled costs'!$B$8:$B$92,$J19)</f>
        <v>8.4151148599999992</v>
      </c>
      <c r="M19" s="3"/>
      <c r="N19" s="3">
        <f t="shared" si="1"/>
        <v>8.4151148599999992</v>
      </c>
      <c r="O19" s="210">
        <f t="shared" si="2"/>
        <v>1.0932418811928137</v>
      </c>
    </row>
    <row r="20" spans="1:15" x14ac:dyDescent="0.3">
      <c r="A20" s="2" t="str">
        <f>'Selected forecast drivers'!A19</f>
        <v>NES23</v>
      </c>
      <c r="B20" s="2" t="str">
        <f>'Selected forecast drivers'!B19</f>
        <v>NES</v>
      </c>
      <c r="C20" s="2">
        <f>'Selected forecast drivers'!D19</f>
        <v>2023</v>
      </c>
      <c r="D20" s="41">
        <f>Coeffs!$C$13+(Coeffs!$C$12*'Selected forecast drivers'!H19)+(Coeffs!$C$11*'Selected forecast drivers'!G19)</f>
        <v>1.9904090999999999</v>
      </c>
      <c r="E20" s="41">
        <f>Coeffs!$D$13+(Coeffs!$D$12*'Selected forecast drivers'!H19)+(Coeffs!$D$11*'Selected forecast drivers'!G19)</f>
        <v>2.7184513400000001</v>
      </c>
      <c r="F20" s="42">
        <f t="shared" si="0"/>
        <v>2.3544302200000002</v>
      </c>
      <c r="G20" s="42">
        <f>Controls!$B$14*F20</f>
        <v>2.3544302200000002</v>
      </c>
      <c r="J20" s="2" t="s">
        <v>20</v>
      </c>
      <c r="K20" s="3">
        <f>SUMIFS(Data!$F$8:$F$301,Data!$B$8:$B$301,$J20,Data!$C$8:$C$301,"&gt;=2021")</f>
        <v>0.32500000000000001</v>
      </c>
      <c r="L20" s="3">
        <f>SUMIFS('Modelled costs'!F$8:F$92,'Modelled costs'!$B$8:$B$92,$J20)</f>
        <v>2.9278663199999997</v>
      </c>
      <c r="M20" s="3"/>
      <c r="N20" s="3">
        <f t="shared" si="1"/>
        <v>2.9278663199999997</v>
      </c>
      <c r="O20" s="210">
        <f t="shared" si="2"/>
        <v>0.11100233565308407</v>
      </c>
    </row>
    <row r="21" spans="1:15" x14ac:dyDescent="0.3">
      <c r="A21" s="2" t="str">
        <f>'Selected forecast drivers'!A20</f>
        <v>NES24</v>
      </c>
      <c r="B21" s="2" t="str">
        <f>'Selected forecast drivers'!B20</f>
        <v>NES</v>
      </c>
      <c r="C21" s="2">
        <f>'Selected forecast drivers'!D20</f>
        <v>2024</v>
      </c>
      <c r="D21" s="41">
        <f>Coeffs!$C$13+(Coeffs!$C$12*'Selected forecast drivers'!H20)+(Coeffs!$C$11*'Selected forecast drivers'!G20)</f>
        <v>1.9740795</v>
      </c>
      <c r="E21" s="41">
        <f>Coeffs!$D$13+(Coeffs!$D$12*'Selected forecast drivers'!H20)+(Coeffs!$D$11*'Selected forecast drivers'!G20)</f>
        <v>2.6965424599999999</v>
      </c>
      <c r="F21" s="42">
        <f t="shared" si="0"/>
        <v>2.33531098</v>
      </c>
      <c r="G21" s="42">
        <f>Controls!$B$14*F21</f>
        <v>2.33531098</v>
      </c>
      <c r="J21" s="2" t="s">
        <v>23</v>
      </c>
      <c r="K21" s="3">
        <f>SUMIFS(Data!$F$8:$F$301,Data!$B$8:$B$301,$J21,Data!$C$8:$C$301,"&gt;=2021")</f>
        <v>0.25</v>
      </c>
      <c r="L21" s="3">
        <f>SUMIFS('Modelled costs'!F$8:F$92,'Modelled costs'!$B$8:$B$92,$J21)</f>
        <v>1.7784250999999998</v>
      </c>
      <c r="M21" s="3"/>
      <c r="N21" s="3">
        <f t="shared" si="1"/>
        <v>1.7784250999999998</v>
      </c>
      <c r="O21" s="210">
        <f t="shared" si="2"/>
        <v>0.14057381443840397</v>
      </c>
    </row>
    <row r="22" spans="1:15" x14ac:dyDescent="0.3">
      <c r="A22" s="2" t="str">
        <f>'Selected forecast drivers'!A21</f>
        <v>NES25</v>
      </c>
      <c r="B22" s="2" t="str">
        <f>'Selected forecast drivers'!B21</f>
        <v>NES</v>
      </c>
      <c r="C22" s="2">
        <f>'Selected forecast drivers'!D21</f>
        <v>2025</v>
      </c>
      <c r="D22" s="41">
        <f>Coeffs!$C$13+(Coeffs!$C$12*'Selected forecast drivers'!H21)+(Coeffs!$C$11*'Selected forecast drivers'!G21)</f>
        <v>1.9526273999999999</v>
      </c>
      <c r="E22" s="41">
        <f>Coeffs!$D$13+(Coeffs!$D$12*'Selected forecast drivers'!H21)+(Coeffs!$D$11*'Selected forecast drivers'!G21)</f>
        <v>2.6679018800000001</v>
      </c>
      <c r="F22" s="42">
        <f t="shared" si="0"/>
        <v>2.3102646399999998</v>
      </c>
      <c r="G22" s="42">
        <f>Controls!$B$14*F22</f>
        <v>2.3102646399999998</v>
      </c>
      <c r="J22" s="2" t="s">
        <v>24</v>
      </c>
      <c r="K22" s="3">
        <f>SUMIFS(Data!$F$8:$F$301,Data!$B$8:$B$301,$J22,Data!$C$8:$C$301,"&gt;=2021")</f>
        <v>1.7199999999999998</v>
      </c>
      <c r="L22" s="3">
        <f>SUMIFS('Modelled costs'!F$8:F$92,'Modelled costs'!$B$8:$B$92,$J22)</f>
        <v>2.6259368800000003</v>
      </c>
      <c r="M22" s="3"/>
      <c r="N22" s="3">
        <f t="shared" si="1"/>
        <v>2.6259368800000003</v>
      </c>
      <c r="O22" s="210">
        <f t="shared" si="2"/>
        <v>0.65500431982965246</v>
      </c>
    </row>
    <row r="23" spans="1:15" x14ac:dyDescent="0.3">
      <c r="A23" s="2" t="str">
        <f>'Selected forecast drivers'!A22</f>
        <v>NWT21</v>
      </c>
      <c r="B23" s="2" t="str">
        <f>'Selected forecast drivers'!B22</f>
        <v>NWT</v>
      </c>
      <c r="C23" s="2">
        <f>'Selected forecast drivers'!D22</f>
        <v>2021</v>
      </c>
      <c r="D23" s="41">
        <f>Coeffs!$C$13+(Coeffs!$C$12*'Selected forecast drivers'!H22)+(Coeffs!$C$11*'Selected forecast drivers'!G22)</f>
        <v>2.8643554</v>
      </c>
      <c r="E23" s="41">
        <f>Coeffs!$D$13+(Coeffs!$D$12*'Selected forecast drivers'!H22)+(Coeffs!$D$11*'Selected forecast drivers'!G22)</f>
        <v>3.8668495000000003</v>
      </c>
      <c r="F23" s="42">
        <f t="shared" si="0"/>
        <v>3.3656024499999999</v>
      </c>
      <c r="G23" s="42">
        <f>Controls!$B$14*F23</f>
        <v>3.3656024499999999</v>
      </c>
      <c r="J23" s="2" t="s">
        <v>25</v>
      </c>
      <c r="K23" s="3">
        <f>SUMIFS(Data!$F$8:$F$301,Data!$B$8:$B$301,$J23,Data!$C$8:$C$301,"&gt;=2021")</f>
        <v>0</v>
      </c>
      <c r="L23" s="3">
        <f>SUMIFS('Modelled costs'!F$8:F$92,'Modelled costs'!$B$8:$B$92,$J23)</f>
        <v>1.1550131365229717</v>
      </c>
      <c r="M23" s="3"/>
      <c r="N23" s="3">
        <f t="shared" si="1"/>
        <v>1.1550131365229717</v>
      </c>
      <c r="O23" s="210">
        <f t="shared" si="2"/>
        <v>0</v>
      </c>
    </row>
    <row r="24" spans="1:15" x14ac:dyDescent="0.3">
      <c r="A24" s="2" t="str">
        <f>'Selected forecast drivers'!A23</f>
        <v>NWT22</v>
      </c>
      <c r="B24" s="2" t="str">
        <f>'Selected forecast drivers'!B23</f>
        <v>NWT</v>
      </c>
      <c r="C24" s="2">
        <f>'Selected forecast drivers'!D23</f>
        <v>2022</v>
      </c>
      <c r="D24" s="41">
        <f>Coeffs!$C$13+(Coeffs!$C$12*'Selected forecast drivers'!H23)+(Coeffs!$C$11*'Selected forecast drivers'!G23)</f>
        <v>3.0243918000000001</v>
      </c>
      <c r="E24" s="41">
        <f>Coeffs!$D$13+(Coeffs!$D$12*'Selected forecast drivers'!H23)+(Coeffs!$D$11*'Selected forecast drivers'!G23)</f>
        <v>4.0768654200000007</v>
      </c>
      <c r="F24" s="42">
        <f t="shared" si="0"/>
        <v>3.5506286100000004</v>
      </c>
      <c r="G24" s="42">
        <f>Controls!$B$14*F24</f>
        <v>3.5506286100000004</v>
      </c>
      <c r="J24" s="2" t="s">
        <v>26</v>
      </c>
      <c r="K24" s="3">
        <f>SUMIFS(Data!$F$8:$F$301,Data!$B$8:$B$301,$J24,Data!$C$8:$C$301,"&gt;=2021")</f>
        <v>3.5008017769795963</v>
      </c>
      <c r="L24" s="3">
        <f>SUMIFS('Modelled costs'!F$8:F$92,'Modelled costs'!$B$8:$B$92,$J24)</f>
        <v>3.4018464999999996</v>
      </c>
      <c r="M24" s="3"/>
      <c r="N24" s="3">
        <f t="shared" si="1"/>
        <v>3.4018464999999996</v>
      </c>
      <c r="O24" s="210">
        <f t="shared" si="2"/>
        <v>1.0290886955009866</v>
      </c>
    </row>
    <row r="25" spans="1:15" x14ac:dyDescent="0.3">
      <c r="A25" s="2" t="str">
        <f>'Selected forecast drivers'!A24</f>
        <v>NWT23</v>
      </c>
      <c r="B25" s="2" t="str">
        <f>'Selected forecast drivers'!B24</f>
        <v>NWT</v>
      </c>
      <c r="C25" s="2">
        <f>'Selected forecast drivers'!D24</f>
        <v>2023</v>
      </c>
      <c r="D25" s="41">
        <f>Coeffs!$C$13+(Coeffs!$C$12*'Selected forecast drivers'!H24)+(Coeffs!$C$11*'Selected forecast drivers'!G24)</f>
        <v>3.1149282000000005</v>
      </c>
      <c r="E25" s="41">
        <f>Coeffs!$D$13+(Coeffs!$D$12*'Selected forecast drivers'!H24)+(Coeffs!$D$11*'Selected forecast drivers'!G24)</f>
        <v>4.19551534</v>
      </c>
      <c r="F25" s="42">
        <f t="shared" si="0"/>
        <v>3.6552217700000003</v>
      </c>
      <c r="G25" s="42">
        <f>Controls!$B$14*F25</f>
        <v>3.6552217700000003</v>
      </c>
    </row>
    <row r="26" spans="1:15" x14ac:dyDescent="0.3">
      <c r="A26" s="2" t="str">
        <f>'Selected forecast drivers'!A25</f>
        <v>NWT24</v>
      </c>
      <c r="B26" s="2" t="str">
        <f>'Selected forecast drivers'!B25</f>
        <v>NWT</v>
      </c>
      <c r="C26" s="2">
        <f>'Selected forecast drivers'!D25</f>
        <v>2024</v>
      </c>
      <c r="D26" s="41">
        <f>Coeffs!$C$13+(Coeffs!$C$12*'Selected forecast drivers'!H25)+(Coeffs!$C$11*'Selected forecast drivers'!G25)</f>
        <v>3.0852196000000003</v>
      </c>
      <c r="E26" s="41">
        <f>Coeffs!$D$13+(Coeffs!$D$12*'Selected forecast drivers'!H25)+(Coeffs!$D$11*'Selected forecast drivers'!G25)</f>
        <v>4.1561262600000006</v>
      </c>
      <c r="F26" s="42">
        <f t="shared" si="0"/>
        <v>3.6206729300000005</v>
      </c>
      <c r="G26" s="42">
        <f>Controls!$B$14*F26</f>
        <v>3.6206729300000005</v>
      </c>
    </row>
    <row r="27" spans="1:15" x14ac:dyDescent="0.3">
      <c r="A27" s="2" t="str">
        <f>'Selected forecast drivers'!A26</f>
        <v>NWT25</v>
      </c>
      <c r="B27" s="2" t="str">
        <f>'Selected forecast drivers'!B26</f>
        <v>NWT</v>
      </c>
      <c r="C27" s="2">
        <f>'Selected forecast drivers'!D26</f>
        <v>2025</v>
      </c>
      <c r="D27" s="41">
        <f>Coeffs!$C$13+(Coeffs!$C$12*'Selected forecast drivers'!H26)+(Coeffs!$C$11*'Selected forecast drivers'!G26)</f>
        <v>3.0727060000000002</v>
      </c>
      <c r="E27" s="41">
        <f>Coeffs!$D$13+(Coeffs!$D$12*'Selected forecast drivers'!H26)+(Coeffs!$D$11*'Selected forecast drivers'!G26)</f>
        <v>4.1393371800000001</v>
      </c>
      <c r="F27" s="42">
        <f t="shared" si="0"/>
        <v>3.6060215900000001</v>
      </c>
      <c r="G27" s="42">
        <f>Controls!$B$14*F27</f>
        <v>3.6060215900000001</v>
      </c>
      <c r="J27" s="13" t="s">
        <v>44</v>
      </c>
      <c r="K27" s="14"/>
      <c r="L27" s="14"/>
      <c r="M27" s="14"/>
      <c r="N27" s="14"/>
      <c r="O27" s="15">
        <f>PERCENTILE($O$8:$O$24,0.5)</f>
        <v>1.0932418811928137</v>
      </c>
    </row>
    <row r="28" spans="1:15" x14ac:dyDescent="0.3">
      <c r="A28" s="2" t="str">
        <f>'Selected forecast drivers'!A27</f>
        <v>SRN21</v>
      </c>
      <c r="B28" s="2" t="str">
        <f>'Selected forecast drivers'!B27</f>
        <v>SRN</v>
      </c>
      <c r="C28" s="2">
        <f>'Selected forecast drivers'!D27</f>
        <v>2021</v>
      </c>
      <c r="D28" s="41">
        <f>Coeffs!$C$13+(Coeffs!$C$12*'Selected forecast drivers'!H27)+(Coeffs!$C$11*'Selected forecast drivers'!G27)</f>
        <v>2.0123931000000002</v>
      </c>
      <c r="E28" s="41">
        <f>Coeffs!$D$13+(Coeffs!$D$12*'Selected forecast drivers'!H27)+(Coeffs!$D$11*'Selected forecast drivers'!G27)</f>
        <v>2.7220048400000003</v>
      </c>
      <c r="F28" s="42">
        <f t="shared" si="0"/>
        <v>2.3671989700000005</v>
      </c>
      <c r="G28" s="42">
        <f>Controls!$B$14*F28</f>
        <v>2.3671989700000005</v>
      </c>
      <c r="J28" s="13" t="s">
        <v>45</v>
      </c>
      <c r="K28" s="14"/>
      <c r="L28" s="14"/>
      <c r="M28" s="14"/>
      <c r="N28" s="14"/>
      <c r="O28" s="15">
        <f>PERCENTILE($O$8:$O$24,0.25)</f>
        <v>0.3422716451951418</v>
      </c>
    </row>
    <row r="29" spans="1:15" x14ac:dyDescent="0.3">
      <c r="A29" s="2" t="str">
        <f>'Selected forecast drivers'!A28</f>
        <v>SRN22</v>
      </c>
      <c r="B29" s="2" t="str">
        <f>'Selected forecast drivers'!B28</f>
        <v>SRN</v>
      </c>
      <c r="C29" s="2">
        <f>'Selected forecast drivers'!D28</f>
        <v>2022</v>
      </c>
      <c r="D29" s="41">
        <f>Coeffs!$C$13+(Coeffs!$C$12*'Selected forecast drivers'!H28)+(Coeffs!$C$11*'Selected forecast drivers'!G28)</f>
        <v>3.0643106000000002</v>
      </c>
      <c r="E29" s="41">
        <f>Coeffs!$D$13+(Coeffs!$D$12*'Selected forecast drivers'!H28)+(Coeffs!$D$11*'Selected forecast drivers'!G28)</f>
        <v>4.1040678800000006</v>
      </c>
      <c r="F29" s="42">
        <f t="shared" si="0"/>
        <v>3.5841892400000006</v>
      </c>
      <c r="G29" s="42">
        <f>Controls!$B$14*F29</f>
        <v>3.5841892400000006</v>
      </c>
    </row>
    <row r="30" spans="1:15" x14ac:dyDescent="0.3">
      <c r="A30" s="2" t="str">
        <f>'Selected forecast drivers'!A29</f>
        <v>SRN23</v>
      </c>
      <c r="B30" s="2" t="str">
        <f>'Selected forecast drivers'!B29</f>
        <v>SRN</v>
      </c>
      <c r="C30" s="2">
        <f>'Selected forecast drivers'!D29</f>
        <v>2023</v>
      </c>
      <c r="D30" s="41">
        <f>Coeffs!$C$13+(Coeffs!$C$12*'Selected forecast drivers'!H29)+(Coeffs!$C$11*'Selected forecast drivers'!G29)</f>
        <v>2.9244349000000001</v>
      </c>
      <c r="E30" s="41">
        <f>Coeffs!$D$13+(Coeffs!$D$12*'Selected forecast drivers'!H29)+(Coeffs!$D$11*'Selected forecast drivers'!G29)</f>
        <v>3.91973802</v>
      </c>
      <c r="F30" s="42">
        <f t="shared" si="0"/>
        <v>3.4220864600000001</v>
      </c>
      <c r="G30" s="42">
        <f>Controls!$B$14*F30</f>
        <v>3.4220864600000001</v>
      </c>
    </row>
    <row r="31" spans="1:15" x14ac:dyDescent="0.3">
      <c r="A31" s="2" t="str">
        <f>'Selected forecast drivers'!A30</f>
        <v>SRN24</v>
      </c>
      <c r="B31" s="2" t="str">
        <f>'Selected forecast drivers'!B30</f>
        <v>SRN</v>
      </c>
      <c r="C31" s="2">
        <f>'Selected forecast drivers'!D30</f>
        <v>2024</v>
      </c>
      <c r="D31" s="41">
        <f>Coeffs!$C$13+(Coeffs!$C$12*'Selected forecast drivers'!H30)+(Coeffs!$C$11*'Selected forecast drivers'!G30)</f>
        <v>1.8565312000000003</v>
      </c>
      <c r="E31" s="41">
        <f>Coeffs!$D$13+(Coeffs!$D$12*'Selected forecast drivers'!H30)+(Coeffs!$D$11*'Selected forecast drivers'!G30)</f>
        <v>2.5158696599999999</v>
      </c>
      <c r="F31" s="42">
        <f t="shared" si="0"/>
        <v>2.18620043</v>
      </c>
      <c r="G31" s="42">
        <f>Controls!$B$14*F31</f>
        <v>2.18620043</v>
      </c>
    </row>
    <row r="32" spans="1:15" x14ac:dyDescent="0.3">
      <c r="A32" s="2" t="str">
        <f>'Selected forecast drivers'!A31</f>
        <v>SRN25</v>
      </c>
      <c r="B32" s="2" t="str">
        <f>'Selected forecast drivers'!B31</f>
        <v>SRN</v>
      </c>
      <c r="C32" s="2">
        <f>'Selected forecast drivers'!D31</f>
        <v>2025</v>
      </c>
      <c r="D32" s="41">
        <f>Coeffs!$C$13+(Coeffs!$C$12*'Selected forecast drivers'!H31)+(Coeffs!$C$11*'Selected forecast drivers'!G31)</f>
        <v>1.6436105000000003</v>
      </c>
      <c r="E32" s="41">
        <f>Coeffs!$D$13+(Coeffs!$D$12*'Selected forecast drivers'!H31)+(Coeffs!$D$11*'Selected forecast drivers'!G31)</f>
        <v>2.23577476</v>
      </c>
      <c r="F32" s="42">
        <f t="shared" si="0"/>
        <v>1.9396926300000001</v>
      </c>
      <c r="G32" s="42">
        <f>Controls!$B$14*F32</f>
        <v>1.9396926300000001</v>
      </c>
    </row>
    <row r="33" spans="1:7" x14ac:dyDescent="0.3">
      <c r="A33" s="2" t="str">
        <f>'Selected forecast drivers'!A32</f>
        <v>SVE21</v>
      </c>
      <c r="B33" s="2" t="str">
        <f>'Selected forecast drivers'!B32</f>
        <v>SVE</v>
      </c>
      <c r="C33" s="2">
        <f>'Selected forecast drivers'!D32</f>
        <v>2021</v>
      </c>
      <c r="D33" s="41">
        <f>Coeffs!$C$13+(Coeffs!$C$12*'Selected forecast drivers'!H32)+(Coeffs!$C$11*'Selected forecast drivers'!G32)</f>
        <v>1.8797553090403758</v>
      </c>
      <c r="E33" s="41">
        <f>Coeffs!$D$13+(Coeffs!$D$12*'Selected forecast drivers'!H32)+(Coeffs!$D$11*'Selected forecast drivers'!G32)</f>
        <v>2.5803205212958376</v>
      </c>
      <c r="F33" s="42">
        <f t="shared" si="0"/>
        <v>2.2300379151681069</v>
      </c>
      <c r="G33" s="42">
        <f>Controls!$B$14*F33</f>
        <v>2.2300379151681069</v>
      </c>
    </row>
    <row r="34" spans="1:7" x14ac:dyDescent="0.3">
      <c r="A34" s="2" t="str">
        <f>'Selected forecast drivers'!A33</f>
        <v>SVE22</v>
      </c>
      <c r="B34" s="2" t="str">
        <f>'Selected forecast drivers'!B33</f>
        <v>SVE</v>
      </c>
      <c r="C34" s="2">
        <f>'Selected forecast drivers'!D33</f>
        <v>2022</v>
      </c>
      <c r="D34" s="41">
        <f>Coeffs!$C$13+(Coeffs!$C$12*'Selected forecast drivers'!H33)+(Coeffs!$C$11*'Selected forecast drivers'!G33)</f>
        <v>1.8752484534103351</v>
      </c>
      <c r="E34" s="41">
        <f>Coeffs!$D$13+(Coeffs!$D$12*'Selected forecast drivers'!H33)+(Coeffs!$D$11*'Selected forecast drivers'!G33)</f>
        <v>2.5742738233255329</v>
      </c>
      <c r="F34" s="42">
        <f t="shared" si="0"/>
        <v>2.224761138367934</v>
      </c>
      <c r="G34" s="42">
        <f>Controls!$B$14*F34</f>
        <v>2.224761138367934</v>
      </c>
    </row>
    <row r="35" spans="1:7" x14ac:dyDescent="0.3">
      <c r="A35" s="2" t="str">
        <f>'Selected forecast drivers'!A34</f>
        <v>SVE23</v>
      </c>
      <c r="B35" s="2" t="str">
        <f>'Selected forecast drivers'!B34</f>
        <v>SVE</v>
      </c>
      <c r="C35" s="2">
        <f>'Selected forecast drivers'!D34</f>
        <v>2023</v>
      </c>
      <c r="D35" s="41">
        <f>Coeffs!$C$13+(Coeffs!$C$12*'Selected forecast drivers'!H34)+(Coeffs!$C$11*'Selected forecast drivers'!G34)</f>
        <v>1.8707550523881968</v>
      </c>
      <c r="E35" s="41">
        <f>Coeffs!$D$13+(Coeffs!$D$12*'Selected forecast drivers'!H34)+(Coeffs!$D$11*'Selected forecast drivers'!G34)</f>
        <v>2.5682451769541639</v>
      </c>
      <c r="F35" s="42">
        <f t="shared" si="0"/>
        <v>2.2195001146711801</v>
      </c>
      <c r="G35" s="42">
        <f>Controls!$B$14*F35</f>
        <v>2.2195001146711801</v>
      </c>
    </row>
    <row r="36" spans="1:7" x14ac:dyDescent="0.3">
      <c r="A36" s="2" t="str">
        <f>'Selected forecast drivers'!A35</f>
        <v>SVE24</v>
      </c>
      <c r="B36" s="2" t="str">
        <f>'Selected forecast drivers'!B35</f>
        <v>SVE</v>
      </c>
      <c r="C36" s="2">
        <f>'Selected forecast drivers'!D35</f>
        <v>2024</v>
      </c>
      <c r="D36" s="41">
        <f>Coeffs!$C$13+(Coeffs!$C$12*'Selected forecast drivers'!H35)+(Coeffs!$C$11*'Selected forecast drivers'!G35)</f>
        <v>1.8662750657062546</v>
      </c>
      <c r="E36" s="41">
        <f>Coeffs!$D$13+(Coeffs!$D$12*'Selected forecast drivers'!H35)+(Coeffs!$D$11*'Selected forecast drivers'!G35)</f>
        <v>2.5622345281558911</v>
      </c>
      <c r="F36" s="42">
        <f t="shared" si="0"/>
        <v>2.2142547969310726</v>
      </c>
      <c r="G36" s="42">
        <f>Controls!$B$14*F36</f>
        <v>2.2142547969310726</v>
      </c>
    </row>
    <row r="37" spans="1:7" x14ac:dyDescent="0.3">
      <c r="A37" s="2" t="str">
        <f>'Selected forecast drivers'!A36</f>
        <v>SVE25</v>
      </c>
      <c r="B37" s="2" t="str">
        <f>'Selected forecast drivers'!B36</f>
        <v>SVE</v>
      </c>
      <c r="C37" s="2">
        <f>'Selected forecast drivers'!D36</f>
        <v>2025</v>
      </c>
      <c r="D37" s="41">
        <f>Coeffs!$C$13+(Coeffs!$C$12*'Selected forecast drivers'!H36)+(Coeffs!$C$11*'Selected forecast drivers'!G36)</f>
        <v>1.8618084532174639</v>
      </c>
      <c r="E37" s="41">
        <f>Coeffs!$D$13+(Coeffs!$D$12*'Selected forecast drivers'!H36)+(Coeffs!$D$11*'Selected forecast drivers'!G36)</f>
        <v>2.5562418230667641</v>
      </c>
      <c r="F37" s="42">
        <f t="shared" si="0"/>
        <v>2.2090251381421142</v>
      </c>
      <c r="G37" s="42">
        <f>Controls!$B$14*F37</f>
        <v>2.2090251381421142</v>
      </c>
    </row>
    <row r="38" spans="1:7" x14ac:dyDescent="0.3">
      <c r="A38" s="2" t="str">
        <f>'Selected forecast drivers'!A37</f>
        <v>SWB21</v>
      </c>
      <c r="B38" s="2" t="str">
        <f>'Selected forecast drivers'!B37</f>
        <v>SWB</v>
      </c>
      <c r="C38" s="2">
        <f>'Selected forecast drivers'!D37</f>
        <v>2021</v>
      </c>
      <c r="D38" s="41">
        <f>Coeffs!$C$13+(Coeffs!$C$12*'Selected forecast drivers'!H37)+(Coeffs!$C$11*'Selected forecast drivers'!G37)</f>
        <v>0.45246299999999995</v>
      </c>
      <c r="E38" s="41">
        <f>Coeffs!$D$13+(Coeffs!$D$12*'Selected forecast drivers'!H37)+(Coeffs!$D$11*'Selected forecast drivers'!G37)</f>
        <v>0.66815215999999999</v>
      </c>
      <c r="F38" s="42">
        <f t="shared" si="0"/>
        <v>0.56030757999999992</v>
      </c>
      <c r="G38" s="42">
        <f>Controls!$B$14*F38</f>
        <v>0.56030757999999992</v>
      </c>
    </row>
    <row r="39" spans="1:7" x14ac:dyDescent="0.3">
      <c r="A39" s="2" t="str">
        <f>'Selected forecast drivers'!A38</f>
        <v>SWB22</v>
      </c>
      <c r="B39" s="2" t="str">
        <f>'Selected forecast drivers'!B38</f>
        <v>SWB</v>
      </c>
      <c r="C39" s="2">
        <f>'Selected forecast drivers'!D38</f>
        <v>2022</v>
      </c>
      <c r="D39" s="41">
        <f>Coeffs!$C$13+(Coeffs!$C$12*'Selected forecast drivers'!H38)+(Coeffs!$C$11*'Selected forecast drivers'!G38)</f>
        <v>0.45102299999999995</v>
      </c>
      <c r="E39" s="41">
        <f>Coeffs!$D$13+(Coeffs!$D$12*'Selected forecast drivers'!H38)+(Coeffs!$D$11*'Selected forecast drivers'!G38)</f>
        <v>0.66622015999999995</v>
      </c>
      <c r="F39" s="42">
        <f t="shared" si="0"/>
        <v>0.55862157999999995</v>
      </c>
      <c r="G39" s="42">
        <f>Controls!$B$14*F39</f>
        <v>0.55862157999999995</v>
      </c>
    </row>
    <row r="40" spans="1:7" x14ac:dyDescent="0.3">
      <c r="A40" s="2" t="str">
        <f>'Selected forecast drivers'!A39</f>
        <v>SWB23</v>
      </c>
      <c r="B40" s="2" t="str">
        <f>'Selected forecast drivers'!B39</f>
        <v>SWB</v>
      </c>
      <c r="C40" s="2">
        <f>'Selected forecast drivers'!D39</f>
        <v>2023</v>
      </c>
      <c r="D40" s="41">
        <f>Coeffs!$C$13+(Coeffs!$C$12*'Selected forecast drivers'!H39)+(Coeffs!$C$11*'Selected forecast drivers'!G39)</f>
        <v>0.44958299999999995</v>
      </c>
      <c r="E40" s="41">
        <f>Coeffs!$D$13+(Coeffs!$D$12*'Selected forecast drivers'!H39)+(Coeffs!$D$11*'Selected forecast drivers'!G39)</f>
        <v>0.66428815999999991</v>
      </c>
      <c r="F40" s="42">
        <f t="shared" ref="F40:F71" si="3">SUMPRODUCT($D$5:$E$5,$D40:$E40)</f>
        <v>0.55693557999999999</v>
      </c>
      <c r="G40" s="42">
        <f>Controls!$B$14*F40</f>
        <v>0.55693557999999999</v>
      </c>
    </row>
    <row r="41" spans="1:7" x14ac:dyDescent="0.3">
      <c r="A41" s="2" t="str">
        <f>'Selected forecast drivers'!A40</f>
        <v>SWB24</v>
      </c>
      <c r="B41" s="2" t="str">
        <f>'Selected forecast drivers'!B40</f>
        <v>SWB</v>
      </c>
      <c r="C41" s="2">
        <f>'Selected forecast drivers'!D40</f>
        <v>2024</v>
      </c>
      <c r="D41" s="41">
        <f>Coeffs!$C$13+(Coeffs!$C$12*'Selected forecast drivers'!H40)+(Coeffs!$C$11*'Selected forecast drivers'!G40)</f>
        <v>0.44814299999999996</v>
      </c>
      <c r="E41" s="41">
        <f>Coeffs!$D$13+(Coeffs!$D$12*'Selected forecast drivers'!H40)+(Coeffs!$D$11*'Selected forecast drivers'!G40)</f>
        <v>0.66235615999999997</v>
      </c>
      <c r="F41" s="42">
        <f t="shared" si="3"/>
        <v>0.55524957999999991</v>
      </c>
      <c r="G41" s="42">
        <f>Controls!$B$14*F41</f>
        <v>0.55524957999999991</v>
      </c>
    </row>
    <row r="42" spans="1:7" x14ac:dyDescent="0.3">
      <c r="A42" s="2" t="str">
        <f>'Selected forecast drivers'!A41</f>
        <v>SWB25</v>
      </c>
      <c r="B42" s="2" t="str">
        <f>'Selected forecast drivers'!B41</f>
        <v>SWB</v>
      </c>
      <c r="C42" s="2">
        <f>'Selected forecast drivers'!D41</f>
        <v>2025</v>
      </c>
      <c r="D42" s="41">
        <f>Coeffs!$C$13+(Coeffs!$C$12*'Selected forecast drivers'!H41)+(Coeffs!$C$11*'Selected forecast drivers'!G41)</f>
        <v>0.44670299999999996</v>
      </c>
      <c r="E42" s="41">
        <f>Coeffs!$D$13+(Coeffs!$D$12*'Selected forecast drivers'!H41)+(Coeffs!$D$11*'Selected forecast drivers'!G41)</f>
        <v>0.66042416000000004</v>
      </c>
      <c r="F42" s="42">
        <f t="shared" si="3"/>
        <v>0.55356358000000006</v>
      </c>
      <c r="G42" s="42">
        <f>Controls!$B$14*F42</f>
        <v>0.55356358000000006</v>
      </c>
    </row>
    <row r="43" spans="1:7" x14ac:dyDescent="0.3">
      <c r="A43" s="2" t="str">
        <f>'Selected forecast drivers'!A42</f>
        <v>TMS21</v>
      </c>
      <c r="B43" s="2" t="str">
        <f>'Selected forecast drivers'!B42</f>
        <v>TMS</v>
      </c>
      <c r="C43" s="2">
        <f>'Selected forecast drivers'!D42</f>
        <v>2021</v>
      </c>
      <c r="D43" s="41">
        <f>Coeffs!$C$13+(Coeffs!$C$12*'Selected forecast drivers'!H42)+(Coeffs!$C$11*'Selected forecast drivers'!G42)</f>
        <v>6.5614603000000002</v>
      </c>
      <c r="E43" s="41">
        <f>Coeffs!$D$13+(Coeffs!$D$12*'Selected forecast drivers'!H42)+(Coeffs!$D$11*'Selected forecast drivers'!G42)</f>
        <v>8.7678889600000005</v>
      </c>
      <c r="F43" s="42">
        <f t="shared" si="3"/>
        <v>7.6646746300000004</v>
      </c>
      <c r="G43" s="42">
        <f>Controls!$B$14*F43</f>
        <v>7.6646746300000004</v>
      </c>
    </row>
    <row r="44" spans="1:7" x14ac:dyDescent="0.3">
      <c r="A44" s="2" t="str">
        <f>'Selected forecast drivers'!A43</f>
        <v>TMS22</v>
      </c>
      <c r="B44" s="2" t="str">
        <f>'Selected forecast drivers'!B43</f>
        <v>TMS</v>
      </c>
      <c r="C44" s="2">
        <f>'Selected forecast drivers'!D43</f>
        <v>2022</v>
      </c>
      <c r="D44" s="41">
        <f>Coeffs!$C$13+(Coeffs!$C$12*'Selected forecast drivers'!H43)+(Coeffs!$C$11*'Selected forecast drivers'!G43)</f>
        <v>6.5071554999999996</v>
      </c>
      <c r="E44" s="41">
        <f>Coeffs!$D$13+(Coeffs!$D$12*'Selected forecast drivers'!H43)+(Coeffs!$D$11*'Selected forecast drivers'!G43)</f>
        <v>8.6950300200000008</v>
      </c>
      <c r="F44" s="42">
        <f t="shared" si="3"/>
        <v>7.6010927600000002</v>
      </c>
      <c r="G44" s="42">
        <f>Controls!$B$14*F44</f>
        <v>7.6010927600000002</v>
      </c>
    </row>
    <row r="45" spans="1:7" x14ac:dyDescent="0.3">
      <c r="A45" s="2" t="str">
        <f>'Selected forecast drivers'!A44</f>
        <v>TMS23</v>
      </c>
      <c r="B45" s="2" t="str">
        <f>'Selected forecast drivers'!B44</f>
        <v>TMS</v>
      </c>
      <c r="C45" s="2">
        <f>'Selected forecast drivers'!D44</f>
        <v>2023</v>
      </c>
      <c r="D45" s="41">
        <f>Coeffs!$C$13+(Coeffs!$C$12*'Selected forecast drivers'!H44)+(Coeffs!$C$11*'Selected forecast drivers'!G44)</f>
        <v>6.4526346999999999</v>
      </c>
      <c r="E45" s="41">
        <f>Coeffs!$D$13+(Coeffs!$D$12*'Selected forecast drivers'!H44)+(Coeffs!$D$11*'Selected forecast drivers'!G44)</f>
        <v>8.6218812800000002</v>
      </c>
      <c r="F45" s="42">
        <f t="shared" si="3"/>
        <v>7.5372579900000005</v>
      </c>
      <c r="G45" s="42">
        <f>Controls!$B$14*F45</f>
        <v>7.5372579900000005</v>
      </c>
    </row>
    <row r="46" spans="1:7" x14ac:dyDescent="0.3">
      <c r="A46" s="2" t="str">
        <f>'Selected forecast drivers'!A45</f>
        <v>TMS24</v>
      </c>
      <c r="B46" s="2" t="str">
        <f>'Selected forecast drivers'!B45</f>
        <v>TMS</v>
      </c>
      <c r="C46" s="2">
        <f>'Selected forecast drivers'!D45</f>
        <v>2024</v>
      </c>
      <c r="D46" s="41">
        <f>Coeffs!$C$13+(Coeffs!$C$12*'Selected forecast drivers'!H45)+(Coeffs!$C$11*'Selected forecast drivers'!G45)</f>
        <v>6.3982561999999996</v>
      </c>
      <c r="E46" s="41">
        <f>Coeffs!$D$13+(Coeffs!$D$12*'Selected forecast drivers'!H45)+(Coeffs!$D$11*'Selected forecast drivers'!G45)</f>
        <v>8.5489140599999995</v>
      </c>
      <c r="F46" s="42">
        <f t="shared" si="3"/>
        <v>7.47358513</v>
      </c>
      <c r="G46" s="42">
        <f>Controls!$B$14*F46</f>
        <v>7.47358513</v>
      </c>
    </row>
    <row r="47" spans="1:7" x14ac:dyDescent="0.3">
      <c r="A47" s="2" t="str">
        <f>'Selected forecast drivers'!A46</f>
        <v>TMS25</v>
      </c>
      <c r="B47" s="2" t="str">
        <f>'Selected forecast drivers'!B46</f>
        <v>TMS</v>
      </c>
      <c r="C47" s="2">
        <f>'Selected forecast drivers'!D46</f>
        <v>2025</v>
      </c>
      <c r="D47" s="41">
        <f>Coeffs!$C$13+(Coeffs!$C$12*'Selected forecast drivers'!H46)+(Coeffs!$C$11*'Selected forecast drivers'!G46)</f>
        <v>6.3433346000000004</v>
      </c>
      <c r="E47" s="41">
        <f>Coeffs!$D$13+(Coeffs!$D$12*'Selected forecast drivers'!H46)+(Coeffs!$D$11*'Selected forecast drivers'!G46)</f>
        <v>8.4752275800000003</v>
      </c>
      <c r="F47" s="42">
        <f t="shared" si="3"/>
        <v>7.4092810900000003</v>
      </c>
      <c r="G47" s="42">
        <f>Controls!$B$14*F47</f>
        <v>7.4092810900000003</v>
      </c>
    </row>
    <row r="48" spans="1:7" x14ac:dyDescent="0.3">
      <c r="A48" s="2" t="str">
        <f>'Selected forecast drivers'!A47</f>
        <v>WSH21</v>
      </c>
      <c r="B48" s="2" t="str">
        <f>'Selected forecast drivers'!B47</f>
        <v>WSH</v>
      </c>
      <c r="C48" s="2">
        <f>'Selected forecast drivers'!D47</f>
        <v>2021</v>
      </c>
      <c r="D48" s="41">
        <f>Coeffs!$C$13+(Coeffs!$C$12*'Selected forecast drivers'!H47)+(Coeffs!$C$11*'Selected forecast drivers'!G47)</f>
        <v>0.49450419999999995</v>
      </c>
      <c r="E48" s="41">
        <f>Coeffs!$D$13+(Coeffs!$D$12*'Selected forecast drivers'!H47)+(Coeffs!$D$11*'Selected forecast drivers'!G47)</f>
        <v>0.72925702000000003</v>
      </c>
      <c r="F48" s="42">
        <f t="shared" si="3"/>
        <v>0.61188061000000005</v>
      </c>
      <c r="G48" s="42">
        <f>Controls!$B$14*F48</f>
        <v>0.61188061000000005</v>
      </c>
    </row>
    <row r="49" spans="1:7" x14ac:dyDescent="0.3">
      <c r="A49" s="2" t="str">
        <f>'Selected forecast drivers'!A48</f>
        <v>WSH22</v>
      </c>
      <c r="B49" s="2" t="str">
        <f>'Selected forecast drivers'!B48</f>
        <v>WSH</v>
      </c>
      <c r="C49" s="2">
        <f>'Selected forecast drivers'!D48</f>
        <v>2022</v>
      </c>
      <c r="D49" s="41">
        <f>Coeffs!$C$13+(Coeffs!$C$12*'Selected forecast drivers'!H48)+(Coeffs!$C$11*'Selected forecast drivers'!G48)</f>
        <v>0.49107459999999997</v>
      </c>
      <c r="E49" s="41">
        <f>Coeffs!$D$13+(Coeffs!$D$12*'Selected forecast drivers'!H48)+(Coeffs!$D$11*'Selected forecast drivers'!G48)</f>
        <v>0.72465564000000005</v>
      </c>
      <c r="F49" s="42">
        <f t="shared" si="3"/>
        <v>0.60786512000000004</v>
      </c>
      <c r="G49" s="42">
        <f>Controls!$B$14*F49</f>
        <v>0.60786512000000004</v>
      </c>
    </row>
    <row r="50" spans="1:7" x14ac:dyDescent="0.3">
      <c r="A50" s="2" t="str">
        <f>'Selected forecast drivers'!A49</f>
        <v>WSH23</v>
      </c>
      <c r="B50" s="2" t="str">
        <f>'Selected forecast drivers'!B49</f>
        <v>WSH</v>
      </c>
      <c r="C50" s="2">
        <f>'Selected forecast drivers'!D49</f>
        <v>2023</v>
      </c>
      <c r="D50" s="41">
        <f>Coeffs!$C$13+(Coeffs!$C$12*'Selected forecast drivers'!H49)+(Coeffs!$C$11*'Selected forecast drivers'!G49)</f>
        <v>0.487645</v>
      </c>
      <c r="E50" s="41">
        <f>Coeffs!$D$13+(Coeffs!$D$12*'Selected forecast drivers'!H49)+(Coeffs!$D$11*'Selected forecast drivers'!G49)</f>
        <v>0.72005425999999995</v>
      </c>
      <c r="F50" s="42">
        <f t="shared" si="3"/>
        <v>0.60384963000000003</v>
      </c>
      <c r="G50" s="42">
        <f>Controls!$B$14*F50</f>
        <v>0.60384963000000003</v>
      </c>
    </row>
    <row r="51" spans="1:7" x14ac:dyDescent="0.3">
      <c r="A51" s="2" t="str">
        <f>'Selected forecast drivers'!A50</f>
        <v>WSH24</v>
      </c>
      <c r="B51" s="2" t="str">
        <f>'Selected forecast drivers'!B50</f>
        <v>WSH</v>
      </c>
      <c r="C51" s="2">
        <f>'Selected forecast drivers'!D50</f>
        <v>2024</v>
      </c>
      <c r="D51" s="41">
        <f>Coeffs!$C$13+(Coeffs!$C$12*'Selected forecast drivers'!H50)+(Coeffs!$C$11*'Selected forecast drivers'!G50)</f>
        <v>0.48421539999999996</v>
      </c>
      <c r="E51" s="41">
        <f>Coeffs!$D$13+(Coeffs!$D$12*'Selected forecast drivers'!H50)+(Coeffs!$D$11*'Selected forecast drivers'!G50)</f>
        <v>0.71545287999999996</v>
      </c>
      <c r="F51" s="42">
        <f t="shared" si="3"/>
        <v>0.59983414000000002</v>
      </c>
      <c r="G51" s="42">
        <f>Controls!$B$14*F51</f>
        <v>0.59983414000000002</v>
      </c>
    </row>
    <row r="52" spans="1:7" x14ac:dyDescent="0.3">
      <c r="A52" s="2" t="str">
        <f>'Selected forecast drivers'!A51</f>
        <v>WSH25</v>
      </c>
      <c r="B52" s="2" t="str">
        <f>'Selected forecast drivers'!B51</f>
        <v>WSH</v>
      </c>
      <c r="C52" s="2">
        <f>'Selected forecast drivers'!D51</f>
        <v>2025</v>
      </c>
      <c r="D52" s="41">
        <f>Coeffs!$C$13+(Coeffs!$C$12*'Selected forecast drivers'!H51)+(Coeffs!$C$11*'Selected forecast drivers'!G51)</f>
        <v>0.48078579999999999</v>
      </c>
      <c r="E52" s="41">
        <f>Coeffs!$D$13+(Coeffs!$D$12*'Selected forecast drivers'!H51)+(Coeffs!$D$11*'Selected forecast drivers'!G51)</f>
        <v>0.71085149999999997</v>
      </c>
      <c r="F52" s="42">
        <f t="shared" si="3"/>
        <v>0.59581865000000001</v>
      </c>
      <c r="G52" s="42">
        <f>Controls!$B$14*F52</f>
        <v>0.59581865000000001</v>
      </c>
    </row>
    <row r="53" spans="1:7" x14ac:dyDescent="0.3">
      <c r="A53" s="2" t="str">
        <f>'Selected forecast drivers'!A52</f>
        <v>WSX21</v>
      </c>
      <c r="B53" s="2" t="str">
        <f>'Selected forecast drivers'!B52</f>
        <v>WSX</v>
      </c>
      <c r="C53" s="2">
        <f>'Selected forecast drivers'!D52</f>
        <v>2021</v>
      </c>
      <c r="D53" s="41">
        <f>Coeffs!$C$13+(Coeffs!$C$12*'Selected forecast drivers'!H52)+(Coeffs!$C$11*'Selected forecast drivers'!G52)</f>
        <v>0.5942442</v>
      </c>
      <c r="E53" s="41">
        <f>Coeffs!$D$13+(Coeffs!$D$12*'Selected forecast drivers'!H52)+(Coeffs!$D$11*'Selected forecast drivers'!G52)</f>
        <v>0.85217182000000002</v>
      </c>
      <c r="F53" s="42">
        <f t="shared" si="3"/>
        <v>0.72320801000000001</v>
      </c>
      <c r="G53" s="42">
        <f>Controls!$B$14*F53</f>
        <v>0.72320801000000001</v>
      </c>
    </row>
    <row r="54" spans="1:7" x14ac:dyDescent="0.3">
      <c r="A54" s="2" t="str">
        <f>'Selected forecast drivers'!A53</f>
        <v>WSX22</v>
      </c>
      <c r="B54" s="2" t="str">
        <f>'Selected forecast drivers'!B53</f>
        <v>WSX</v>
      </c>
      <c r="C54" s="2">
        <f>'Selected forecast drivers'!D53</f>
        <v>2022</v>
      </c>
      <c r="D54" s="41">
        <f>Coeffs!$C$13+(Coeffs!$C$12*'Selected forecast drivers'!H53)+(Coeffs!$C$11*'Selected forecast drivers'!G53)</f>
        <v>0.67683520000000008</v>
      </c>
      <c r="E54" s="41">
        <f>Coeffs!$D$13+(Coeffs!$D$12*'Selected forecast drivers'!H53)+(Coeffs!$D$11*'Selected forecast drivers'!G53)</f>
        <v>0.96063162000000002</v>
      </c>
      <c r="F54" s="42">
        <f t="shared" si="3"/>
        <v>0.81873341000000011</v>
      </c>
      <c r="G54" s="42">
        <f>Controls!$B$14*F54</f>
        <v>0.81873341000000011</v>
      </c>
    </row>
    <row r="55" spans="1:7" x14ac:dyDescent="0.3">
      <c r="A55" s="2" t="str">
        <f>'Selected forecast drivers'!A54</f>
        <v>WSX23</v>
      </c>
      <c r="B55" s="2" t="str">
        <f>'Selected forecast drivers'!B54</f>
        <v>WSX</v>
      </c>
      <c r="C55" s="2">
        <f>'Selected forecast drivers'!D54</f>
        <v>2023</v>
      </c>
      <c r="D55" s="41">
        <f>Coeffs!$C$13+(Coeffs!$C$12*'Selected forecast drivers'!H54)+(Coeffs!$C$11*'Selected forecast drivers'!G54)</f>
        <v>0.8783512</v>
      </c>
      <c r="E55" s="41">
        <f>Coeffs!$D$13+(Coeffs!$D$12*'Selected forecast drivers'!H54)+(Coeffs!$D$11*'Selected forecast drivers'!G54)</f>
        <v>1.22535942</v>
      </c>
      <c r="F55" s="42">
        <f t="shared" si="3"/>
        <v>1.0518553100000001</v>
      </c>
      <c r="G55" s="42">
        <f>Controls!$B$14*F55</f>
        <v>1.0518553100000001</v>
      </c>
    </row>
    <row r="56" spans="1:7" x14ac:dyDescent="0.3">
      <c r="A56" s="2" t="str">
        <f>'Selected forecast drivers'!A55</f>
        <v>WSX24</v>
      </c>
      <c r="B56" s="2" t="str">
        <f>'Selected forecast drivers'!B55</f>
        <v>WSX</v>
      </c>
      <c r="C56" s="2">
        <f>'Selected forecast drivers'!D55</f>
        <v>2024</v>
      </c>
      <c r="D56" s="41">
        <f>Coeffs!$C$13+(Coeffs!$C$12*'Selected forecast drivers'!H55)+(Coeffs!$C$11*'Selected forecast drivers'!G55)</f>
        <v>0.94182719999999998</v>
      </c>
      <c r="E56" s="41">
        <f>Coeffs!$D$13+(Coeffs!$D$12*'Selected forecast drivers'!H55)+(Coeffs!$D$11*'Selected forecast drivers'!G55)</f>
        <v>1.30864322</v>
      </c>
      <c r="F56" s="42">
        <f t="shared" si="3"/>
        <v>1.12523521</v>
      </c>
      <c r="G56" s="42">
        <f>Controls!$B$14*F56</f>
        <v>1.12523521</v>
      </c>
    </row>
    <row r="57" spans="1:7" x14ac:dyDescent="0.3">
      <c r="A57" s="2" t="str">
        <f>'Selected forecast drivers'!A56</f>
        <v>WSX25</v>
      </c>
      <c r="B57" s="2" t="str">
        <f>'Selected forecast drivers'!B56</f>
        <v>WSX</v>
      </c>
      <c r="C57" s="2">
        <f>'Selected forecast drivers'!D56</f>
        <v>2025</v>
      </c>
      <c r="D57" s="41">
        <f>Coeffs!$C$13+(Coeffs!$C$12*'Selected forecast drivers'!H56)+(Coeffs!$C$11*'Selected forecast drivers'!G56)</f>
        <v>0.9365232</v>
      </c>
      <c r="E57" s="41">
        <f>Coeffs!$D$13+(Coeffs!$D$12*'Selected forecast drivers'!H56)+(Coeffs!$D$11*'Selected forecast drivers'!G56)</f>
        <v>1.30152702</v>
      </c>
      <c r="F57" s="42">
        <f t="shared" si="3"/>
        <v>1.1190251099999999</v>
      </c>
      <c r="G57" s="42">
        <f>Controls!$B$14*F57</f>
        <v>1.1190251099999999</v>
      </c>
    </row>
    <row r="58" spans="1:7" x14ac:dyDescent="0.3">
      <c r="A58" s="2" t="str">
        <f>'Selected forecast drivers'!A57</f>
        <v>YKY21</v>
      </c>
      <c r="B58" s="2" t="str">
        <f>'Selected forecast drivers'!B57</f>
        <v>YKY</v>
      </c>
      <c r="C58" s="2">
        <f>'Selected forecast drivers'!D57</f>
        <v>2021</v>
      </c>
      <c r="D58" s="41">
        <f>Coeffs!$C$13+(Coeffs!$C$12*'Selected forecast drivers'!H57)+(Coeffs!$C$11*'Selected forecast drivers'!G57)</f>
        <v>3.6547720799999999</v>
      </c>
      <c r="E58" s="41">
        <f>Coeffs!$D$13+(Coeffs!$D$12*'Selected forecast drivers'!H57)+(Coeffs!$D$11*'Selected forecast drivers'!G57)</f>
        <v>4.9549850800000002</v>
      </c>
      <c r="F58" s="42">
        <f t="shared" si="3"/>
        <v>4.3048785800000005</v>
      </c>
      <c r="G58" s="42">
        <f>Controls!$B$14*F58</f>
        <v>4.3048785800000005</v>
      </c>
    </row>
    <row r="59" spans="1:7" x14ac:dyDescent="0.3">
      <c r="A59" s="2" t="str">
        <f>'Selected forecast drivers'!A58</f>
        <v>YKY22</v>
      </c>
      <c r="B59" s="2" t="str">
        <f>'Selected forecast drivers'!B58</f>
        <v>YKY</v>
      </c>
      <c r="C59" s="2">
        <f>'Selected forecast drivers'!D58</f>
        <v>2022</v>
      </c>
      <c r="D59" s="41">
        <f>Coeffs!$C$13+(Coeffs!$C$12*'Selected forecast drivers'!H58)+(Coeffs!$C$11*'Selected forecast drivers'!G58)</f>
        <v>3.6511216799999997</v>
      </c>
      <c r="E59" s="41">
        <f>Coeffs!$D$13+(Coeffs!$D$12*'Selected forecast drivers'!H58)+(Coeffs!$D$11*'Selected forecast drivers'!G58)</f>
        <v>4.9500874600000007</v>
      </c>
      <c r="F59" s="42">
        <f t="shared" si="3"/>
        <v>4.30060457</v>
      </c>
      <c r="G59" s="42">
        <f>Controls!$B$14*F59</f>
        <v>4.30060457</v>
      </c>
    </row>
    <row r="60" spans="1:7" x14ac:dyDescent="0.3">
      <c r="A60" s="2" t="str">
        <f>'Selected forecast drivers'!A59</f>
        <v>YKY23</v>
      </c>
      <c r="B60" s="2" t="str">
        <f>'Selected forecast drivers'!B59</f>
        <v>YKY</v>
      </c>
      <c r="C60" s="2">
        <f>'Selected forecast drivers'!D59</f>
        <v>2023</v>
      </c>
      <c r="D60" s="41">
        <f>Coeffs!$C$13+(Coeffs!$C$12*'Selected forecast drivers'!H59)+(Coeffs!$C$11*'Selected forecast drivers'!G59)</f>
        <v>3.6474688799999999</v>
      </c>
      <c r="E60" s="41">
        <f>Coeffs!$D$13+(Coeffs!$D$12*'Selected forecast drivers'!H59)+(Coeffs!$D$11*'Selected forecast drivers'!G59)</f>
        <v>4.9451866200000003</v>
      </c>
      <c r="F60" s="42">
        <f t="shared" si="3"/>
        <v>4.2963277499999997</v>
      </c>
      <c r="G60" s="42">
        <f>Controls!$B$14*F60</f>
        <v>4.2963277499999997</v>
      </c>
    </row>
    <row r="61" spans="1:7" x14ac:dyDescent="0.3">
      <c r="A61" s="2" t="str">
        <f>'Selected forecast drivers'!A60</f>
        <v>YKY24</v>
      </c>
      <c r="B61" s="2" t="str">
        <f>'Selected forecast drivers'!B60</f>
        <v>YKY</v>
      </c>
      <c r="C61" s="2">
        <f>'Selected forecast drivers'!D60</f>
        <v>2024</v>
      </c>
      <c r="D61" s="41">
        <f>Coeffs!$C$13+(Coeffs!$C$12*'Selected forecast drivers'!H60)+(Coeffs!$C$11*'Selected forecast drivers'!G60)</f>
        <v>3.6438184799999997</v>
      </c>
      <c r="E61" s="41">
        <f>Coeffs!$D$13+(Coeffs!$D$12*'Selected forecast drivers'!H60)+(Coeffs!$D$11*'Selected forecast drivers'!G60)</f>
        <v>4.9402890000000008</v>
      </c>
      <c r="F61" s="42">
        <f t="shared" si="3"/>
        <v>4.2920537400000001</v>
      </c>
      <c r="G61" s="42">
        <f>Controls!$B$14*F61</f>
        <v>4.2920537400000001</v>
      </c>
    </row>
    <row r="62" spans="1:7" x14ac:dyDescent="0.3">
      <c r="A62" s="2" t="str">
        <f>'Selected forecast drivers'!A61</f>
        <v>YKY25</v>
      </c>
      <c r="B62" s="2" t="str">
        <f>'Selected forecast drivers'!B61</f>
        <v>YKY</v>
      </c>
      <c r="C62" s="2">
        <f>'Selected forecast drivers'!D61</f>
        <v>2025</v>
      </c>
      <c r="D62" s="41">
        <f>Coeffs!$C$13+(Coeffs!$C$12*'Selected forecast drivers'!H61)+(Coeffs!$C$11*'Selected forecast drivers'!G61)</f>
        <v>3.6401680799999996</v>
      </c>
      <c r="E62" s="41">
        <f>Coeffs!$D$13+(Coeffs!$D$12*'Selected forecast drivers'!H61)+(Coeffs!$D$11*'Selected forecast drivers'!G61)</f>
        <v>4.9353913800000004</v>
      </c>
      <c r="F62" s="42">
        <f t="shared" si="3"/>
        <v>4.2877797300000005</v>
      </c>
      <c r="G62" s="42">
        <f>Controls!$B$14*F62</f>
        <v>4.2877797300000005</v>
      </c>
    </row>
    <row r="63" spans="1:7" x14ac:dyDescent="0.3">
      <c r="A63" s="2" t="str">
        <f>'Selected forecast drivers'!A62</f>
        <v>AFW21</v>
      </c>
      <c r="B63" s="2" t="str">
        <f>'Selected forecast drivers'!B62</f>
        <v>AFW</v>
      </c>
      <c r="C63" s="2">
        <f>'Selected forecast drivers'!D62</f>
        <v>2021</v>
      </c>
      <c r="D63" s="41">
        <f>Coeffs!$C$13+(Coeffs!$C$12*'Selected forecast drivers'!H62)+(Coeffs!$C$11*'Selected forecast drivers'!G62)</f>
        <v>1.4320710000000001</v>
      </c>
      <c r="E63" s="41">
        <f>Coeffs!$D$13+(Coeffs!$D$12*'Selected forecast drivers'!H62)+(Coeffs!$D$11*'Selected forecast drivers'!G62)</f>
        <v>1.97050382</v>
      </c>
      <c r="F63" s="42">
        <f t="shared" si="3"/>
        <v>1.7012874099999999</v>
      </c>
      <c r="G63" s="42">
        <f>Controls!$B$14*F63</f>
        <v>1.7012874099999999</v>
      </c>
    </row>
    <row r="64" spans="1:7" x14ac:dyDescent="0.3">
      <c r="A64" s="2" t="str">
        <f>'Selected forecast drivers'!A63</f>
        <v>AFW22</v>
      </c>
      <c r="B64" s="2" t="str">
        <f>'Selected forecast drivers'!B63</f>
        <v>AFW</v>
      </c>
      <c r="C64" s="2">
        <f>'Selected forecast drivers'!D63</f>
        <v>2022</v>
      </c>
      <c r="D64" s="41">
        <f>Coeffs!$C$13+(Coeffs!$C$12*'Selected forecast drivers'!H63)+(Coeffs!$C$11*'Selected forecast drivers'!G63)</f>
        <v>1.4243861999999998</v>
      </c>
      <c r="E64" s="41">
        <f>Coeffs!$D$13+(Coeffs!$D$12*'Selected forecast drivers'!H63)+(Coeffs!$D$11*'Selected forecast drivers'!G63)</f>
        <v>1.96019338</v>
      </c>
      <c r="F64" s="42">
        <f t="shared" si="3"/>
        <v>1.6922897899999998</v>
      </c>
      <c r="G64" s="42">
        <f>Controls!$B$14*F64</f>
        <v>1.6922897899999998</v>
      </c>
    </row>
    <row r="65" spans="1:7" x14ac:dyDescent="0.3">
      <c r="A65" s="2" t="str">
        <f>'Selected forecast drivers'!A64</f>
        <v>AFW23</v>
      </c>
      <c r="B65" s="2" t="str">
        <f>'Selected forecast drivers'!B64</f>
        <v>AFW</v>
      </c>
      <c r="C65" s="2">
        <f>'Selected forecast drivers'!D64</f>
        <v>2023</v>
      </c>
      <c r="D65" s="41">
        <f>Coeffs!$C$13+(Coeffs!$C$12*'Selected forecast drivers'!H64)+(Coeffs!$C$11*'Selected forecast drivers'!G64)</f>
        <v>1.4165885999999999</v>
      </c>
      <c r="E65" s="41">
        <f>Coeffs!$D$13+(Coeffs!$D$12*'Selected forecast drivers'!H64)+(Coeffs!$D$11*'Selected forecast drivers'!G64)</f>
        <v>1.9497316</v>
      </c>
      <c r="F65" s="42">
        <f t="shared" si="3"/>
        <v>1.6831600999999998</v>
      </c>
      <c r="G65" s="42">
        <f>Controls!$B$14*F65</f>
        <v>1.6831600999999998</v>
      </c>
    </row>
    <row r="66" spans="1:7" x14ac:dyDescent="0.3">
      <c r="A66" s="2" t="str">
        <f>'Selected forecast drivers'!A65</f>
        <v>AFW24</v>
      </c>
      <c r="B66" s="2" t="str">
        <f>'Selected forecast drivers'!B65</f>
        <v>AFW</v>
      </c>
      <c r="C66" s="2">
        <f>'Selected forecast drivers'!D65</f>
        <v>2024</v>
      </c>
      <c r="D66" s="41">
        <f>Coeffs!$C$13+(Coeffs!$C$12*'Selected forecast drivers'!H65)+(Coeffs!$C$11*'Selected forecast drivers'!G65)</f>
        <v>1.4086734000000001</v>
      </c>
      <c r="E66" s="41">
        <f>Coeffs!$D$13+(Coeffs!$D$12*'Selected forecast drivers'!H65)+(Coeffs!$D$11*'Selected forecast drivers'!G65)</f>
        <v>1.9391120399999999</v>
      </c>
      <c r="F66" s="42">
        <f t="shared" si="3"/>
        <v>1.67389272</v>
      </c>
      <c r="G66" s="42">
        <f>Controls!$B$14*F66</f>
        <v>1.67389272</v>
      </c>
    </row>
    <row r="67" spans="1:7" x14ac:dyDescent="0.3">
      <c r="A67" s="2" t="str">
        <f>'Selected forecast drivers'!A66</f>
        <v>AFW25</v>
      </c>
      <c r="B67" s="2" t="str">
        <f>'Selected forecast drivers'!B66</f>
        <v>AFW</v>
      </c>
      <c r="C67" s="2">
        <f>'Selected forecast drivers'!D66</f>
        <v>2025</v>
      </c>
      <c r="D67" s="41">
        <f>Coeffs!$C$13+(Coeffs!$C$12*'Selected forecast drivers'!H66)+(Coeffs!$C$11*'Selected forecast drivers'!G66)</f>
        <v>1.4006381999999999</v>
      </c>
      <c r="E67" s="41">
        <f>Coeffs!$D$13+(Coeffs!$D$12*'Selected forecast drivers'!H66)+(Coeffs!$D$11*'Selected forecast drivers'!G66)</f>
        <v>1.92833148</v>
      </c>
      <c r="F67" s="42">
        <f t="shared" si="3"/>
        <v>1.6644848400000001</v>
      </c>
      <c r="G67" s="42">
        <f>Controls!$B$14*F67</f>
        <v>1.6644848400000001</v>
      </c>
    </row>
    <row r="68" spans="1:7" x14ac:dyDescent="0.3">
      <c r="A68" s="2" t="str">
        <f>'Selected forecast drivers'!A67</f>
        <v>BRL21</v>
      </c>
      <c r="B68" s="2" t="str">
        <f>'Selected forecast drivers'!B67</f>
        <v>BRL</v>
      </c>
      <c r="C68" s="2">
        <f>'Selected forecast drivers'!D67</f>
        <v>2021</v>
      </c>
      <c r="D68" s="41">
        <f>Coeffs!$C$13+(Coeffs!$C$12*'Selected forecast drivers'!H67)+(Coeffs!$C$11*'Selected forecast drivers'!G67)</f>
        <v>0.4795218</v>
      </c>
      <c r="E68" s="41">
        <f>Coeffs!$D$13+(Coeffs!$D$12*'Selected forecast drivers'!H67)+(Coeffs!$D$11*'Selected forecast drivers'!G67)</f>
        <v>0.70795253999999996</v>
      </c>
      <c r="F68" s="42">
        <f t="shared" si="3"/>
        <v>0.59373717000000004</v>
      </c>
      <c r="G68" s="42">
        <f>Controls!$B$14*F68</f>
        <v>0.59373717000000004</v>
      </c>
    </row>
    <row r="69" spans="1:7" x14ac:dyDescent="0.3">
      <c r="A69" s="2" t="str">
        <f>'Selected forecast drivers'!A68</f>
        <v>BRL22</v>
      </c>
      <c r="B69" s="2" t="str">
        <f>'Selected forecast drivers'!B68</f>
        <v>BRL</v>
      </c>
      <c r="C69" s="2">
        <f>'Selected forecast drivers'!D68</f>
        <v>2022</v>
      </c>
      <c r="D69" s="41">
        <f>Coeffs!$C$13+(Coeffs!$C$12*'Selected forecast drivers'!H68)+(Coeffs!$C$11*'Selected forecast drivers'!G68)</f>
        <v>0.47624409999999995</v>
      </c>
      <c r="E69" s="41">
        <f>Coeffs!$D$13+(Coeffs!$D$12*'Selected forecast drivers'!H68)+(Coeffs!$D$11*'Selected forecast drivers'!G68)</f>
        <v>0.70354556000000001</v>
      </c>
      <c r="F69" s="42">
        <f t="shared" si="3"/>
        <v>0.58989482999999998</v>
      </c>
      <c r="G69" s="42">
        <f>Controls!$B$14*F69</f>
        <v>0.58989482999999998</v>
      </c>
    </row>
    <row r="70" spans="1:7" x14ac:dyDescent="0.3">
      <c r="A70" s="2" t="str">
        <f>'Selected forecast drivers'!A69</f>
        <v>BRL23</v>
      </c>
      <c r="B70" s="2" t="str">
        <f>'Selected forecast drivers'!B69</f>
        <v>BRL</v>
      </c>
      <c r="C70" s="2">
        <f>'Selected forecast drivers'!D69</f>
        <v>2023</v>
      </c>
      <c r="D70" s="41">
        <f>Coeffs!$C$13+(Coeffs!$C$12*'Selected forecast drivers'!H69)+(Coeffs!$C$11*'Selected forecast drivers'!G69)</f>
        <v>0.47262009999999999</v>
      </c>
      <c r="E70" s="41">
        <f>Coeffs!$D$13+(Coeffs!$D$12*'Selected forecast drivers'!H69)+(Coeffs!$D$11*'Selected forecast drivers'!G69)</f>
        <v>0.69868335999999998</v>
      </c>
      <c r="F70" s="42">
        <f t="shared" si="3"/>
        <v>0.58565172999999993</v>
      </c>
      <c r="G70" s="42">
        <f>Controls!$B$14*F70</f>
        <v>0.58565172999999993</v>
      </c>
    </row>
    <row r="71" spans="1:7" x14ac:dyDescent="0.3">
      <c r="A71" s="2" t="str">
        <f>'Selected forecast drivers'!A70</f>
        <v>BRL24</v>
      </c>
      <c r="B71" s="2" t="str">
        <f>'Selected forecast drivers'!B70</f>
        <v>BRL</v>
      </c>
      <c r="C71" s="2">
        <f>'Selected forecast drivers'!D70</f>
        <v>2024</v>
      </c>
      <c r="D71" s="41">
        <f>Coeffs!$C$13+(Coeffs!$C$12*'Selected forecast drivers'!H70)+(Coeffs!$C$11*'Selected forecast drivers'!G70)</f>
        <v>0.46899849999999998</v>
      </c>
      <c r="E71" s="41">
        <f>Coeffs!$D$13+(Coeffs!$D$12*'Selected forecast drivers'!H70)+(Coeffs!$D$11*'Selected forecast drivers'!G70)</f>
        <v>0.69382438000000002</v>
      </c>
      <c r="F71" s="42">
        <f t="shared" si="3"/>
        <v>0.58141144</v>
      </c>
      <c r="G71" s="42">
        <f>Controls!$B$14*F71</f>
        <v>0.58141144</v>
      </c>
    </row>
    <row r="72" spans="1:7" x14ac:dyDescent="0.3">
      <c r="A72" s="2" t="str">
        <f>'Selected forecast drivers'!A71</f>
        <v>BRL25</v>
      </c>
      <c r="B72" s="2" t="str">
        <f>'Selected forecast drivers'!B71</f>
        <v>BRL</v>
      </c>
      <c r="C72" s="2">
        <f>'Selected forecast drivers'!D71</f>
        <v>2025</v>
      </c>
      <c r="D72" s="41">
        <f>Coeffs!$C$13+(Coeffs!$C$12*'Selected forecast drivers'!H71)+(Coeffs!$C$11*'Selected forecast drivers'!G71)</f>
        <v>0.46537689999999998</v>
      </c>
      <c r="E72" s="41">
        <f>Coeffs!$D$13+(Coeffs!$D$12*'Selected forecast drivers'!H71)+(Coeffs!$D$11*'Selected forecast drivers'!G71)</f>
        <v>0.68896540000000006</v>
      </c>
      <c r="F72" s="42">
        <f t="shared" ref="F72:F92" si="4">SUMPRODUCT($D$5:$E$5,$D72:$E72)</f>
        <v>0.57717115000000008</v>
      </c>
      <c r="G72" s="42">
        <f>Controls!$B$14*F72</f>
        <v>0.57717115000000008</v>
      </c>
    </row>
    <row r="73" spans="1:7" x14ac:dyDescent="0.3">
      <c r="A73" s="2" t="str">
        <f>'Selected forecast drivers'!A72</f>
        <v>PRT21</v>
      </c>
      <c r="B73" s="2" t="str">
        <f>'Selected forecast drivers'!B72</f>
        <v>PRT</v>
      </c>
      <c r="C73" s="2">
        <f>'Selected forecast drivers'!D72</f>
        <v>2021</v>
      </c>
      <c r="D73" s="41">
        <f>Coeffs!$C$13+(Coeffs!$C$12*'Selected forecast drivers'!H72)+(Coeffs!$C$11*'Selected forecast drivers'!G72)</f>
        <v>0.27954079999999998</v>
      </c>
      <c r="E73" s="41">
        <f>Coeffs!$D$13+(Coeffs!$D$12*'Selected forecast drivers'!H72)+(Coeffs!$D$11*'Selected forecast drivers'!G72)</f>
        <v>0.44075380000000003</v>
      </c>
      <c r="F73" s="42">
        <f t="shared" si="4"/>
        <v>0.3601473</v>
      </c>
      <c r="G73" s="42">
        <f>Controls!$B$14*F73</f>
        <v>0.3601473</v>
      </c>
    </row>
    <row r="74" spans="1:7" x14ac:dyDescent="0.3">
      <c r="A74" s="2" t="str">
        <f>'Selected forecast drivers'!A73</f>
        <v>PRT22</v>
      </c>
      <c r="B74" s="2" t="str">
        <f>'Selected forecast drivers'!B73</f>
        <v>PRT</v>
      </c>
      <c r="C74" s="2">
        <f>'Selected forecast drivers'!D73</f>
        <v>2022</v>
      </c>
      <c r="D74" s="41">
        <f>Coeffs!$C$13+(Coeffs!$C$12*'Selected forecast drivers'!H73)+(Coeffs!$C$11*'Selected forecast drivers'!G73)</f>
        <v>0.27763519999999997</v>
      </c>
      <c r="E74" s="41">
        <f>Coeffs!$D$13+(Coeffs!$D$12*'Selected forecast drivers'!H73)+(Coeffs!$D$11*'Selected forecast drivers'!G73)</f>
        <v>0.43819712</v>
      </c>
      <c r="F74" s="42">
        <f t="shared" si="4"/>
        <v>0.35791615999999998</v>
      </c>
      <c r="G74" s="42">
        <f>Controls!$B$14*F74</f>
        <v>0.35791615999999998</v>
      </c>
    </row>
    <row r="75" spans="1:7" x14ac:dyDescent="0.3">
      <c r="A75" s="2" t="str">
        <f>'Selected forecast drivers'!A74</f>
        <v>PRT23</v>
      </c>
      <c r="B75" s="2" t="str">
        <f>'Selected forecast drivers'!B74</f>
        <v>PRT</v>
      </c>
      <c r="C75" s="2">
        <f>'Selected forecast drivers'!D74</f>
        <v>2023</v>
      </c>
      <c r="D75" s="41">
        <f>Coeffs!$C$13+(Coeffs!$C$12*'Selected forecast drivers'!H74)+(Coeffs!$C$11*'Selected forecast drivers'!G74)</f>
        <v>0.27572960000000002</v>
      </c>
      <c r="E75" s="41">
        <f>Coeffs!$D$13+(Coeffs!$D$12*'Selected forecast drivers'!H74)+(Coeffs!$D$11*'Selected forecast drivers'!G74)</f>
        <v>0.43564044000000002</v>
      </c>
      <c r="F75" s="42">
        <f t="shared" si="4"/>
        <v>0.35568502000000002</v>
      </c>
      <c r="G75" s="42">
        <f>Controls!$B$14*F75</f>
        <v>0.35568502000000002</v>
      </c>
    </row>
    <row r="76" spans="1:7" x14ac:dyDescent="0.3">
      <c r="A76" s="2" t="str">
        <f>'Selected forecast drivers'!A75</f>
        <v>PRT24</v>
      </c>
      <c r="B76" s="2" t="str">
        <f>'Selected forecast drivers'!B75</f>
        <v>PRT</v>
      </c>
      <c r="C76" s="2">
        <f>'Selected forecast drivers'!D75</f>
        <v>2024</v>
      </c>
      <c r="D76" s="41">
        <f>Coeffs!$C$13+(Coeffs!$C$12*'Selected forecast drivers'!H75)+(Coeffs!$C$11*'Selected forecast drivers'!G75)</f>
        <v>0.27382400000000001</v>
      </c>
      <c r="E76" s="41">
        <f>Coeffs!$D$13+(Coeffs!$D$12*'Selected forecast drivers'!H75)+(Coeffs!$D$11*'Selected forecast drivers'!G75)</f>
        <v>0.43308376000000004</v>
      </c>
      <c r="F76" s="42">
        <f t="shared" si="4"/>
        <v>0.35345388</v>
      </c>
      <c r="G76" s="42">
        <f>Controls!$B$14*F76</f>
        <v>0.35345388</v>
      </c>
    </row>
    <row r="77" spans="1:7" x14ac:dyDescent="0.3">
      <c r="A77" s="2" t="str">
        <f>'Selected forecast drivers'!A76</f>
        <v>PRT25</v>
      </c>
      <c r="B77" s="2" t="str">
        <f>'Selected forecast drivers'!B76</f>
        <v>PRT</v>
      </c>
      <c r="C77" s="2">
        <f>'Selected forecast drivers'!D76</f>
        <v>2025</v>
      </c>
      <c r="D77" s="41">
        <f>Coeffs!$C$13+(Coeffs!$C$12*'Selected forecast drivers'!H76)+(Coeffs!$C$11*'Selected forecast drivers'!G76)</f>
        <v>0.2719184</v>
      </c>
      <c r="E77" s="41">
        <f>Coeffs!$D$13+(Coeffs!$D$12*'Selected forecast drivers'!H76)+(Coeffs!$D$11*'Selected forecast drivers'!G76)</f>
        <v>0.43052708000000001</v>
      </c>
      <c r="F77" s="42">
        <f t="shared" si="4"/>
        <v>0.35122273999999998</v>
      </c>
      <c r="G77" s="42">
        <f>Controls!$B$14*F77</f>
        <v>0.35122273999999998</v>
      </c>
    </row>
    <row r="78" spans="1:7" x14ac:dyDescent="0.3">
      <c r="A78" s="2" t="str">
        <f>'Selected forecast drivers'!A77</f>
        <v>SES21</v>
      </c>
      <c r="B78" s="2" t="str">
        <f>'Selected forecast drivers'!B77</f>
        <v>SES</v>
      </c>
      <c r="C78" s="2">
        <f>'Selected forecast drivers'!D77</f>
        <v>2021</v>
      </c>
      <c r="D78" s="41">
        <f>Coeffs!$C$13+(Coeffs!$C$12*'Selected forecast drivers'!H77)+(Coeffs!$C$11*'Selected forecast drivers'!G77)</f>
        <v>0.4266219</v>
      </c>
      <c r="E78" s="41">
        <f>Coeffs!$D$13+(Coeffs!$D$12*'Selected forecast drivers'!H77)+(Coeffs!$D$11*'Selected forecast drivers'!G77)</f>
        <v>0.63548404000000003</v>
      </c>
      <c r="F78" s="42">
        <f t="shared" si="4"/>
        <v>0.53105296999999996</v>
      </c>
      <c r="G78" s="42">
        <f>Controls!$B$14*F78</f>
        <v>0.53105296999999996</v>
      </c>
    </row>
    <row r="79" spans="1:7" x14ac:dyDescent="0.3">
      <c r="A79" s="2" t="str">
        <f>'Selected forecast drivers'!A78</f>
        <v>SES22</v>
      </c>
      <c r="B79" s="2" t="str">
        <f>'Selected forecast drivers'!B78</f>
        <v>SES</v>
      </c>
      <c r="C79" s="2">
        <f>'Selected forecast drivers'!D78</f>
        <v>2022</v>
      </c>
      <c r="D79" s="41">
        <f>Coeffs!$C$13+(Coeffs!$C$12*'Selected forecast drivers'!H78)+(Coeffs!$C$11*'Selected forecast drivers'!G78)</f>
        <v>0.4241163</v>
      </c>
      <c r="E79" s="41">
        <f>Coeffs!$D$13+(Coeffs!$D$12*'Selected forecast drivers'!H78)+(Coeffs!$D$11*'Selected forecast drivers'!G78)</f>
        <v>0.63212236000000011</v>
      </c>
      <c r="F79" s="42">
        <f t="shared" si="4"/>
        <v>0.52811933</v>
      </c>
      <c r="G79" s="42">
        <f>Controls!$B$14*F79</f>
        <v>0.52811933</v>
      </c>
    </row>
    <row r="80" spans="1:7" x14ac:dyDescent="0.3">
      <c r="A80" s="2" t="str">
        <f>'Selected forecast drivers'!A79</f>
        <v>SES23</v>
      </c>
      <c r="B80" s="2" t="str">
        <f>'Selected forecast drivers'!B79</f>
        <v>SES</v>
      </c>
      <c r="C80" s="2">
        <f>'Selected forecast drivers'!D79</f>
        <v>2023</v>
      </c>
      <c r="D80" s="41">
        <f>Coeffs!$C$13+(Coeffs!$C$12*'Selected forecast drivers'!H79)+(Coeffs!$C$11*'Selected forecast drivers'!G79)</f>
        <v>0.42161309999999996</v>
      </c>
      <c r="E80" s="41">
        <f>Coeffs!$D$13+(Coeffs!$D$12*'Selected forecast drivers'!H79)+(Coeffs!$D$11*'Selected forecast drivers'!G79)</f>
        <v>0.62876390000000004</v>
      </c>
      <c r="F80" s="42">
        <f t="shared" si="4"/>
        <v>0.52518850000000006</v>
      </c>
      <c r="G80" s="42">
        <f>Controls!$B$14*F80</f>
        <v>0.52518850000000006</v>
      </c>
    </row>
    <row r="81" spans="1:7" x14ac:dyDescent="0.3">
      <c r="A81" s="2" t="str">
        <f>'Selected forecast drivers'!A80</f>
        <v>SES24</v>
      </c>
      <c r="B81" s="2" t="str">
        <f>'Selected forecast drivers'!B80</f>
        <v>SES</v>
      </c>
      <c r="C81" s="2">
        <f>'Selected forecast drivers'!D80</f>
        <v>2024</v>
      </c>
      <c r="D81" s="41">
        <f>Coeffs!$C$13+(Coeffs!$C$12*'Selected forecast drivers'!H80)+(Coeffs!$C$11*'Selected forecast drivers'!G80)</f>
        <v>0.41910749999999997</v>
      </c>
      <c r="E81" s="41">
        <f>Coeffs!$D$13+(Coeffs!$D$12*'Selected forecast drivers'!H80)+(Coeffs!$D$11*'Selected forecast drivers'!G80)</f>
        <v>0.62540222000000001</v>
      </c>
      <c r="F81" s="42">
        <f t="shared" si="4"/>
        <v>0.52225485999999999</v>
      </c>
      <c r="G81" s="42">
        <f>Controls!$B$14*F81</f>
        <v>0.52225485999999999</v>
      </c>
    </row>
    <row r="82" spans="1:7" x14ac:dyDescent="0.3">
      <c r="A82" s="2" t="str">
        <f>'Selected forecast drivers'!A81</f>
        <v>SES25</v>
      </c>
      <c r="B82" s="2" t="str">
        <f>'Selected forecast drivers'!B81</f>
        <v>SES</v>
      </c>
      <c r="C82" s="2">
        <f>'Selected forecast drivers'!D81</f>
        <v>2025</v>
      </c>
      <c r="D82" s="41">
        <f>Coeffs!$C$13+(Coeffs!$C$12*'Selected forecast drivers'!H81)+(Coeffs!$C$11*'Selected forecast drivers'!G81)</f>
        <v>0.41660189999999997</v>
      </c>
      <c r="E82" s="41">
        <f>Coeffs!$D$13+(Coeffs!$D$12*'Selected forecast drivers'!H81)+(Coeffs!$D$11*'Selected forecast drivers'!G81)</f>
        <v>0.62204053999999998</v>
      </c>
      <c r="F82" s="42">
        <f t="shared" si="4"/>
        <v>0.51932121999999992</v>
      </c>
      <c r="G82" s="42">
        <f>Controls!$B$14*F82</f>
        <v>0.51932121999999992</v>
      </c>
    </row>
    <row r="83" spans="1:7" x14ac:dyDescent="0.3">
      <c r="A83" s="2" t="str">
        <f>'Selected forecast drivers'!A82</f>
        <v>SEW21</v>
      </c>
      <c r="B83" s="2" t="str">
        <f>'Selected forecast drivers'!B82</f>
        <v>SEW</v>
      </c>
      <c r="C83" s="2">
        <f>'Selected forecast drivers'!D82</f>
        <v>2021</v>
      </c>
      <c r="D83" s="41">
        <f>Coeffs!$C$13+(Coeffs!$C$12*'Selected forecast drivers'!H82)+(Coeffs!$C$11*'Selected forecast drivers'!G82)</f>
        <v>0.17049710845747806</v>
      </c>
      <c r="E83" s="41">
        <f>Coeffs!$D$13+(Coeffs!$D$12*'Selected forecast drivers'!H82)+(Coeffs!$D$11*'Selected forecast drivers'!G82)</f>
        <v>0.29450990884711642</v>
      </c>
      <c r="F83" s="42">
        <f t="shared" si="4"/>
        <v>0.23250350865229724</v>
      </c>
      <c r="G83" s="42">
        <f>Controls!$B$14*F83</f>
        <v>0.23250350865229724</v>
      </c>
    </row>
    <row r="84" spans="1:7" x14ac:dyDescent="0.3">
      <c r="A84" s="2" t="str">
        <f>'Selected forecast drivers'!A83</f>
        <v>SEW22</v>
      </c>
      <c r="B84" s="2" t="str">
        <f>'Selected forecast drivers'!B83</f>
        <v>SEW</v>
      </c>
      <c r="C84" s="2">
        <f>'Selected forecast drivers'!D83</f>
        <v>2022</v>
      </c>
      <c r="D84" s="41">
        <f>Coeffs!$C$13+(Coeffs!$C$12*'Selected forecast drivers'!H83)+(Coeffs!$C$11*'Selected forecast drivers'!G83)</f>
        <v>0.16985616268621712</v>
      </c>
      <c r="E84" s="41">
        <f>Coeffs!$D$13+(Coeffs!$D$12*'Selected forecast drivers'!H83)+(Coeffs!$D$11*'Selected forecast drivers'!G83)</f>
        <v>0.29364997327067466</v>
      </c>
      <c r="F84" s="42">
        <f t="shared" si="4"/>
        <v>0.23175306797844589</v>
      </c>
      <c r="G84" s="42">
        <f>Controls!$B$14*F84</f>
        <v>0.23175306797844589</v>
      </c>
    </row>
    <row r="85" spans="1:7" x14ac:dyDescent="0.3">
      <c r="A85" s="2" t="str">
        <f>'Selected forecast drivers'!A84</f>
        <v>SEW23</v>
      </c>
      <c r="B85" s="2" t="str">
        <f>'Selected forecast drivers'!B84</f>
        <v>SEW</v>
      </c>
      <c r="C85" s="2">
        <f>'Selected forecast drivers'!D84</f>
        <v>2023</v>
      </c>
      <c r="D85" s="41">
        <f>Coeffs!$C$13+(Coeffs!$C$12*'Selected forecast drivers'!H84)+(Coeffs!$C$11*'Selected forecast drivers'!G84)</f>
        <v>0.16921521691495595</v>
      </c>
      <c r="E85" s="41">
        <f>Coeffs!$D$13+(Coeffs!$D$12*'Selected forecast drivers'!H84)+(Coeffs!$D$11*'Selected forecast drivers'!G84)</f>
        <v>0.29279003769423256</v>
      </c>
      <c r="F85" s="42">
        <f t="shared" si="4"/>
        <v>0.23100262730459425</v>
      </c>
      <c r="G85" s="42">
        <f>Controls!$B$14*F85</f>
        <v>0.23100262730459425</v>
      </c>
    </row>
    <row r="86" spans="1:7" x14ac:dyDescent="0.3">
      <c r="A86" s="2" t="str">
        <f>'Selected forecast drivers'!A85</f>
        <v>SEW24</v>
      </c>
      <c r="B86" s="2" t="str">
        <f>'Selected forecast drivers'!B85</f>
        <v>SEW</v>
      </c>
      <c r="C86" s="2">
        <f>'Selected forecast drivers'!D85</f>
        <v>2024</v>
      </c>
      <c r="D86" s="41">
        <f>Coeffs!$C$13+(Coeffs!$C$12*'Selected forecast drivers'!H85)+(Coeffs!$C$11*'Selected forecast drivers'!G85)</f>
        <v>0.16857427114369494</v>
      </c>
      <c r="E86" s="41">
        <f>Coeffs!$D$13+(Coeffs!$D$12*'Selected forecast drivers'!H85)+(Coeffs!$D$11*'Selected forecast drivers'!G85)</f>
        <v>0.29193010211779075</v>
      </c>
      <c r="F86" s="42">
        <f t="shared" si="4"/>
        <v>0.23025218663074284</v>
      </c>
      <c r="G86" s="42">
        <f>Controls!$B$14*F86</f>
        <v>0.23025218663074284</v>
      </c>
    </row>
    <row r="87" spans="1:7" x14ac:dyDescent="0.3">
      <c r="A87" s="2" t="str">
        <f>'Selected forecast drivers'!A86</f>
        <v>SEW25</v>
      </c>
      <c r="B87" s="2" t="str">
        <f>'Selected forecast drivers'!B86</f>
        <v>SEW</v>
      </c>
      <c r="C87" s="2">
        <f>'Selected forecast drivers'!D86</f>
        <v>2025</v>
      </c>
      <c r="D87" s="41">
        <f>Coeffs!$C$13+(Coeffs!$C$12*'Selected forecast drivers'!H86)+(Coeffs!$C$11*'Selected forecast drivers'!G86)</f>
        <v>0.16793332537243399</v>
      </c>
      <c r="E87" s="41">
        <f>Coeffs!$D$13+(Coeffs!$D$12*'Selected forecast drivers'!H86)+(Coeffs!$D$11*'Selected forecast drivers'!G86)</f>
        <v>0.29107016654134898</v>
      </c>
      <c r="F87" s="42">
        <f t="shared" si="4"/>
        <v>0.22950174595689149</v>
      </c>
      <c r="G87" s="42">
        <f>Controls!$B$14*F87</f>
        <v>0.22950174595689149</v>
      </c>
    </row>
    <row r="88" spans="1:7" x14ac:dyDescent="0.3">
      <c r="A88" s="2" t="str">
        <f>'Selected forecast drivers'!A87</f>
        <v>SSC21</v>
      </c>
      <c r="B88" s="2" t="str">
        <f>'Selected forecast drivers'!B87</f>
        <v>SSC</v>
      </c>
      <c r="C88" s="2">
        <f>'Selected forecast drivers'!D87</f>
        <v>2021</v>
      </c>
      <c r="D88" s="41">
        <f>Coeffs!$C$13+(Coeffs!$C$12*'Selected forecast drivers'!H87)+(Coeffs!$C$11*'Selected forecast drivers'!G87)</f>
        <v>0.56421009999999994</v>
      </c>
      <c r="E88" s="41">
        <f>Coeffs!$D$13+(Coeffs!$D$12*'Selected forecast drivers'!H87)+(Coeffs!$D$11*'Selected forecast drivers'!G87)</f>
        <v>0.81964917999999998</v>
      </c>
      <c r="F88" s="42">
        <f t="shared" si="4"/>
        <v>0.6919296399999999</v>
      </c>
      <c r="G88" s="42">
        <f>Controls!$B$14*F88</f>
        <v>0.6919296399999999</v>
      </c>
    </row>
    <row r="89" spans="1:7" x14ac:dyDescent="0.3">
      <c r="A89" s="2" t="str">
        <f>'Selected forecast drivers'!A88</f>
        <v>SSC22</v>
      </c>
      <c r="B89" s="2" t="str">
        <f>'Selected forecast drivers'!B88</f>
        <v>SSC</v>
      </c>
      <c r="C89" s="2">
        <f>'Selected forecast drivers'!D88</f>
        <v>2022</v>
      </c>
      <c r="D89" s="41">
        <f>Coeffs!$C$13+(Coeffs!$C$12*'Selected forecast drivers'!H88)+(Coeffs!$C$11*'Selected forecast drivers'!G88)</f>
        <v>0.55927330000000008</v>
      </c>
      <c r="E89" s="41">
        <f>Coeffs!$D$13+(Coeffs!$D$12*'Selected forecast drivers'!H88)+(Coeffs!$D$11*'Selected forecast drivers'!G88)</f>
        <v>0.81302563999999999</v>
      </c>
      <c r="F89" s="42">
        <f t="shared" si="4"/>
        <v>0.68614947000000004</v>
      </c>
      <c r="G89" s="42">
        <f>Controls!$B$14*F89</f>
        <v>0.68614947000000004</v>
      </c>
    </row>
    <row r="90" spans="1:7" x14ac:dyDescent="0.3">
      <c r="A90" s="2" t="str">
        <f>'Selected forecast drivers'!A89</f>
        <v>SSC23</v>
      </c>
      <c r="B90" s="2" t="str">
        <f>'Selected forecast drivers'!B89</f>
        <v>SSC</v>
      </c>
      <c r="C90" s="2">
        <f>'Selected forecast drivers'!D89</f>
        <v>2023</v>
      </c>
      <c r="D90" s="41">
        <f>Coeffs!$C$13+(Coeffs!$C$12*'Selected forecast drivers'!H89)+(Coeffs!$C$11*'Selected forecast drivers'!G89)</f>
        <v>0.55433650000000001</v>
      </c>
      <c r="E90" s="41">
        <f>Coeffs!$D$13+(Coeffs!$D$12*'Selected forecast drivers'!H89)+(Coeffs!$D$11*'Selected forecast drivers'!G89)</f>
        <v>0.8064020999999999</v>
      </c>
      <c r="F90" s="42">
        <f t="shared" si="4"/>
        <v>0.68036929999999995</v>
      </c>
      <c r="G90" s="42">
        <f>Controls!$B$14*F90</f>
        <v>0.68036929999999995</v>
      </c>
    </row>
    <row r="91" spans="1:7" x14ac:dyDescent="0.3">
      <c r="A91" s="2" t="str">
        <f>'Selected forecast drivers'!A90</f>
        <v>SSC24</v>
      </c>
      <c r="B91" s="2" t="str">
        <f>'Selected forecast drivers'!B90</f>
        <v>SSC</v>
      </c>
      <c r="C91" s="2">
        <f>'Selected forecast drivers'!D90</f>
        <v>2024</v>
      </c>
      <c r="D91" s="41">
        <f>Coeffs!$C$13+(Coeffs!$C$12*'Selected forecast drivers'!H90)+(Coeffs!$C$11*'Selected forecast drivers'!G90)</f>
        <v>0.54939969999999994</v>
      </c>
      <c r="E91" s="41">
        <f>Coeffs!$D$13+(Coeffs!$D$12*'Selected forecast drivers'!H90)+(Coeffs!$D$11*'Selected forecast drivers'!G90)</f>
        <v>0.79977856000000003</v>
      </c>
      <c r="F91" s="42">
        <f t="shared" si="4"/>
        <v>0.67458912999999998</v>
      </c>
      <c r="G91" s="42">
        <f>Controls!$B$14*F91</f>
        <v>0.67458912999999998</v>
      </c>
    </row>
    <row r="92" spans="1:7" x14ac:dyDescent="0.3">
      <c r="A92" s="2" t="str">
        <f>'Selected forecast drivers'!A91</f>
        <v>SSC25</v>
      </c>
      <c r="B92" s="2" t="str">
        <f>'Selected forecast drivers'!B91</f>
        <v>SSC</v>
      </c>
      <c r="C92" s="2">
        <f>'Selected forecast drivers'!D91</f>
        <v>2025</v>
      </c>
      <c r="D92" s="41">
        <f>Coeffs!$C$13+(Coeffs!$C$12*'Selected forecast drivers'!H91)+(Coeffs!$C$11*'Selected forecast drivers'!G91)</f>
        <v>0.54446290000000008</v>
      </c>
      <c r="E92" s="41">
        <f>Coeffs!$D$13+(Coeffs!$D$12*'Selected forecast drivers'!H91)+(Coeffs!$D$11*'Selected forecast drivers'!G91)</f>
        <v>0.79315501999999993</v>
      </c>
      <c r="F92" s="42">
        <f t="shared" si="4"/>
        <v>0.66880896000000001</v>
      </c>
      <c r="G92" s="42">
        <f>Controls!$B$14*F92</f>
        <v>0.66880896000000001</v>
      </c>
    </row>
    <row r="94" spans="1:7" x14ac:dyDescent="0.3">
      <c r="D94" s="139"/>
      <c r="E94" s="139"/>
    </row>
    <row r="97" spans="4:5" x14ac:dyDescent="0.3">
      <c r="D97" s="139"/>
      <c r="E97" s="139"/>
    </row>
  </sheetData>
  <mergeCells count="2">
    <mergeCell ref="F6:F7"/>
    <mergeCell ref="G6:G7"/>
  </mergeCells>
  <conditionalFormatting sqref="O8:O24">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3:N247"/>
  <sheetViews>
    <sheetView showGridLines="0" zoomScale="96" zoomScaleNormal="96" workbookViewId="0"/>
  </sheetViews>
  <sheetFormatPr defaultColWidth="9" defaultRowHeight="13" x14ac:dyDescent="0.3"/>
  <cols>
    <col min="1" max="1" width="14.33203125" style="1" customWidth="1"/>
    <col min="2" max="3" width="20.6640625" style="1" customWidth="1"/>
    <col min="4" max="4" width="22.6640625" style="1" customWidth="1"/>
    <col min="5" max="5" width="21.6640625" style="1" customWidth="1"/>
    <col min="6" max="6" width="22.5" style="1" customWidth="1"/>
    <col min="7" max="8" width="9.1640625" style="1" bestFit="1" customWidth="1"/>
    <col min="9" max="9" width="9" style="1"/>
    <col min="10" max="10" width="9.6640625" style="1" bestFit="1" customWidth="1"/>
    <col min="11" max="11" width="9.1640625" style="1" bestFit="1" customWidth="1"/>
    <col min="12" max="12" width="9.6640625" style="1" customWidth="1"/>
    <col min="13" max="16384" width="9" style="1"/>
  </cols>
  <sheetData>
    <row r="3" spans="1:14" x14ac:dyDescent="0.3">
      <c r="A3" s="1" t="s">
        <v>239</v>
      </c>
      <c r="B3" s="126"/>
      <c r="F3" s="6"/>
    </row>
    <row r="4" spans="1:14" ht="14.25" customHeight="1" x14ac:dyDescent="0.3">
      <c r="A4" s="21"/>
      <c r="B4" s="44"/>
      <c r="C4" s="21"/>
      <c r="D4" s="21"/>
      <c r="E4" s="21"/>
      <c r="F4" s="6"/>
      <c r="G4" s="21"/>
      <c r="H4" s="21"/>
      <c r="I4" s="21"/>
      <c r="J4" s="122" t="s">
        <v>5</v>
      </c>
      <c r="K4" s="123"/>
      <c r="L4" s="235" t="s">
        <v>86</v>
      </c>
    </row>
    <row r="5" spans="1:14" ht="13.5" customHeight="1" x14ac:dyDescent="0.3">
      <c r="A5" s="21"/>
      <c r="B5" s="44"/>
      <c r="C5" s="21"/>
      <c r="D5" s="21"/>
      <c r="E5" s="21"/>
      <c r="F5" s="6"/>
      <c r="G5" s="238" t="s">
        <v>244</v>
      </c>
      <c r="H5" s="238" t="s">
        <v>245</v>
      </c>
      <c r="I5" s="21"/>
      <c r="J5" s="124">
        <f>Controls!B20</f>
        <v>0.5</v>
      </c>
      <c r="K5" s="124">
        <f>Controls!C20</f>
        <v>0.5</v>
      </c>
      <c r="L5" s="236"/>
    </row>
    <row r="6" spans="1:14" ht="78" customHeight="1" x14ac:dyDescent="0.3">
      <c r="A6" s="45" t="s">
        <v>6</v>
      </c>
      <c r="B6" s="36" t="s">
        <v>240</v>
      </c>
      <c r="C6" s="36" t="s">
        <v>241</v>
      </c>
      <c r="D6" s="37" t="s">
        <v>242</v>
      </c>
      <c r="E6" s="37" t="s">
        <v>243</v>
      </c>
      <c r="F6" s="21"/>
      <c r="G6" s="238"/>
      <c r="H6" s="238"/>
      <c r="I6" s="46"/>
      <c r="J6" s="47" t="s">
        <v>84</v>
      </c>
      <c r="K6" s="47" t="s">
        <v>85</v>
      </c>
      <c r="L6" s="237"/>
    </row>
    <row r="7" spans="1:14" x14ac:dyDescent="0.3">
      <c r="A7" s="2" t="s">
        <v>8</v>
      </c>
      <c r="B7" s="38">
        <f>IFERROR(SUMIFS(Data!$F$8:$F$301,Data!$B$8:$B$301,'Modelled unit costs'!$A7,Data!$C$8:$C$301,"&lt;=2018",Data!$C$8:$C$301,"&gt;=2012"),"")</f>
        <v>17.999750202478818</v>
      </c>
      <c r="C7" s="38">
        <f>IFERROR(SUMIFS(Data!$F$8:$F$301,Data!$B$8:$B$301,'Modelled unit costs'!$A7,Data!$C$8:$C$301,"&gt;2020"),"")</f>
        <v>25.02268858621186</v>
      </c>
      <c r="D7" s="38">
        <f>IFERROR(SUMIFS(Data!$I$8:$I$301,Data!$B$8:$B$301,'Modelled unit costs'!$A7,Data!$C$8:$C$301,"&lt;=2018",Data!$C$8:$C$301,"&gt;=2012"),"")</f>
        <v>17516</v>
      </c>
      <c r="E7" s="38">
        <f>IFERROR(SUMIFS(Data!$I$8:$I$301,Data!$B$8:$B$301,'Modelled unit costs'!$A7,Data!$C$8:$C$301,"&gt;2020"),"")</f>
        <v>5250</v>
      </c>
      <c r="F7" s="39" t="str">
        <f>IF(OR(Q53=0,Q81=0),"",IFERROR((Q53*10^6/Q81),""))</f>
        <v/>
      </c>
      <c r="G7" s="38">
        <f>IF(OR(B7=0,D7=0),"",IFERROR((B7*10^6/D7),""))</f>
        <v>1027.6176183191835</v>
      </c>
      <c r="H7" s="38">
        <f>IF(OR(C7=0,E7=0),"",IFERROR((C7*10^6/E7),""))</f>
        <v>4766.2263973736881</v>
      </c>
      <c r="I7" s="39"/>
      <c r="J7" s="38">
        <f t="shared" ref="J7:J25" si="0">($G$26*D7)/1000000</f>
        <v>18.97088978404587</v>
      </c>
      <c r="K7" s="38">
        <f t="shared" ref="K7:K25" si="1">($H$26*E7)/10^6</f>
        <v>7.9261103239224422</v>
      </c>
      <c r="L7" s="38">
        <f>SUMPRODUCT($J$5:$K$5,$J7:$K7)</f>
        <v>13.448500053984155</v>
      </c>
    </row>
    <row r="8" spans="1:14" x14ac:dyDescent="0.3">
      <c r="A8" s="2" t="s">
        <v>28</v>
      </c>
      <c r="B8" s="48"/>
      <c r="C8" s="38">
        <f>IFERROR(SUMIFS(Data!$F$8:$F$301,Data!$B$8:$B$301,'Modelled unit costs'!$A8,Data!$C$8:$C$301,"&gt;2020"),"")</f>
        <v>2.9299999999999997</v>
      </c>
      <c r="D8" s="48"/>
      <c r="E8" s="38">
        <f>IFERROR(SUMIFS(Data!$I$8:$I$301,Data!$B$8:$B$301,'Modelled unit costs'!$A8,Data!$C$8:$C$301,"&gt;2020"),"")</f>
        <v>255</v>
      </c>
      <c r="F8" s="39"/>
      <c r="G8" s="38" t="str">
        <f t="shared" ref="G8:G25" si="2">IF(OR(B8=0,D8=0),"",IFERROR((B8*10^6/D8),""))</f>
        <v/>
      </c>
      <c r="H8" s="38">
        <f t="shared" ref="H8:H25" si="3">IF(OR(C8=0,E8=0),"",IFERROR((C8*10^6/E8),""))</f>
        <v>11490.196078431371</v>
      </c>
      <c r="I8" s="39"/>
      <c r="J8" s="38">
        <f t="shared" si="0"/>
        <v>0</v>
      </c>
      <c r="K8" s="38">
        <f t="shared" si="1"/>
        <v>0.3849825014476615</v>
      </c>
      <c r="L8" s="38">
        <f>SUMPRODUCT($J$5:$K$5,$J8:$K8)</f>
        <v>0.19249125072383075</v>
      </c>
      <c r="N8" s="39"/>
    </row>
    <row r="9" spans="1:14" x14ac:dyDescent="0.3">
      <c r="A9" s="2" t="s">
        <v>9</v>
      </c>
      <c r="B9" s="38">
        <f>IFERROR(SUMIFS(Data!$F$8:$F$301,Data!$B$8:$B$301,'Modelled unit costs'!$A9,Data!$C$8:$C$301,"&lt;=2018",Data!$C$8:$C$301,"&gt;=2012"),"")</f>
        <v>16.219278169070279</v>
      </c>
      <c r="C9" s="38">
        <f>IFERROR(SUMIFS(Data!$F$8:$F$301,Data!$B$8:$B$301,'Modelled unit costs'!$A9,Data!$C$8:$C$301,"&gt;2020"),"")</f>
        <v>4.0030000000000001</v>
      </c>
      <c r="D9" s="38">
        <f>IFERROR(SUMIFS(Data!$I$8:$I$301,Data!$B$8:$B$301,'Modelled unit costs'!$A9,Data!$C$8:$C$301,"&lt;=2018",Data!$C$8:$C$301,"&gt;=2012"),"")</f>
        <v>22605</v>
      </c>
      <c r="E9" s="38">
        <f>IFERROR(SUMIFS(Data!$I$8:$I$301,Data!$B$8:$B$301,'Modelled unit costs'!$A9,Data!$C$8:$C$301,"&gt;2020"),"")</f>
        <v>9282</v>
      </c>
      <c r="F9" s="39"/>
      <c r="G9" s="38">
        <f t="shared" si="2"/>
        <v>717.50843481841537</v>
      </c>
      <c r="H9" s="38">
        <f t="shared" si="3"/>
        <v>431.26481361775478</v>
      </c>
      <c r="I9" s="39"/>
      <c r="J9" s="38">
        <f t="shared" si="0"/>
        <v>24.482585268803202</v>
      </c>
      <c r="K9" s="38">
        <f t="shared" si="1"/>
        <v>14.013363052694878</v>
      </c>
      <c r="L9" s="38">
        <f t="shared" ref="L9:L22" si="4">SUMPRODUCT($J$5:$K$5,$J9:$K9)</f>
        <v>19.247974160749038</v>
      </c>
    </row>
    <row r="10" spans="1:14" x14ac:dyDescent="0.3">
      <c r="A10" s="2" t="s">
        <v>10</v>
      </c>
      <c r="B10" s="38">
        <f>IFERROR(SUMIFS(Data!$F$8:$F$301,Data!$B$8:$B$301,'Modelled unit costs'!$A10,Data!$C$8:$C$301,"&lt;=2018",Data!$C$8:$C$301,"&gt;=2012"),"")</f>
        <v>4.6608285354798173</v>
      </c>
      <c r="C10" s="38">
        <f>IFERROR(SUMIFS(Data!$F$8:$F$301,Data!$B$8:$B$301,'Modelled unit costs'!$A10,Data!$C$8:$C$301,"&gt;2020"),"")</f>
        <v>0</v>
      </c>
      <c r="D10" s="38">
        <f>IFERROR(SUMIFS(Data!$I$8:$I$301,Data!$B$8:$B$301,'Modelled unit costs'!$A10,Data!$C$8:$C$301,"&lt;=2018",Data!$C$8:$C$301,"&gt;=2012"),"")</f>
        <v>6829</v>
      </c>
      <c r="E10" s="38">
        <f>IFERROR(SUMIFS(Data!$I$8:$I$301,Data!$B$8:$B$301,'Modelled unit costs'!$A10,Data!$C$8:$C$301,"&gt;2020"),"")</f>
        <v>25120</v>
      </c>
      <c r="F10" s="39"/>
      <c r="G10" s="38">
        <f t="shared" si="2"/>
        <v>682.50527683113455</v>
      </c>
      <c r="H10" s="38" t="str">
        <f t="shared" si="3"/>
        <v/>
      </c>
      <c r="I10" s="39"/>
      <c r="J10" s="38">
        <f t="shared" si="0"/>
        <v>7.396220959993677</v>
      </c>
      <c r="K10" s="38">
        <f t="shared" si="1"/>
        <v>37.924550730844146</v>
      </c>
      <c r="L10" s="38">
        <f t="shared" si="4"/>
        <v>22.660385845418912</v>
      </c>
    </row>
    <row r="11" spans="1:14" x14ac:dyDescent="0.3">
      <c r="A11" s="2" t="s">
        <v>11</v>
      </c>
      <c r="B11" s="38">
        <f>IFERROR(SUMIFS(Data!$F$8:$F$301,Data!$B$8:$B$301,'Modelled unit costs'!$A11,Data!$C$8:$C$301,"&lt;=2018",Data!$C$8:$C$301,"&gt;=2012"),"")</f>
        <v>0</v>
      </c>
      <c r="C11" s="38">
        <f>IFERROR(SUMIFS(Data!$F$8:$F$301,Data!$B$8:$B$301,'Modelled unit costs'!$A11,Data!$C$8:$C$301,"&gt;2020"),"")</f>
        <v>19.847999999999999</v>
      </c>
      <c r="D11" s="38">
        <f>IFERROR(SUMIFS(Data!$I$8:$I$301,Data!$B$8:$B$301,'Modelled unit costs'!$A11,Data!$C$8:$C$301,"&lt;=2018",Data!$C$8:$C$301,"&gt;=2012"),"")</f>
        <v>325</v>
      </c>
      <c r="E11" s="38">
        <f>IFERROR(SUMIFS(Data!$I$8:$I$301,Data!$B$8:$B$301,'Modelled unit costs'!$A11,Data!$C$8:$C$301,"&gt;2020"),"")</f>
        <v>27919</v>
      </c>
      <c r="F11" s="39"/>
      <c r="G11" s="38" t="str">
        <f t="shared" si="2"/>
        <v/>
      </c>
      <c r="H11" s="38">
        <f t="shared" si="3"/>
        <v>710.91371467459442</v>
      </c>
      <c r="I11" s="39"/>
      <c r="J11" s="38">
        <f t="shared" si="0"/>
        <v>0.35199470083437479</v>
      </c>
      <c r="K11" s="38">
        <f t="shared" si="1"/>
        <v>42.150299834969651</v>
      </c>
      <c r="L11" s="38">
        <f t="shared" si="4"/>
        <v>21.251147267902013</v>
      </c>
    </row>
    <row r="12" spans="1:14" x14ac:dyDescent="0.3">
      <c r="A12" s="2" t="s">
        <v>27</v>
      </c>
      <c r="B12" s="48"/>
      <c r="C12" s="38">
        <f>IFERROR(SUMIFS(Data!$F$8:$F$301,Data!$B$8:$B$301,'Modelled unit costs'!$A12,Data!$C$8:$C$301,"&gt;2020"),"")</f>
        <v>16.379000000000001</v>
      </c>
      <c r="D12" s="48"/>
      <c r="E12" s="38">
        <f>IFERROR(SUMIFS(Data!$I$8:$I$301,Data!$B$8:$B$301,'Modelled unit costs'!$A12,Data!$C$8:$C$301,"&gt;2020"),"")</f>
        <v>3980</v>
      </c>
      <c r="F12" s="39"/>
      <c r="G12" s="38" t="str">
        <f t="shared" si="2"/>
        <v/>
      </c>
      <c r="H12" s="38">
        <f t="shared" si="3"/>
        <v>4115.3266331658297</v>
      </c>
      <c r="I12" s="39"/>
      <c r="J12" s="38">
        <f t="shared" si="0"/>
        <v>0</v>
      </c>
      <c r="K12" s="38">
        <f t="shared" si="1"/>
        <v>6.0087464931831089</v>
      </c>
      <c r="L12" s="38">
        <f>SUMPRODUCT($J$5:$K$5,$J12:$K12)</f>
        <v>3.0043732465915545</v>
      </c>
    </row>
    <row r="13" spans="1:14" x14ac:dyDescent="0.3">
      <c r="A13" s="2" t="s">
        <v>14</v>
      </c>
      <c r="B13" s="38">
        <f>IFERROR(SUMIFS(Data!$F$8:$F$301,Data!$B$8:$B$301,'Modelled unit costs'!$A13,Data!$C$8:$C$301,"&lt;=2018",Data!$C$8:$C$301,"&gt;=2012"),"")</f>
        <v>0.36628879664502423</v>
      </c>
      <c r="C13" s="38">
        <f>IFERROR(SUMIFS(Data!$F$8:$F$301,Data!$B$8:$B$301,'Modelled unit costs'!$A13,Data!$C$8:$C$301,"&gt;2020"),"")</f>
        <v>4</v>
      </c>
      <c r="D13" s="38">
        <f>IFERROR(SUMIFS(Data!$I$8:$I$301,Data!$B$8:$B$301,'Modelled unit costs'!$A13,Data!$C$8:$C$301,"&lt;=2018",Data!$C$8:$C$301,"&gt;=2012"),"")</f>
        <v>457</v>
      </c>
      <c r="E13" s="38">
        <f>IFERROR(SUMIFS(Data!$I$8:$I$301,Data!$B$8:$B$301,'Modelled unit costs'!$A13,Data!$C$8:$C$301,"&gt;2020"),"")</f>
        <v>2500</v>
      </c>
      <c r="F13" s="39"/>
      <c r="G13" s="38">
        <f t="shared" si="2"/>
        <v>801.50721366526091</v>
      </c>
      <c r="H13" s="38">
        <f t="shared" si="3"/>
        <v>1600</v>
      </c>
      <c r="I13" s="39"/>
      <c r="J13" s="38">
        <f t="shared" si="0"/>
        <v>0.49495870240402851</v>
      </c>
      <c r="K13" s="38">
        <f t="shared" si="1"/>
        <v>3.7743382494868776</v>
      </c>
      <c r="L13" s="38">
        <f>SUMPRODUCT($J$5:$K$5,$J13:$K13)</f>
        <v>2.1346484759454531</v>
      </c>
    </row>
    <row r="14" spans="1:14" x14ac:dyDescent="0.3">
      <c r="A14" s="2" t="s">
        <v>15</v>
      </c>
      <c r="B14" s="38">
        <f>IFERROR(SUMIFS(Data!$F$8:$F$301,Data!$B$8:$B$301,'Modelled unit costs'!$A14,Data!$C$8:$C$301,"&lt;=2018",Data!$C$8:$C$301,"&gt;=2012"),"")</f>
        <v>44.931852796353454</v>
      </c>
      <c r="C14" s="38">
        <f>IFERROR(SUMIFS(Data!$F$8:$F$301,Data!$B$8:$B$301,'Modelled unit costs'!$A14,Data!$C$8:$C$301,"&gt;2020"),"")</f>
        <v>76.420038670099999</v>
      </c>
      <c r="D14" s="38">
        <f>IFERROR(SUMIFS(Data!$I$8:$I$301,Data!$B$8:$B$301,'Modelled unit costs'!$A14,Data!$C$8:$C$301,"&lt;=2018",Data!$C$8:$C$301,"&gt;=2012"),"")</f>
        <v>41486</v>
      </c>
      <c r="E14" s="38">
        <f>IFERROR(SUMIFS(Data!$I$8:$I$301,Data!$B$8:$B$301,'Modelled unit costs'!$A14,Data!$C$8:$C$301,"&gt;2020"),"")</f>
        <v>53837</v>
      </c>
      <c r="F14" s="39"/>
      <c r="G14" s="38">
        <f t="shared" si="2"/>
        <v>1083.0606179519223</v>
      </c>
      <c r="H14" s="38">
        <f t="shared" si="3"/>
        <v>1419.4705995895017</v>
      </c>
      <c r="I14" s="39"/>
      <c r="J14" s="38">
        <f t="shared" si="0"/>
        <v>44.931852796353446</v>
      </c>
      <c r="K14" s="38">
        <f t="shared" si="1"/>
        <v>81.27961933505</v>
      </c>
      <c r="L14" s="38">
        <f t="shared" si="4"/>
        <v>63.10573606570172</v>
      </c>
    </row>
    <row r="15" spans="1:14" x14ac:dyDescent="0.3">
      <c r="A15" s="2" t="s">
        <v>16</v>
      </c>
      <c r="B15" s="38">
        <f>IFERROR(SUMIFS(Data!$F$8:$F$301,Data!$B$8:$B$301,'Modelled unit costs'!$A15,Data!$C$8:$C$301,"&lt;=2018",Data!$C$8:$C$301,"&gt;=2012"),"")</f>
        <v>0</v>
      </c>
      <c r="C15" s="38">
        <f>IFERROR(SUMIFS(Data!$F$8:$F$301,Data!$B$8:$B$301,'Modelled unit costs'!$A15,Data!$C$8:$C$301,"&gt;2020"),"")</f>
        <v>15.047000000000001</v>
      </c>
      <c r="D15" s="38">
        <f>IFERROR(SUMIFS(Data!$I$8:$I$301,Data!$B$8:$B$301,'Modelled unit costs'!$A15,Data!$C$8:$C$301,"&lt;=2018",Data!$C$8:$C$301,"&gt;=2012"),"")</f>
        <v>28</v>
      </c>
      <c r="E15" s="38">
        <f>IFERROR(SUMIFS(Data!$I$8:$I$301,Data!$B$8:$B$301,'Modelled unit costs'!$A15,Data!$C$8:$C$301,"&gt;2020"),"")</f>
        <v>0</v>
      </c>
      <c r="F15" s="39"/>
      <c r="G15" s="38" t="str">
        <f t="shared" si="2"/>
        <v/>
      </c>
      <c r="H15" s="38" t="str">
        <f t="shared" si="3"/>
        <v/>
      </c>
      <c r="I15" s="39"/>
      <c r="J15" s="38">
        <f t="shared" si="0"/>
        <v>3.0325697302653824E-2</v>
      </c>
      <c r="K15" s="38">
        <f t="shared" si="1"/>
        <v>0</v>
      </c>
      <c r="L15" s="38">
        <f t="shared" si="4"/>
        <v>1.5162848651326912E-2</v>
      </c>
    </row>
    <row r="16" spans="1:14" x14ac:dyDescent="0.3">
      <c r="A16" s="2" t="s">
        <v>17</v>
      </c>
      <c r="B16" s="38">
        <f>IFERROR(SUMIFS(Data!$F$8:$F$301,Data!$B$8:$B$301,'Modelled unit costs'!$A16,Data!$C$8:$C$301,"&lt;=2018",Data!$C$8:$C$301,"&gt;=2012"),"")</f>
        <v>2.3840520047564002</v>
      </c>
      <c r="C16" s="38">
        <f>IFERROR(SUMIFS(Data!$F$8:$F$301,Data!$B$8:$B$301,'Modelled unit costs'!$A16,Data!$C$8:$C$301,"&gt;2020"),"")</f>
        <v>5.5797403846153806</v>
      </c>
      <c r="D16" s="38">
        <f>IFERROR(SUMIFS(Data!$I$8:$I$301,Data!$B$8:$B$301,'Modelled unit costs'!$A16,Data!$C$8:$C$301,"&lt;=2018",Data!$C$8:$C$301,"&gt;=2012"),"")</f>
        <v>1127</v>
      </c>
      <c r="E16" s="38">
        <f>IFERROR(SUMIFS(Data!$I$8:$I$301,Data!$B$8:$B$301,'Modelled unit costs'!$A16,Data!$C$8:$C$301,"&gt;2020"),"")</f>
        <v>9000</v>
      </c>
      <c r="F16" s="39"/>
      <c r="G16" s="38">
        <f t="shared" si="2"/>
        <v>2115.3966324369126</v>
      </c>
      <c r="H16" s="38">
        <f t="shared" si="3"/>
        <v>619.97115384615336</v>
      </c>
      <c r="I16" s="39"/>
      <c r="J16" s="38">
        <f t="shared" si="0"/>
        <v>1.2206093164318164</v>
      </c>
      <c r="K16" s="38">
        <f t="shared" si="1"/>
        <v>13.587617698152759</v>
      </c>
      <c r="L16" s="38">
        <f t="shared" si="4"/>
        <v>7.404113507292287</v>
      </c>
    </row>
    <row r="17" spans="1:12" x14ac:dyDescent="0.3">
      <c r="A17" s="2" t="s">
        <v>18</v>
      </c>
      <c r="B17" s="38">
        <f>IFERROR(SUMIFS(Data!$F$8:$F$301,Data!$B$8:$B$301,'Modelled unit costs'!$A17,Data!$C$8:$C$301,"&lt;=2018",Data!$C$8:$C$301,"&gt;=2012"),"")</f>
        <v>29.035500182281766</v>
      </c>
      <c r="C17" s="38">
        <f>IFERROR(SUMIFS(Data!$F$8:$F$301,Data!$B$8:$B$301,'Modelled unit costs'!$A17,Data!$C$8:$C$301,"&gt;2020"),"")</f>
        <v>12.343</v>
      </c>
      <c r="D17" s="38">
        <f>IFERROR(SUMIFS(Data!$I$8:$I$301,Data!$B$8:$B$301,'Modelled unit costs'!$A17,Data!$C$8:$C$301,"&lt;=2018",Data!$C$8:$C$301,"&gt;=2012"),"")</f>
        <v>37016</v>
      </c>
      <c r="E17" s="38">
        <f>IFERROR(SUMIFS(Data!$I$8:$I$301,Data!$B$8:$B$301,'Modelled unit costs'!$A17,Data!$C$8:$C$301,"&gt;2020"),"")</f>
        <v>7606</v>
      </c>
      <c r="F17" s="39"/>
      <c r="G17" s="38">
        <f t="shared" si="2"/>
        <v>784.40404641997418</v>
      </c>
      <c r="H17" s="38">
        <f t="shared" si="3"/>
        <v>1622.7977912174599</v>
      </c>
      <c r="I17" s="39"/>
      <c r="J17" s="38">
        <f t="shared" si="0"/>
        <v>40.090571834108353</v>
      </c>
      <c r="K17" s="38">
        <f t="shared" si="1"/>
        <v>11.483046690238876</v>
      </c>
      <c r="L17" s="38">
        <f t="shared" si="4"/>
        <v>25.786809262173612</v>
      </c>
    </row>
    <row r="18" spans="1:12" x14ac:dyDescent="0.3">
      <c r="A18" s="2" t="s">
        <v>19</v>
      </c>
      <c r="B18" s="38">
        <f>IFERROR(SUMIFS(Data!$F$8:$F$301,Data!$B$8:$B$301,'Modelled unit costs'!$A18,Data!$C$8:$C$301,"&lt;=2018",Data!$C$8:$C$301,"&gt;=2012"),"")</f>
        <v>14.668298150664537</v>
      </c>
      <c r="C18" s="38">
        <f>IFERROR(SUMIFS(Data!$F$8:$F$301,Data!$B$8:$B$301,'Modelled unit costs'!$A18,Data!$C$8:$C$301,"&gt;2020"),"")</f>
        <v>9.1997560000000007</v>
      </c>
      <c r="D18" s="38">
        <f>IFERROR(SUMIFS(Data!$I$8:$I$301,Data!$B$8:$B$301,'Modelled unit costs'!$A18,Data!$C$8:$C$301,"&lt;=2018",Data!$C$8:$C$301,"&gt;=2012"),"")</f>
        <v>6998</v>
      </c>
      <c r="E18" s="38">
        <f>IFERROR(SUMIFS(Data!$I$8:$I$301,Data!$B$8:$B$301,'Modelled unit costs'!$A18,Data!$C$8:$C$301,"&gt;2020"),"")</f>
        <v>8860</v>
      </c>
      <c r="F18" s="39"/>
      <c r="G18" s="38">
        <f t="shared" si="2"/>
        <v>2096.0700415353726</v>
      </c>
      <c r="H18" s="38">
        <f t="shared" si="3"/>
        <v>1038.3471783295711</v>
      </c>
      <c r="I18" s="39"/>
      <c r="J18" s="38">
        <f t="shared" si="0"/>
        <v>7.5792582044275525</v>
      </c>
      <c r="K18" s="38">
        <f t="shared" si="1"/>
        <v>13.376254756181494</v>
      </c>
      <c r="L18" s="38">
        <f t="shared" si="4"/>
        <v>10.477756480304523</v>
      </c>
    </row>
    <row r="19" spans="1:12" x14ac:dyDescent="0.3">
      <c r="A19" s="2" t="s">
        <v>20</v>
      </c>
      <c r="B19" s="38">
        <f>IFERROR(SUMIFS(Data!$F$8:$F$301,Data!$B$8:$B$301,'Modelled unit costs'!$A19,Data!$C$8:$C$301,"&lt;=2018",Data!$C$8:$C$301,"&gt;=2012"),"")</f>
        <v>4.2705310302861257</v>
      </c>
      <c r="C19" s="38">
        <f>IFERROR(SUMIFS(Data!$F$8:$F$301,Data!$B$8:$B$301,'Modelled unit costs'!$A19,Data!$C$8:$C$301,"&gt;2020"),"")</f>
        <v>0.32500000000000001</v>
      </c>
      <c r="D19" s="38">
        <f>IFERROR(SUMIFS(Data!$I$8:$I$301,Data!$B$8:$B$301,'Modelled unit costs'!$A19,Data!$C$8:$C$301,"&lt;=2018",Data!$C$8:$C$301,"&gt;=2012"),"")</f>
        <v>451</v>
      </c>
      <c r="E19" s="38">
        <f>IFERROR(SUMIFS(Data!$I$8:$I$301,Data!$B$8:$B$301,'Modelled unit costs'!$A19,Data!$C$8:$C$301,"&gt;2020"),"")</f>
        <v>644</v>
      </c>
      <c r="F19" s="39"/>
      <c r="G19" s="38">
        <f t="shared" si="2"/>
        <v>9469.0266746920752</v>
      </c>
      <c r="H19" s="38">
        <f t="shared" si="3"/>
        <v>504.65838509316768</v>
      </c>
      <c r="I19" s="39"/>
      <c r="J19" s="38">
        <f t="shared" si="0"/>
        <v>0.48846033869631694</v>
      </c>
      <c r="K19" s="38">
        <f t="shared" si="1"/>
        <v>0.97226953306781971</v>
      </c>
      <c r="L19" s="38">
        <f t="shared" si="4"/>
        <v>0.7303649358820683</v>
      </c>
    </row>
    <row r="20" spans="1:12" x14ac:dyDescent="0.3">
      <c r="A20" s="2" t="s">
        <v>23</v>
      </c>
      <c r="B20" s="38">
        <f>IFERROR(SUMIFS(Data!$F$8:$F$301,Data!$B$8:$B$301,'Modelled unit costs'!$A20,Data!$C$8:$C$301,"&lt;=2018",Data!$C$8:$C$301,"&gt;=2012"),"")</f>
        <v>0</v>
      </c>
      <c r="C20" s="38">
        <f>IFERROR(SUMIFS(Data!$F$8:$F$301,Data!$B$8:$B$301,'Modelled unit costs'!$A20,Data!$C$8:$C$301,"&gt;2020"),"")</f>
        <v>0.25</v>
      </c>
      <c r="D20" s="38">
        <f>IFERROR(SUMIFS(Data!$I$8:$I$301,Data!$B$8:$B$301,'Modelled unit costs'!$A20,Data!$C$8:$C$301,"&lt;=2018",Data!$C$8:$C$301,"&gt;=2012"),"")</f>
        <v>11</v>
      </c>
      <c r="E20" s="38">
        <f>IFERROR(SUMIFS(Data!$I$8:$I$301,Data!$B$8:$B$301,'Modelled unit costs'!$A20,Data!$C$8:$C$301,"&gt;2020"),"")</f>
        <v>50</v>
      </c>
      <c r="F20" s="39"/>
      <c r="G20" s="38" t="str">
        <f t="shared" si="2"/>
        <v/>
      </c>
      <c r="H20" s="38">
        <f t="shared" si="3"/>
        <v>5000</v>
      </c>
      <c r="I20" s="39"/>
      <c r="J20" s="38">
        <f t="shared" si="0"/>
        <v>1.1913666797471146E-2</v>
      </c>
      <c r="K20" s="38">
        <f t="shared" si="1"/>
        <v>7.5486764989737554E-2</v>
      </c>
      <c r="L20" s="38">
        <f t="shared" si="4"/>
        <v>4.3700215893604351E-2</v>
      </c>
    </row>
    <row r="21" spans="1:12" x14ac:dyDescent="0.3">
      <c r="A21" s="2" t="s">
        <v>24</v>
      </c>
      <c r="B21" s="38">
        <f>IFERROR(SUMIFS(Data!$F$8:$F$301,Data!$B$8:$B$301,'Modelled unit costs'!$A21,Data!$C$8:$C$301,"&lt;=2018",Data!$C$8:$C$301,"&gt;=2012"),"")</f>
        <v>0.6323324885691235</v>
      </c>
      <c r="C21" s="38">
        <f>IFERROR(SUMIFS(Data!$F$8:$F$301,Data!$B$8:$B$301,'Modelled unit costs'!$A21,Data!$C$8:$C$301,"&gt;2020"),"")</f>
        <v>1.7199999999999998</v>
      </c>
      <c r="D21" s="38">
        <f>IFERROR(SUMIFS(Data!$I$8:$I$301,Data!$B$8:$B$301,'Modelled unit costs'!$A21,Data!$C$8:$C$301,"&lt;=2018",Data!$C$8:$C$301,"&gt;=2012"),"")</f>
        <v>534</v>
      </c>
      <c r="E21" s="38">
        <f>IFERROR(SUMIFS(Data!$I$8:$I$301,Data!$B$8:$B$301,'Modelled unit costs'!$A21,Data!$C$8:$C$301,"&gt;2020"),"")</f>
        <v>1435</v>
      </c>
      <c r="F21" s="39"/>
      <c r="G21" s="38">
        <f t="shared" si="2"/>
        <v>1184.1432370208306</v>
      </c>
      <c r="H21" s="38">
        <f t="shared" si="3"/>
        <v>1198.6062717770033</v>
      </c>
      <c r="I21" s="39"/>
      <c r="J21" s="38">
        <f t="shared" si="0"/>
        <v>0.57835436998632639</v>
      </c>
      <c r="K21" s="38">
        <f t="shared" si="1"/>
        <v>2.1664701552054679</v>
      </c>
      <c r="L21" s="38">
        <f t="shared" si="4"/>
        <v>1.3724122625958972</v>
      </c>
    </row>
    <row r="22" spans="1:12" x14ac:dyDescent="0.3">
      <c r="A22" s="2" t="s">
        <v>25</v>
      </c>
      <c r="B22" s="38">
        <f>IFERROR(SUMIFS(Data!$F$8:$F$301,Data!$B$8:$B$301,'Modelled unit costs'!$A22,Data!$C$8:$C$301,"&lt;=2018",Data!$C$8:$C$301,"&gt;=2012"),"")</f>
        <v>0</v>
      </c>
      <c r="C22" s="38">
        <f>IFERROR(SUMIFS(Data!$F$8:$F$301,Data!$B$8:$B$301,'Modelled unit costs'!$A22,Data!$C$8:$C$301,"&gt;2020"),"")</f>
        <v>0</v>
      </c>
      <c r="D22" s="38">
        <f>IFERROR(SUMIFS(Data!$I$8:$I$301,Data!$B$8:$B$301,'Modelled unit costs'!$A22,Data!$C$8:$C$301,"&lt;=2018",Data!$C$8:$C$301,"&gt;=2012"),"")</f>
        <v>17</v>
      </c>
      <c r="E22" s="38">
        <f>IFERROR(SUMIFS(Data!$I$8:$I$301,Data!$B$8:$B$301,'Modelled unit costs'!$A22,Data!$C$8:$C$301,"&gt;2020"),"")</f>
        <v>20</v>
      </c>
      <c r="F22" s="39"/>
      <c r="G22" s="38" t="str">
        <f t="shared" si="2"/>
        <v/>
      </c>
      <c r="H22" s="38" t="str">
        <f t="shared" si="3"/>
        <v/>
      </c>
      <c r="I22" s="39"/>
      <c r="J22" s="38">
        <f t="shared" si="0"/>
        <v>1.841203050518268E-2</v>
      </c>
      <c r="K22" s="38">
        <f t="shared" si="1"/>
        <v>3.0194705995895018E-2</v>
      </c>
      <c r="L22" s="38">
        <f t="shared" si="4"/>
        <v>2.4303368250538849E-2</v>
      </c>
    </row>
    <row r="23" spans="1:12" x14ac:dyDescent="0.3">
      <c r="A23" s="2" t="s">
        <v>26</v>
      </c>
      <c r="B23" s="38">
        <f>IFERROR(SUMIFS(Data!$F$8:$F$301,Data!$B$8:$B$301,'Modelled unit costs'!$A23,Data!$C$8:$C$301,"&lt;=2018",Data!$C$8:$C$301,"&gt;=2012"),"")</f>
        <v>0.75315312029098391</v>
      </c>
      <c r="C23" s="38">
        <f>IFERROR(SUMIFS(Data!$F$8:$F$301,Data!$B$8:$B$301,'Modelled unit costs'!$A23,Data!$C$8:$C$301,"&gt;2020"),"")</f>
        <v>3.5008017769795963</v>
      </c>
      <c r="D23" s="38">
        <f>IFERROR(SUMIFS(Data!$I$8:$I$301,Data!$B$8:$B$301,'Modelled unit costs'!$A23,Data!$C$8:$C$301,"&lt;=2018",Data!$C$8:$C$301,"&gt;=2012"),"")</f>
        <v>1237</v>
      </c>
      <c r="E23" s="38">
        <f>IFERROR(SUMIFS(Data!$I$8:$I$301,Data!$B$8:$B$301,'Modelled unit costs'!$A23,Data!$C$8:$C$301,"&gt;2020"),"")</f>
        <v>1665</v>
      </c>
      <c r="F23" s="39"/>
      <c r="G23" s="38">
        <f t="shared" si="2"/>
        <v>608.85458390540339</v>
      </c>
      <c r="H23" s="38">
        <f t="shared" si="3"/>
        <v>2102.5836498375952</v>
      </c>
      <c r="I23" s="39"/>
      <c r="J23" s="38">
        <f t="shared" si="0"/>
        <v>1.3397459844065278</v>
      </c>
      <c r="K23" s="38">
        <f t="shared" si="1"/>
        <v>2.5137092741582605</v>
      </c>
      <c r="L23" s="38">
        <f>SUMPRODUCT($J$5:$K$5,$J23:$K23)</f>
        <v>1.9267276292823943</v>
      </c>
    </row>
    <row r="24" spans="1:12" x14ac:dyDescent="0.3">
      <c r="A24" s="2" t="s">
        <v>22</v>
      </c>
      <c r="B24" s="38">
        <f>IFERROR(SUMIFS(Data!$F$8:$F$301,Data!$B$8:$B$301,'Modelled unit costs'!$A24,Data!$C$8:$C$301,"&lt;=2018",Data!$C$8:$C$301,"&gt;=2012"),"")</f>
        <v>0.39925413180316671</v>
      </c>
      <c r="C24" s="48"/>
      <c r="D24" s="38">
        <f>IFERROR(SUMIFS(Data!$I$8:$I$301,Data!$B$8:$B$301,'Modelled unit costs'!$A24,Data!$C$8:$C$301,"&lt;=2018",Data!$C$8:$C$301,"&gt;=2012"),"")</f>
        <v>326</v>
      </c>
      <c r="E24" s="48"/>
      <c r="F24" s="39"/>
      <c r="G24" s="38">
        <f t="shared" si="2"/>
        <v>1224.705925776585</v>
      </c>
      <c r="H24" s="38" t="str">
        <f t="shared" si="3"/>
        <v/>
      </c>
      <c r="I24" s="39"/>
      <c r="J24" s="38">
        <f t="shared" si="0"/>
        <v>0.35307776145232667</v>
      </c>
      <c r="K24" s="38">
        <f t="shared" si="1"/>
        <v>0</v>
      </c>
      <c r="L24" s="38">
        <f>SUMPRODUCT($J$5:$K$5,$J24:$K24)</f>
        <v>0.17653888072616333</v>
      </c>
    </row>
    <row r="25" spans="1:12" x14ac:dyDescent="0.3">
      <c r="A25" s="2" t="s">
        <v>12</v>
      </c>
      <c r="B25" s="38">
        <f>IFERROR(SUMIFS(Data!$F$8:$F$301,Data!$B$8:$B$301,'Modelled unit costs'!$A25,Data!$C$8:$C$301,"&lt;=2018",Data!$C$8:$C$301,"&gt;=2012"),"")</f>
        <v>16.444681112593024</v>
      </c>
      <c r="C25" s="48"/>
      <c r="D25" s="38">
        <f>IFERROR(SUMIFS(Data!$I$8:$I$301,Data!$B$8:$B$301,'Modelled unit costs'!$A25,Data!$C$8:$C$301,"&lt;=2018",Data!$C$8:$C$301,"&gt;=2012"),"")</f>
        <v>8164</v>
      </c>
      <c r="E25" s="48"/>
      <c r="F25" s="39"/>
      <c r="G25" s="38">
        <f t="shared" si="2"/>
        <v>2014.2921499991453</v>
      </c>
      <c r="H25" s="38" t="str">
        <f t="shared" si="3"/>
        <v/>
      </c>
      <c r="I25" s="39"/>
      <c r="J25" s="38">
        <f t="shared" si="0"/>
        <v>8.8421068849594935</v>
      </c>
      <c r="K25" s="38">
        <f t="shared" si="1"/>
        <v>0</v>
      </c>
      <c r="L25" s="38">
        <f>SUMPRODUCT($J$5:$K$5,$J25:$K25)</f>
        <v>4.4210534424797467</v>
      </c>
    </row>
    <row r="26" spans="1:12" x14ac:dyDescent="0.3">
      <c r="B26" s="39"/>
      <c r="C26" s="39"/>
      <c r="D26" s="39"/>
      <c r="E26" s="39"/>
      <c r="F26" s="49" t="s">
        <v>87</v>
      </c>
      <c r="G26" s="38">
        <f>IF(Controls!C24="Median",PERCENTILE(G$7:G$25,0.5),AVERAGE('Modelled unit costs'!G$7:G$25))</f>
        <v>1083.0606179519223</v>
      </c>
      <c r="H26" s="38">
        <f>IF(Controls!C24="Median",PERCENTILE(H$7:H$25,0.5),AVERAGE('Modelled unit costs'!H$7:H$25))</f>
        <v>1509.735299794751</v>
      </c>
      <c r="I26" s="39"/>
      <c r="J26" s="39"/>
      <c r="K26" s="39"/>
      <c r="L26" s="39"/>
    </row>
    <row r="28" spans="1:12" x14ac:dyDescent="0.3">
      <c r="G28" s="39"/>
      <c r="H28" s="39"/>
    </row>
    <row r="29" spans="1:12" ht="14.5" x14ac:dyDescent="0.35">
      <c r="A29" s="125"/>
    </row>
    <row r="30" spans="1:12" ht="14.5" x14ac:dyDescent="0.35">
      <c r="A30" s="125"/>
    </row>
    <row r="31" spans="1:12" ht="14.5" x14ac:dyDescent="0.35">
      <c r="A31" s="125"/>
    </row>
    <row r="32" spans="1:12" ht="14.5" x14ac:dyDescent="0.35">
      <c r="A32" s="125"/>
    </row>
    <row r="33" spans="1:1" ht="14.5" x14ac:dyDescent="0.35">
      <c r="A33" s="125"/>
    </row>
    <row r="34" spans="1:1" ht="14.5" x14ac:dyDescent="0.35">
      <c r="A34" s="125"/>
    </row>
    <row r="35" spans="1:1" ht="14.5" x14ac:dyDescent="0.35">
      <c r="A35" s="125"/>
    </row>
    <row r="36" spans="1:1" ht="14.5" x14ac:dyDescent="0.35">
      <c r="A36" s="125"/>
    </row>
    <row r="37" spans="1:1" ht="14.5" x14ac:dyDescent="0.35">
      <c r="A37" s="125"/>
    </row>
    <row r="38" spans="1:1" ht="14.5" x14ac:dyDescent="0.35">
      <c r="A38" s="125"/>
    </row>
    <row r="39" spans="1:1" ht="14.5" x14ac:dyDescent="0.35">
      <c r="A39" s="125"/>
    </row>
    <row r="40" spans="1:1" ht="14.5" x14ac:dyDescent="0.35">
      <c r="A40" s="125"/>
    </row>
    <row r="41" spans="1:1" ht="14.5" x14ac:dyDescent="0.35">
      <c r="A41" s="125"/>
    </row>
    <row r="42" spans="1:1" ht="14.5" x14ac:dyDescent="0.35">
      <c r="A42" s="125"/>
    </row>
    <row r="43" spans="1:1" ht="14.5" x14ac:dyDescent="0.35">
      <c r="A43" s="125"/>
    </row>
    <row r="44" spans="1:1" ht="14.5" x14ac:dyDescent="0.35">
      <c r="A44" s="125"/>
    </row>
    <row r="45" spans="1:1" ht="14.5" x14ac:dyDescent="0.35">
      <c r="A45" s="125"/>
    </row>
    <row r="46" spans="1:1" ht="14.5" x14ac:dyDescent="0.35">
      <c r="A46" s="125"/>
    </row>
    <row r="47" spans="1:1" ht="14.5" x14ac:dyDescent="0.35">
      <c r="A47" s="125"/>
    </row>
    <row r="48" spans="1:1" ht="14.5" x14ac:dyDescent="0.35">
      <c r="A48" s="125"/>
    </row>
    <row r="49" spans="1:1" ht="14.5" x14ac:dyDescent="0.35">
      <c r="A49" s="125"/>
    </row>
    <row r="50" spans="1:1" ht="14.5" x14ac:dyDescent="0.35">
      <c r="A50" s="125"/>
    </row>
    <row r="51" spans="1:1" ht="14.5" x14ac:dyDescent="0.35">
      <c r="A51" s="125"/>
    </row>
    <row r="52" spans="1:1" ht="14.5" x14ac:dyDescent="0.35">
      <c r="A52" s="125"/>
    </row>
    <row r="53" spans="1:1" ht="14.5" x14ac:dyDescent="0.35">
      <c r="A53" s="125"/>
    </row>
    <row r="54" spans="1:1" ht="14.5" x14ac:dyDescent="0.35">
      <c r="A54" s="125"/>
    </row>
    <row r="55" spans="1:1" ht="14.5" x14ac:dyDescent="0.35">
      <c r="A55" s="125"/>
    </row>
    <row r="56" spans="1:1" ht="14.5" x14ac:dyDescent="0.35">
      <c r="A56" s="125"/>
    </row>
    <row r="57" spans="1:1" ht="14.5" x14ac:dyDescent="0.35">
      <c r="A57" s="125"/>
    </row>
    <row r="58" spans="1:1" ht="14.5" x14ac:dyDescent="0.35">
      <c r="A58" s="125"/>
    </row>
    <row r="59" spans="1:1" ht="14.5" x14ac:dyDescent="0.35">
      <c r="A59" s="125"/>
    </row>
    <row r="60" spans="1:1" ht="14.5" x14ac:dyDescent="0.35">
      <c r="A60" s="125"/>
    </row>
    <row r="61" spans="1:1" ht="14.5" x14ac:dyDescent="0.35">
      <c r="A61" s="125"/>
    </row>
    <row r="62" spans="1:1" ht="14.5" x14ac:dyDescent="0.35">
      <c r="A62" s="125"/>
    </row>
    <row r="63" spans="1:1" ht="14.5" x14ac:dyDescent="0.35">
      <c r="A63" s="125"/>
    </row>
    <row r="64" spans="1:1" ht="14.5" x14ac:dyDescent="0.35">
      <c r="A64" s="125"/>
    </row>
    <row r="65" spans="1:1" ht="14.5" x14ac:dyDescent="0.35">
      <c r="A65" s="125"/>
    </row>
    <row r="66" spans="1:1" ht="14.5" x14ac:dyDescent="0.35">
      <c r="A66" s="125"/>
    </row>
    <row r="67" spans="1:1" ht="14.5" x14ac:dyDescent="0.35">
      <c r="A67" s="125"/>
    </row>
    <row r="68" spans="1:1" ht="14.5" x14ac:dyDescent="0.35">
      <c r="A68" s="125"/>
    </row>
    <row r="69" spans="1:1" ht="14.5" x14ac:dyDescent="0.35">
      <c r="A69" s="125"/>
    </row>
    <row r="70" spans="1:1" ht="14.5" x14ac:dyDescent="0.35">
      <c r="A70" s="125"/>
    </row>
    <row r="71" spans="1:1" ht="14.5" x14ac:dyDescent="0.35">
      <c r="A71" s="125"/>
    </row>
    <row r="72" spans="1:1" ht="14.5" x14ac:dyDescent="0.35">
      <c r="A72" s="125"/>
    </row>
    <row r="73" spans="1:1" ht="14.5" x14ac:dyDescent="0.35">
      <c r="A73" s="125"/>
    </row>
    <row r="74" spans="1:1" ht="14.5" x14ac:dyDescent="0.35">
      <c r="A74" s="125"/>
    </row>
    <row r="75" spans="1:1" ht="14.5" x14ac:dyDescent="0.35">
      <c r="A75" s="125"/>
    </row>
    <row r="76" spans="1:1" ht="14.5" x14ac:dyDescent="0.35">
      <c r="A76" s="125"/>
    </row>
    <row r="77" spans="1:1" ht="14.5" x14ac:dyDescent="0.35">
      <c r="A77" s="125"/>
    </row>
    <row r="78" spans="1:1" ht="14.5" x14ac:dyDescent="0.35">
      <c r="A78" s="125"/>
    </row>
    <row r="79" spans="1:1" ht="14.5" x14ac:dyDescent="0.35">
      <c r="A79" s="125"/>
    </row>
    <row r="80" spans="1:1" ht="14.5" x14ac:dyDescent="0.35">
      <c r="A80" s="125"/>
    </row>
    <row r="81" spans="1:1" ht="14.5" x14ac:dyDescent="0.35">
      <c r="A81" s="125"/>
    </row>
    <row r="82" spans="1:1" ht="14.5" x14ac:dyDescent="0.35">
      <c r="A82" s="125"/>
    </row>
    <row r="83" spans="1:1" ht="14.5" x14ac:dyDescent="0.35">
      <c r="A83" s="125"/>
    </row>
    <row r="84" spans="1:1" ht="14.5" x14ac:dyDescent="0.35">
      <c r="A84" s="125"/>
    </row>
    <row r="85" spans="1:1" ht="14.5" x14ac:dyDescent="0.35">
      <c r="A85" s="125"/>
    </row>
    <row r="86" spans="1:1" ht="14.5" x14ac:dyDescent="0.35">
      <c r="A86" s="125"/>
    </row>
    <row r="87" spans="1:1" ht="14.5" x14ac:dyDescent="0.35">
      <c r="A87" s="125"/>
    </row>
    <row r="88" spans="1:1" ht="14.5" x14ac:dyDescent="0.35">
      <c r="A88" s="125"/>
    </row>
    <row r="89" spans="1:1" ht="14.5" x14ac:dyDescent="0.35">
      <c r="A89" s="125"/>
    </row>
    <row r="90" spans="1:1" ht="14.5" x14ac:dyDescent="0.35">
      <c r="A90" s="125"/>
    </row>
    <row r="91" spans="1:1" ht="14.5" x14ac:dyDescent="0.35">
      <c r="A91" s="125"/>
    </row>
    <row r="92" spans="1:1" ht="14.5" x14ac:dyDescent="0.35">
      <c r="A92" s="125"/>
    </row>
    <row r="93" spans="1:1" ht="14.5" x14ac:dyDescent="0.35">
      <c r="A93" s="125"/>
    </row>
    <row r="94" spans="1:1" ht="14.5" x14ac:dyDescent="0.35">
      <c r="A94" s="125"/>
    </row>
    <row r="95" spans="1:1" ht="14.5" x14ac:dyDescent="0.35">
      <c r="A95" s="125"/>
    </row>
    <row r="96" spans="1:1" ht="14.5" x14ac:dyDescent="0.35">
      <c r="A96" s="125"/>
    </row>
    <row r="97" spans="1:1" ht="14.5" x14ac:dyDescent="0.35">
      <c r="A97" s="125"/>
    </row>
    <row r="98" spans="1:1" ht="14.5" x14ac:dyDescent="0.35">
      <c r="A98" s="125"/>
    </row>
    <row r="99" spans="1:1" ht="14.5" x14ac:dyDescent="0.35">
      <c r="A99" s="125"/>
    </row>
    <row r="100" spans="1:1" ht="14.5" x14ac:dyDescent="0.35">
      <c r="A100" s="125"/>
    </row>
    <row r="101" spans="1:1" ht="14.5" x14ac:dyDescent="0.35">
      <c r="A101" s="125"/>
    </row>
    <row r="102" spans="1:1" ht="14.5" x14ac:dyDescent="0.35">
      <c r="A102" s="125"/>
    </row>
    <row r="103" spans="1:1" ht="14.5" x14ac:dyDescent="0.35">
      <c r="A103" s="125"/>
    </row>
    <row r="104" spans="1:1" ht="14.5" x14ac:dyDescent="0.35">
      <c r="A104" s="125"/>
    </row>
    <row r="105" spans="1:1" ht="14.5" x14ac:dyDescent="0.35">
      <c r="A105" s="125"/>
    </row>
    <row r="106" spans="1:1" ht="14.5" x14ac:dyDescent="0.35">
      <c r="A106" s="125"/>
    </row>
    <row r="107" spans="1:1" ht="14.5" x14ac:dyDescent="0.35">
      <c r="A107" s="125"/>
    </row>
    <row r="108" spans="1:1" ht="14.5" x14ac:dyDescent="0.35">
      <c r="A108" s="125"/>
    </row>
    <row r="109" spans="1:1" ht="14.5" x14ac:dyDescent="0.35">
      <c r="A109" s="125"/>
    </row>
    <row r="110" spans="1:1" ht="14.5" x14ac:dyDescent="0.35">
      <c r="A110" s="125"/>
    </row>
    <row r="111" spans="1:1" ht="14.5" x14ac:dyDescent="0.35">
      <c r="A111" s="125"/>
    </row>
    <row r="112" spans="1:1" ht="14.5" x14ac:dyDescent="0.35">
      <c r="A112" s="125"/>
    </row>
    <row r="113" spans="1:1" ht="14.5" x14ac:dyDescent="0.35">
      <c r="A113" s="125"/>
    </row>
    <row r="114" spans="1:1" ht="14.5" x14ac:dyDescent="0.35">
      <c r="A114" s="125"/>
    </row>
    <row r="115" spans="1:1" ht="14.5" x14ac:dyDescent="0.35">
      <c r="A115" s="125"/>
    </row>
    <row r="116" spans="1:1" ht="14.5" x14ac:dyDescent="0.35">
      <c r="A116" s="125"/>
    </row>
    <row r="117" spans="1:1" ht="14.5" x14ac:dyDescent="0.35">
      <c r="A117" s="125"/>
    </row>
    <row r="118" spans="1:1" ht="14.5" x14ac:dyDescent="0.35">
      <c r="A118" s="125"/>
    </row>
    <row r="119" spans="1:1" ht="14.5" x14ac:dyDescent="0.35">
      <c r="A119" s="125"/>
    </row>
    <row r="120" spans="1:1" ht="14.5" x14ac:dyDescent="0.35">
      <c r="A120" s="125"/>
    </row>
    <row r="121" spans="1:1" ht="14.5" x14ac:dyDescent="0.35">
      <c r="A121" s="125"/>
    </row>
    <row r="122" spans="1:1" ht="14.5" x14ac:dyDescent="0.35">
      <c r="A122" s="125"/>
    </row>
    <row r="123" spans="1:1" ht="14.5" x14ac:dyDescent="0.35">
      <c r="A123" s="125"/>
    </row>
    <row r="124" spans="1:1" ht="14.5" x14ac:dyDescent="0.35">
      <c r="A124" s="125"/>
    </row>
    <row r="125" spans="1:1" ht="14.5" x14ac:dyDescent="0.35">
      <c r="A125" s="125"/>
    </row>
    <row r="126" spans="1:1" ht="14.5" x14ac:dyDescent="0.35">
      <c r="A126" s="125"/>
    </row>
    <row r="127" spans="1:1" ht="14.5" x14ac:dyDescent="0.35">
      <c r="A127" s="125"/>
    </row>
    <row r="128" spans="1:1" ht="14.5" x14ac:dyDescent="0.35">
      <c r="A128" s="125"/>
    </row>
    <row r="129" spans="1:1" ht="14.5" x14ac:dyDescent="0.35">
      <c r="A129" s="125"/>
    </row>
    <row r="130" spans="1:1" ht="14.5" x14ac:dyDescent="0.35">
      <c r="A130" s="125"/>
    </row>
    <row r="131" spans="1:1" ht="14.5" x14ac:dyDescent="0.35">
      <c r="A131" s="125"/>
    </row>
    <row r="132" spans="1:1" ht="14.5" x14ac:dyDescent="0.35">
      <c r="A132" s="125"/>
    </row>
    <row r="133" spans="1:1" ht="14.5" x14ac:dyDescent="0.35">
      <c r="A133" s="125"/>
    </row>
    <row r="134" spans="1:1" ht="14.5" x14ac:dyDescent="0.35">
      <c r="A134" s="125"/>
    </row>
    <row r="135" spans="1:1" ht="14.5" x14ac:dyDescent="0.35">
      <c r="A135" s="125"/>
    </row>
    <row r="136" spans="1:1" ht="14.5" x14ac:dyDescent="0.35">
      <c r="A136" s="125"/>
    </row>
    <row r="137" spans="1:1" ht="14.5" x14ac:dyDescent="0.35">
      <c r="A137" s="125"/>
    </row>
    <row r="138" spans="1:1" ht="14.5" x14ac:dyDescent="0.35">
      <c r="A138" s="125"/>
    </row>
    <row r="139" spans="1:1" ht="14.5" x14ac:dyDescent="0.35">
      <c r="A139" s="125"/>
    </row>
    <row r="140" spans="1:1" ht="14.5" x14ac:dyDescent="0.35">
      <c r="A140" s="125"/>
    </row>
    <row r="141" spans="1:1" ht="14.5" x14ac:dyDescent="0.35">
      <c r="A141" s="125"/>
    </row>
    <row r="142" spans="1:1" ht="14.5" x14ac:dyDescent="0.35">
      <c r="A142" s="125"/>
    </row>
    <row r="143" spans="1:1" ht="14.5" x14ac:dyDescent="0.35">
      <c r="A143" s="125"/>
    </row>
    <row r="144" spans="1:1" ht="14.5" x14ac:dyDescent="0.35">
      <c r="A144" s="125"/>
    </row>
    <row r="145" spans="1:1" ht="14.5" x14ac:dyDescent="0.35">
      <c r="A145" s="125"/>
    </row>
    <row r="146" spans="1:1" ht="14.5" x14ac:dyDescent="0.35">
      <c r="A146" s="125"/>
    </row>
    <row r="147" spans="1:1" ht="14.5" x14ac:dyDescent="0.35">
      <c r="A147" s="125"/>
    </row>
    <row r="148" spans="1:1" ht="14.5" x14ac:dyDescent="0.35">
      <c r="A148" s="125"/>
    </row>
    <row r="149" spans="1:1" ht="14.5" x14ac:dyDescent="0.35">
      <c r="A149" s="125"/>
    </row>
    <row r="150" spans="1:1" ht="14.5" x14ac:dyDescent="0.35">
      <c r="A150" s="125"/>
    </row>
    <row r="151" spans="1:1" ht="14.5" x14ac:dyDescent="0.35">
      <c r="A151" s="125"/>
    </row>
    <row r="152" spans="1:1" ht="14.5" x14ac:dyDescent="0.35">
      <c r="A152" s="125"/>
    </row>
    <row r="153" spans="1:1" ht="14.5" x14ac:dyDescent="0.35">
      <c r="A153" s="125"/>
    </row>
    <row r="154" spans="1:1" ht="14.5" x14ac:dyDescent="0.35">
      <c r="A154" s="125"/>
    </row>
    <row r="155" spans="1:1" ht="14.5" x14ac:dyDescent="0.35">
      <c r="A155" s="125"/>
    </row>
    <row r="156" spans="1:1" ht="14.5" x14ac:dyDescent="0.35">
      <c r="A156" s="125"/>
    </row>
    <row r="157" spans="1:1" ht="14.5" x14ac:dyDescent="0.35">
      <c r="A157" s="125"/>
    </row>
    <row r="158" spans="1:1" ht="14.5" x14ac:dyDescent="0.35">
      <c r="A158" s="125"/>
    </row>
    <row r="159" spans="1:1" ht="14.5" x14ac:dyDescent="0.35">
      <c r="A159" s="125"/>
    </row>
    <row r="160" spans="1:1" ht="14.5" x14ac:dyDescent="0.35">
      <c r="A160" s="125"/>
    </row>
    <row r="161" spans="1:1" ht="14.5" x14ac:dyDescent="0.35">
      <c r="A161" s="125"/>
    </row>
    <row r="162" spans="1:1" ht="14.5" x14ac:dyDescent="0.35">
      <c r="A162" s="125"/>
    </row>
    <row r="163" spans="1:1" ht="14.5" x14ac:dyDescent="0.35">
      <c r="A163" s="125"/>
    </row>
    <row r="164" spans="1:1" ht="14.5" x14ac:dyDescent="0.35">
      <c r="A164" s="125"/>
    </row>
    <row r="165" spans="1:1" ht="14.5" x14ac:dyDescent="0.35">
      <c r="A165" s="125"/>
    </row>
    <row r="166" spans="1:1" ht="14.5" x14ac:dyDescent="0.35">
      <c r="A166" s="125"/>
    </row>
    <row r="167" spans="1:1" ht="14.5" x14ac:dyDescent="0.35">
      <c r="A167" s="125"/>
    </row>
    <row r="168" spans="1:1" ht="14.5" x14ac:dyDescent="0.35">
      <c r="A168" s="125"/>
    </row>
    <row r="169" spans="1:1" ht="14.5" x14ac:dyDescent="0.35">
      <c r="A169" s="125"/>
    </row>
    <row r="170" spans="1:1" ht="14.5" x14ac:dyDescent="0.35">
      <c r="A170" s="125"/>
    </row>
    <row r="171" spans="1:1" ht="14.5" x14ac:dyDescent="0.35">
      <c r="A171" s="125"/>
    </row>
    <row r="172" spans="1:1" ht="14.5" x14ac:dyDescent="0.35">
      <c r="A172" s="125"/>
    </row>
    <row r="173" spans="1:1" ht="14.5" x14ac:dyDescent="0.35">
      <c r="A173" s="125"/>
    </row>
    <row r="174" spans="1:1" ht="14.5" x14ac:dyDescent="0.35">
      <c r="A174" s="125"/>
    </row>
    <row r="175" spans="1:1" ht="14.5" x14ac:dyDescent="0.35">
      <c r="A175" s="125"/>
    </row>
    <row r="176" spans="1:1" ht="14.5" x14ac:dyDescent="0.35">
      <c r="A176" s="125"/>
    </row>
    <row r="177" spans="1:1" ht="14.5" x14ac:dyDescent="0.35">
      <c r="A177" s="125"/>
    </row>
    <row r="178" spans="1:1" ht="14.5" x14ac:dyDescent="0.35">
      <c r="A178" s="125"/>
    </row>
    <row r="179" spans="1:1" ht="14.5" x14ac:dyDescent="0.35">
      <c r="A179" s="125"/>
    </row>
    <row r="180" spans="1:1" ht="14.5" x14ac:dyDescent="0.35">
      <c r="A180" s="125"/>
    </row>
    <row r="181" spans="1:1" ht="14.5" x14ac:dyDescent="0.35">
      <c r="A181" s="125"/>
    </row>
    <row r="182" spans="1:1" ht="14.5" x14ac:dyDescent="0.35">
      <c r="A182" s="125"/>
    </row>
    <row r="183" spans="1:1" ht="14.5" x14ac:dyDescent="0.35">
      <c r="A183" s="125"/>
    </row>
    <row r="184" spans="1:1" ht="14.5" x14ac:dyDescent="0.35">
      <c r="A184" s="125"/>
    </row>
    <row r="185" spans="1:1" ht="14.5" x14ac:dyDescent="0.35">
      <c r="A185" s="125"/>
    </row>
    <row r="186" spans="1:1" ht="14.5" x14ac:dyDescent="0.35">
      <c r="A186" s="125"/>
    </row>
    <row r="187" spans="1:1" ht="14.5" x14ac:dyDescent="0.35">
      <c r="A187" s="125"/>
    </row>
    <row r="188" spans="1:1" ht="14.5" x14ac:dyDescent="0.35">
      <c r="A188" s="125"/>
    </row>
    <row r="189" spans="1:1" ht="14.5" x14ac:dyDescent="0.35">
      <c r="A189" s="125"/>
    </row>
    <row r="190" spans="1:1" ht="14.5" x14ac:dyDescent="0.35">
      <c r="A190" s="125"/>
    </row>
    <row r="191" spans="1:1" ht="14.5" x14ac:dyDescent="0.35">
      <c r="A191" s="125"/>
    </row>
    <row r="192" spans="1:1" ht="14.5" x14ac:dyDescent="0.35">
      <c r="A192" s="125"/>
    </row>
    <row r="193" spans="1:1" ht="14.5" x14ac:dyDescent="0.35">
      <c r="A193" s="125"/>
    </row>
    <row r="194" spans="1:1" ht="14.5" x14ac:dyDescent="0.35">
      <c r="A194" s="125"/>
    </row>
    <row r="195" spans="1:1" ht="14.5" x14ac:dyDescent="0.35">
      <c r="A195" s="125"/>
    </row>
    <row r="196" spans="1:1" ht="14.5" x14ac:dyDescent="0.35">
      <c r="A196" s="125"/>
    </row>
    <row r="197" spans="1:1" ht="14.5" x14ac:dyDescent="0.35">
      <c r="A197" s="125"/>
    </row>
    <row r="198" spans="1:1" ht="14.5" x14ac:dyDescent="0.35">
      <c r="A198" s="125"/>
    </row>
    <row r="199" spans="1:1" ht="14.5" x14ac:dyDescent="0.35">
      <c r="A199" s="125"/>
    </row>
    <row r="200" spans="1:1" ht="14.5" x14ac:dyDescent="0.35">
      <c r="A200" s="125"/>
    </row>
    <row r="201" spans="1:1" ht="14.5" x14ac:dyDescent="0.35">
      <c r="A201" s="125"/>
    </row>
    <row r="202" spans="1:1" ht="14.5" x14ac:dyDescent="0.35">
      <c r="A202" s="125"/>
    </row>
    <row r="203" spans="1:1" ht="14.5" x14ac:dyDescent="0.35">
      <c r="A203" s="125"/>
    </row>
    <row r="204" spans="1:1" ht="14.5" x14ac:dyDescent="0.35">
      <c r="A204" s="125"/>
    </row>
    <row r="205" spans="1:1" ht="14.5" x14ac:dyDescent="0.35">
      <c r="A205" s="125"/>
    </row>
    <row r="206" spans="1:1" ht="14.5" x14ac:dyDescent="0.35">
      <c r="A206" s="125"/>
    </row>
    <row r="207" spans="1:1" ht="14.5" x14ac:dyDescent="0.35">
      <c r="A207" s="125"/>
    </row>
    <row r="208" spans="1:1" ht="14.5" x14ac:dyDescent="0.35">
      <c r="A208" s="125"/>
    </row>
    <row r="209" spans="1:1" ht="14.5" x14ac:dyDescent="0.35">
      <c r="A209" s="125"/>
    </row>
    <row r="210" spans="1:1" ht="14.5" x14ac:dyDescent="0.35">
      <c r="A210" s="125"/>
    </row>
    <row r="211" spans="1:1" ht="14.5" x14ac:dyDescent="0.35">
      <c r="A211" s="125"/>
    </row>
    <row r="212" spans="1:1" ht="14.5" x14ac:dyDescent="0.35">
      <c r="A212" s="125"/>
    </row>
    <row r="213" spans="1:1" ht="14.5" x14ac:dyDescent="0.35">
      <c r="A213" s="125"/>
    </row>
    <row r="214" spans="1:1" ht="14.5" x14ac:dyDescent="0.35">
      <c r="A214" s="125"/>
    </row>
    <row r="215" spans="1:1" ht="14.5" x14ac:dyDescent="0.35">
      <c r="A215" s="125"/>
    </row>
    <row r="216" spans="1:1" ht="14.5" x14ac:dyDescent="0.35">
      <c r="A216" s="125"/>
    </row>
    <row r="217" spans="1:1" ht="14.5" x14ac:dyDescent="0.35">
      <c r="A217" s="125"/>
    </row>
    <row r="218" spans="1:1" ht="14.5" x14ac:dyDescent="0.35">
      <c r="A218" s="125"/>
    </row>
    <row r="219" spans="1:1" ht="14.5" x14ac:dyDescent="0.35">
      <c r="A219" s="125"/>
    </row>
    <row r="220" spans="1:1" ht="14.5" x14ac:dyDescent="0.35">
      <c r="A220" s="125"/>
    </row>
    <row r="221" spans="1:1" ht="14.5" x14ac:dyDescent="0.35">
      <c r="A221" s="125"/>
    </row>
    <row r="222" spans="1:1" ht="14.5" x14ac:dyDescent="0.35">
      <c r="A222" s="125"/>
    </row>
    <row r="223" spans="1:1" ht="14.5" x14ac:dyDescent="0.35">
      <c r="A223" s="125"/>
    </row>
    <row r="224" spans="1:1" ht="14.5" x14ac:dyDescent="0.35">
      <c r="A224" s="125"/>
    </row>
    <row r="225" spans="1:1" ht="14.5" x14ac:dyDescent="0.35">
      <c r="A225" s="125"/>
    </row>
    <row r="226" spans="1:1" ht="14.5" x14ac:dyDescent="0.35">
      <c r="A226" s="125"/>
    </row>
    <row r="227" spans="1:1" ht="14.5" x14ac:dyDescent="0.35">
      <c r="A227" s="125"/>
    </row>
    <row r="228" spans="1:1" ht="14.5" x14ac:dyDescent="0.35">
      <c r="A228" s="125"/>
    </row>
    <row r="229" spans="1:1" ht="14.5" x14ac:dyDescent="0.35">
      <c r="A229" s="125"/>
    </row>
    <row r="230" spans="1:1" ht="14.5" x14ac:dyDescent="0.35">
      <c r="A230" s="125"/>
    </row>
    <row r="231" spans="1:1" ht="14.5" x14ac:dyDescent="0.35">
      <c r="A231" s="125"/>
    </row>
    <row r="232" spans="1:1" ht="14.5" x14ac:dyDescent="0.35">
      <c r="A232" s="125"/>
    </row>
    <row r="233" spans="1:1" ht="14.5" x14ac:dyDescent="0.35">
      <c r="A233" s="125"/>
    </row>
    <row r="234" spans="1:1" ht="14.5" x14ac:dyDescent="0.35">
      <c r="A234" s="125"/>
    </row>
    <row r="235" spans="1:1" ht="14.5" x14ac:dyDescent="0.35">
      <c r="A235" s="125"/>
    </row>
    <row r="236" spans="1:1" ht="14.5" x14ac:dyDescent="0.35">
      <c r="A236" s="125"/>
    </row>
    <row r="237" spans="1:1" ht="14.5" x14ac:dyDescent="0.35">
      <c r="A237" s="125"/>
    </row>
    <row r="238" spans="1:1" ht="14.5" x14ac:dyDescent="0.35">
      <c r="A238" s="125"/>
    </row>
    <row r="239" spans="1:1" ht="14.5" x14ac:dyDescent="0.35">
      <c r="A239" s="125"/>
    </row>
    <row r="240" spans="1:1" ht="14.5" x14ac:dyDescent="0.35">
      <c r="A240" s="125"/>
    </row>
    <row r="241" spans="1:1" ht="14.5" x14ac:dyDescent="0.35">
      <c r="A241" s="125"/>
    </row>
    <row r="242" spans="1:1" ht="14.5" x14ac:dyDescent="0.35">
      <c r="A242" s="125"/>
    </row>
    <row r="243" spans="1:1" ht="14.5" x14ac:dyDescent="0.35">
      <c r="A243" s="125"/>
    </row>
    <row r="244" spans="1:1" ht="14.5" x14ac:dyDescent="0.35">
      <c r="A244" s="125"/>
    </row>
    <row r="245" spans="1:1" ht="14.5" x14ac:dyDescent="0.35">
      <c r="A245" s="125"/>
    </row>
    <row r="246" spans="1:1" ht="14.5" x14ac:dyDescent="0.35">
      <c r="A246" s="125"/>
    </row>
    <row r="247" spans="1:1" ht="14.5" x14ac:dyDescent="0.35">
      <c r="A247" s="125"/>
    </row>
  </sheetData>
  <mergeCells count="3">
    <mergeCell ref="L4:L6"/>
    <mergeCell ref="G5:G6"/>
    <mergeCell ref="H5:H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249977111117893"/>
  </sheetPr>
  <dimension ref="A1:K134"/>
  <sheetViews>
    <sheetView showGridLines="0" zoomScale="80" zoomScaleNormal="80" workbookViewId="0"/>
  </sheetViews>
  <sheetFormatPr defaultColWidth="8.1640625" defaultRowHeight="13" x14ac:dyDescent="0.3"/>
  <cols>
    <col min="1" max="1" width="35.1640625" style="1" customWidth="1"/>
    <col min="2" max="2" width="15.1640625" style="1" customWidth="1"/>
    <col min="3" max="3" width="106.1640625" style="191" customWidth="1"/>
    <col min="4" max="4" width="7.6640625" style="1" customWidth="1"/>
    <col min="5" max="5" width="40.6640625" style="191" customWidth="1"/>
    <col min="6" max="6" width="41.6640625" style="1" customWidth="1"/>
    <col min="7" max="8" width="7.6640625" style="1" customWidth="1"/>
    <col min="9" max="9" width="2.1640625" style="1" customWidth="1"/>
    <col min="10" max="13" width="7.6640625" style="1" customWidth="1"/>
    <col min="14" max="16384" width="8.1640625" style="1"/>
  </cols>
  <sheetData>
    <row r="1" spans="1:8" s="179" customFormat="1" ht="18.5" x14ac:dyDescent="0.3">
      <c r="A1" s="180" t="s">
        <v>255</v>
      </c>
      <c r="B1" s="180"/>
      <c r="C1" s="181"/>
      <c r="D1" s="180"/>
      <c r="E1" s="181"/>
      <c r="F1" s="1"/>
      <c r="G1" s="182"/>
      <c r="H1" s="183"/>
    </row>
    <row r="2" spans="1:8" s="184" customFormat="1" ht="18.5" x14ac:dyDescent="0.3">
      <c r="A2" s="185"/>
      <c r="B2" s="185"/>
      <c r="C2" s="186"/>
      <c r="D2" s="185"/>
      <c r="E2" s="186"/>
      <c r="F2" s="6"/>
      <c r="G2" s="187"/>
      <c r="H2" s="188"/>
    </row>
    <row r="3" spans="1:8" s="179" customFormat="1" ht="18.5" x14ac:dyDescent="0.3">
      <c r="A3" s="5" t="s">
        <v>210</v>
      </c>
      <c r="B3" s="189"/>
      <c r="C3" s="190"/>
      <c r="D3" s="1"/>
      <c r="E3" s="191"/>
      <c r="F3" s="1"/>
      <c r="G3" s="182"/>
      <c r="H3" s="183"/>
    </row>
    <row r="4" spans="1:8" x14ac:dyDescent="0.3">
      <c r="A4" s="147" t="s">
        <v>46</v>
      </c>
      <c r="B4" s="226" t="s">
        <v>228</v>
      </c>
      <c r="C4" s="1"/>
    </row>
    <row r="5" spans="1:8" x14ac:dyDescent="0.3">
      <c r="A5" s="147" t="s">
        <v>118</v>
      </c>
      <c r="B5" s="227" t="s">
        <v>246</v>
      </c>
      <c r="C5" s="1"/>
    </row>
    <row r="6" spans="1:8" x14ac:dyDescent="0.3">
      <c r="A6" s="147" t="s">
        <v>211</v>
      </c>
      <c r="B6" s="192" t="s">
        <v>67</v>
      </c>
      <c r="C6" s="1"/>
      <c r="D6" s="193"/>
      <c r="E6" s="1"/>
    </row>
    <row r="7" spans="1:8" x14ac:dyDescent="0.3">
      <c r="A7" s="147" t="s">
        <v>212</v>
      </c>
      <c r="B7" s="194" t="s">
        <v>74</v>
      </c>
      <c r="C7" s="1"/>
      <c r="D7" s="193"/>
      <c r="E7" s="1"/>
    </row>
    <row r="8" spans="1:8" x14ac:dyDescent="0.3">
      <c r="A8" s="195" t="s">
        <v>6</v>
      </c>
      <c r="B8" s="196" t="s">
        <v>16</v>
      </c>
      <c r="C8" s="1"/>
      <c r="D8" s="193"/>
      <c r="E8" s="1"/>
    </row>
    <row r="9" spans="1:8" x14ac:dyDescent="0.3">
      <c r="A9" s="195" t="s">
        <v>50</v>
      </c>
      <c r="B9" s="196" t="s">
        <v>51</v>
      </c>
      <c r="C9" s="197"/>
      <c r="D9" s="193"/>
      <c r="E9" s="1"/>
    </row>
    <row r="10" spans="1:8" x14ac:dyDescent="0.3">
      <c r="A10" s="195" t="s">
        <v>213</v>
      </c>
      <c r="B10" s="228">
        <f>SUM(Data!D129:D133)</f>
        <v>15.047000000000001</v>
      </c>
      <c r="C10" s="1"/>
      <c r="D10" s="193"/>
      <c r="E10" s="1"/>
    </row>
    <row r="11" spans="1:8" x14ac:dyDescent="0.3">
      <c r="A11" s="5" t="s">
        <v>130</v>
      </c>
      <c r="C11" s="1"/>
      <c r="E11" s="1"/>
    </row>
    <row r="12" spans="1:8" ht="14.5" x14ac:dyDescent="0.35">
      <c r="A12" s="2" t="s">
        <v>216</v>
      </c>
      <c r="B12" s="2">
        <v>10.308</v>
      </c>
      <c r="C12" s="161" t="s">
        <v>221</v>
      </c>
      <c r="E12" s="1"/>
    </row>
    <row r="13" spans="1:8" ht="14.5" x14ac:dyDescent="0.35">
      <c r="A13" s="199"/>
      <c r="B13" s="200"/>
      <c r="C13" s="201"/>
      <c r="E13" s="1"/>
    </row>
    <row r="14" spans="1:8" x14ac:dyDescent="0.3">
      <c r="A14" s="5" t="s">
        <v>119</v>
      </c>
    </row>
    <row r="15" spans="1:8" x14ac:dyDescent="0.3">
      <c r="A15" s="202" t="s">
        <v>120</v>
      </c>
      <c r="B15" s="43"/>
      <c r="E15" s="203" t="s">
        <v>121</v>
      </c>
    </row>
    <row r="16" spans="1:8" ht="364" x14ac:dyDescent="0.3">
      <c r="A16" s="195" t="s">
        <v>122</v>
      </c>
      <c r="B16" s="204" t="s">
        <v>215</v>
      </c>
      <c r="C16" s="205" t="s">
        <v>254</v>
      </c>
      <c r="E16" s="205" t="s">
        <v>232</v>
      </c>
    </row>
    <row r="17" spans="1:5" ht="52" x14ac:dyDescent="0.3">
      <c r="A17" s="195" t="s">
        <v>123</v>
      </c>
      <c r="B17" s="204" t="s">
        <v>215</v>
      </c>
      <c r="C17" s="205" t="s">
        <v>233</v>
      </c>
      <c r="E17" s="205" t="s">
        <v>236</v>
      </c>
    </row>
    <row r="18" spans="1:5" ht="40" customHeight="1" x14ac:dyDescent="0.3">
      <c r="A18" s="195" t="s">
        <v>124</v>
      </c>
      <c r="B18" s="204" t="s">
        <v>214</v>
      </c>
      <c r="C18" s="205" t="s">
        <v>252</v>
      </c>
      <c r="E18" s="205" t="s">
        <v>236</v>
      </c>
    </row>
    <row r="19" spans="1:5" ht="39" customHeight="1" x14ac:dyDescent="0.3">
      <c r="A19" s="195" t="s">
        <v>125</v>
      </c>
      <c r="B19" s="204" t="s">
        <v>215</v>
      </c>
      <c r="C19" s="205" t="s">
        <v>237</v>
      </c>
      <c r="E19" s="205" t="s">
        <v>236</v>
      </c>
    </row>
    <row r="20" spans="1:5" ht="43.4" customHeight="1" x14ac:dyDescent="0.3">
      <c r="A20" s="195" t="s">
        <v>126</v>
      </c>
      <c r="B20" s="206" t="s">
        <v>215</v>
      </c>
      <c r="C20" s="205" t="s">
        <v>234</v>
      </c>
      <c r="E20" s="205" t="s">
        <v>236</v>
      </c>
    </row>
    <row r="21" spans="1:5" ht="39" x14ac:dyDescent="0.3">
      <c r="A21" s="195" t="s">
        <v>127</v>
      </c>
      <c r="B21" s="195" t="s">
        <v>214</v>
      </c>
      <c r="C21" s="195" t="s">
        <v>238</v>
      </c>
      <c r="E21" s="163" t="s">
        <v>236</v>
      </c>
    </row>
    <row r="22" spans="1:5" x14ac:dyDescent="0.3">
      <c r="A22" s="195" t="s">
        <v>128</v>
      </c>
      <c r="B22" s="195" t="s">
        <v>231</v>
      </c>
      <c r="C22" s="205"/>
      <c r="E22" s="205"/>
    </row>
    <row r="23" spans="1:5" ht="52" x14ac:dyDescent="0.3">
      <c r="A23" s="195" t="s">
        <v>129</v>
      </c>
      <c r="B23" s="195" t="s">
        <v>215</v>
      </c>
      <c r="C23" s="205" t="s">
        <v>235</v>
      </c>
      <c r="E23" s="205" t="s">
        <v>185</v>
      </c>
    </row>
    <row r="24" spans="1:5" x14ac:dyDescent="0.3">
      <c r="A24" s="198"/>
      <c r="B24" s="198"/>
      <c r="C24" s="198"/>
      <c r="E24" s="198"/>
    </row>
    <row r="25" spans="1:5" x14ac:dyDescent="0.3">
      <c r="A25" s="202" t="s">
        <v>247</v>
      </c>
      <c r="B25" s="198"/>
      <c r="C25" s="198"/>
      <c r="E25" s="198"/>
    </row>
    <row r="26" spans="1:5" x14ac:dyDescent="0.3">
      <c r="A26" s="198"/>
      <c r="B26" s="198"/>
      <c r="C26" s="198"/>
      <c r="E26" s="198"/>
    </row>
    <row r="27" spans="1:5" x14ac:dyDescent="0.3">
      <c r="A27" s="198"/>
      <c r="B27" s="198"/>
      <c r="C27" s="198"/>
      <c r="E27" s="198"/>
    </row>
    <row r="28" spans="1:5" ht="14.5" x14ac:dyDescent="0.35">
      <c r="A28" s="198"/>
      <c r="B28" s="198"/>
      <c r="C28" s="198"/>
      <c r="D28" s="125"/>
      <c r="E28" s="198"/>
    </row>
    <row r="29" spans="1:5" x14ac:dyDescent="0.3">
      <c r="A29" s="198"/>
      <c r="B29" s="198"/>
      <c r="C29" s="198"/>
      <c r="E29" s="198"/>
    </row>
    <row r="30" spans="1:5" x14ac:dyDescent="0.3">
      <c r="A30" s="198"/>
      <c r="B30" s="198"/>
      <c r="C30" s="198"/>
      <c r="E30" s="198"/>
    </row>
    <row r="31" spans="1:5" x14ac:dyDescent="0.3">
      <c r="A31" s="198"/>
      <c r="B31" s="198"/>
      <c r="C31" s="198"/>
      <c r="E31" s="198"/>
    </row>
    <row r="32" spans="1:5" x14ac:dyDescent="0.3">
      <c r="C32" s="1"/>
      <c r="E32" s="1"/>
    </row>
    <row r="33" spans="1:5" x14ac:dyDescent="0.3">
      <c r="C33" s="1"/>
      <c r="E33" s="1"/>
    </row>
    <row r="34" spans="1:5" x14ac:dyDescent="0.3">
      <c r="C34" s="1"/>
      <c r="E34" s="1"/>
    </row>
    <row r="35" spans="1:5" x14ac:dyDescent="0.3">
      <c r="C35" s="1"/>
      <c r="E35" s="1"/>
    </row>
    <row r="36" spans="1:5" x14ac:dyDescent="0.3">
      <c r="C36" s="1"/>
      <c r="E36" s="1"/>
    </row>
    <row r="37" spans="1:5" x14ac:dyDescent="0.3">
      <c r="C37" s="1"/>
      <c r="E37" s="1"/>
    </row>
    <row r="38" spans="1:5" x14ac:dyDescent="0.3">
      <c r="C38" s="1"/>
      <c r="E38" s="1"/>
    </row>
    <row r="39" spans="1:5" x14ac:dyDescent="0.3">
      <c r="C39" s="1"/>
      <c r="E39" s="1"/>
    </row>
    <row r="40" spans="1:5" x14ac:dyDescent="0.3">
      <c r="C40" s="1"/>
      <c r="E40" s="1"/>
    </row>
    <row r="41" spans="1:5" x14ac:dyDescent="0.3">
      <c r="C41" s="1"/>
      <c r="E41" s="1"/>
    </row>
    <row r="44" spans="1:5" x14ac:dyDescent="0.3">
      <c r="C44" s="1"/>
      <c r="E44" s="1"/>
    </row>
    <row r="45" spans="1:5" x14ac:dyDescent="0.3">
      <c r="A45" s="5"/>
      <c r="C45" s="1"/>
      <c r="E45" s="1"/>
    </row>
    <row r="48" spans="1:5" ht="14.5" x14ac:dyDescent="0.35">
      <c r="A48" s="125"/>
    </row>
    <row r="49" spans="1:11" x14ac:dyDescent="0.3">
      <c r="A49" s="191"/>
      <c r="B49" s="207"/>
      <c r="C49" s="207"/>
      <c r="D49" s="207"/>
      <c r="E49" s="207"/>
      <c r="F49" s="207"/>
      <c r="K49" s="182"/>
    </row>
    <row r="50" spans="1:11" x14ac:dyDescent="0.3">
      <c r="F50" s="208"/>
    </row>
    <row r="51" spans="1:11" x14ac:dyDescent="0.3">
      <c r="F51" s="208"/>
    </row>
    <row r="52" spans="1:11" x14ac:dyDescent="0.3">
      <c r="F52" s="208"/>
    </row>
    <row r="53" spans="1:11" x14ac:dyDescent="0.3">
      <c r="F53" s="208"/>
    </row>
    <row r="54" spans="1:11" x14ac:dyDescent="0.3">
      <c r="F54" s="208"/>
    </row>
    <row r="55" spans="1:11" x14ac:dyDescent="0.3">
      <c r="F55" s="208"/>
    </row>
    <row r="134" spans="7:7" s="191" customFormat="1" x14ac:dyDescent="0.3">
      <c r="G134" s="207"/>
    </row>
  </sheetData>
  <dataValidations count="5">
    <dataValidation type="list" allowBlank="1" showInputMessage="1" showErrorMessage="1" sqref="B20:B23">
      <formula1>"Pass, Partial pass, Fail, Not assessed, N/A"</formula1>
    </dataValidation>
    <dataValidation type="list" allowBlank="1" showInputMessage="1" showErrorMessage="1" sqref="B8">
      <formula1>"ANH,NES,NWT,SRN,SVE,SWB,TMS,WSH,WSX,YKY,AFW,BRL,HDD,PRT,SES,SEW,SSC"</formula1>
    </dataValidation>
    <dataValidation type="list" allowBlank="1" showInputMessage="1" showErrorMessage="1" sqref="B9">
      <formula1>"Wholesale water, Wholesale wastewater"</formula1>
    </dataValidation>
    <dataValidation type="list" allowBlank="1" showInputMessage="1" showErrorMessage="1" sqref="B16:B19">
      <formula1>"Pass, Partial pass, Fail, ,Not assessed, N/A"</formula1>
    </dataValidation>
    <dataValidation type="list" allowBlank="1" showInputMessage="1" showErrorMessage="1" sqref="B24:B25">
      <formula1>"Pass,Marginal pass, Partial pass, Fail, ,Not assessed, N/A"</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Controls</vt:lpstr>
      <vt:lpstr>Data</vt:lpstr>
      <vt:lpstr>Coeffs</vt:lpstr>
      <vt:lpstr>Forecast drivers</vt:lpstr>
      <vt:lpstr>Selected forecast drivers</vt:lpstr>
      <vt:lpstr>Modelled costs</vt:lpstr>
      <vt:lpstr>Modelled unit costs</vt:lpstr>
      <vt:lpstr>Deep dive_WSH</vt:lpstr>
      <vt:lpstr>HDD_WSH evidence</vt:lpstr>
      <vt:lpstr>Allowance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2019-01-24T09:27:02Z</dcterms:created>
  <dcterms:modified xsi:type="dcterms:W3CDTF">2019-01-25T15:27:36Z</dcterms:modified>
</cp:coreProperties>
</file>