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160" windowHeight="8510"/>
  </bookViews>
  <sheets>
    <sheet name="Cover" sheetId="22" r:id="rId1"/>
    <sheet name="Data" sheetId="41" r:id="rId2"/>
    <sheet name="Gates &amp; Shallow dive" sheetId="75" r:id="rId3"/>
    <sheet name="Analysis" sheetId="84" r:id="rId4"/>
    <sheet name="Allowance" sheetId="83" r:id="rId5"/>
  </sheets>
  <calcPr calcId="152511"/>
</workbook>
</file>

<file path=xl/calcChain.xml><?xml version="1.0" encoding="utf-8"?>
<calcChain xmlns="http://schemas.openxmlformats.org/spreadsheetml/2006/main">
  <c r="F29" i="83" l="1"/>
  <c r="I22" i="84" s="1"/>
  <c r="F25" i="83"/>
  <c r="I18" i="84" s="1"/>
  <c r="F21" i="83"/>
  <c r="I14" i="84" s="1"/>
  <c r="F17" i="83"/>
  <c r="I10" i="84" s="1"/>
  <c r="F28" i="83"/>
  <c r="I21" i="84" s="1"/>
  <c r="F24" i="83"/>
  <c r="I17" i="84" s="1"/>
  <c r="F20" i="83"/>
  <c r="I13" i="84" s="1"/>
  <c r="F16" i="83"/>
  <c r="I9" i="84" s="1"/>
  <c r="F27" i="83"/>
  <c r="I20" i="84" s="1"/>
  <c r="F23" i="83"/>
  <c r="I16" i="84" s="1"/>
  <c r="F19" i="83"/>
  <c r="I12" i="84" s="1"/>
  <c r="F15" i="83"/>
  <c r="I8" i="84" s="1"/>
  <c r="F13" i="83"/>
  <c r="I6" i="84" s="1"/>
  <c r="F26" i="83"/>
  <c r="I19" i="84" s="1"/>
  <c r="F22" i="83"/>
  <c r="I15" i="84" s="1"/>
  <c r="F18" i="83"/>
  <c r="I11" i="84" s="1"/>
  <c r="F14" i="83"/>
  <c r="I7" i="84" s="1"/>
  <c r="I23" i="84" l="1"/>
  <c r="J23" i="84"/>
  <c r="M29" i="75"/>
  <c r="M21" i="75"/>
  <c r="B29" i="75"/>
  <c r="B21" i="75"/>
  <c r="B4" i="84"/>
  <c r="L7" i="84" l="1"/>
  <c r="L11" i="84"/>
  <c r="L14" i="84"/>
  <c r="L15" i="84"/>
  <c r="L16" i="84"/>
  <c r="L17" i="84"/>
  <c r="L18" i="84"/>
  <c r="L19" i="84"/>
  <c r="L20" i="84"/>
  <c r="L21" i="84"/>
  <c r="L22" i="84"/>
  <c r="O22" i="84"/>
  <c r="O21" i="84"/>
  <c r="P21" i="84" s="1"/>
  <c r="H28" i="83" s="1"/>
  <c r="O20" i="84"/>
  <c r="O19" i="84"/>
  <c r="O18" i="84"/>
  <c r="O17" i="84"/>
  <c r="O16" i="84"/>
  <c r="O15" i="84"/>
  <c r="O14" i="84"/>
  <c r="O13" i="84"/>
  <c r="O12" i="84"/>
  <c r="O11" i="84"/>
  <c r="O10" i="84"/>
  <c r="O9" i="84"/>
  <c r="O8" i="84"/>
  <c r="O7" i="84"/>
  <c r="O6" i="84"/>
  <c r="J30" i="83" l="1"/>
  <c r="A82" i="41" l="1"/>
  <c r="A87" i="41" l="1"/>
  <c r="A83" i="41"/>
  <c r="A88" i="41" l="1"/>
  <c r="A84" i="41"/>
  <c r="A89" i="41" l="1"/>
  <c r="A85" i="41"/>
  <c r="A86" i="41"/>
  <c r="A91" i="41" l="1"/>
  <c r="A90" i="41"/>
  <c r="C8" i="84" l="1"/>
  <c r="C6" i="84"/>
  <c r="F6" i="84"/>
  <c r="E8" i="84"/>
  <c r="D8" i="84"/>
  <c r="E17" i="84" l="1"/>
  <c r="E18" i="84"/>
  <c r="C19" i="84"/>
  <c r="E6" i="84"/>
  <c r="D18" i="84"/>
  <c r="F16" i="84"/>
  <c r="F19" i="84"/>
  <c r="F18" i="84"/>
  <c r="C16" i="84"/>
  <c r="D19" i="84"/>
  <c r="C10" i="84"/>
  <c r="D13" i="84"/>
  <c r="E15" i="84"/>
  <c r="E19" i="84"/>
  <c r="E12" i="84"/>
  <c r="D15" i="84"/>
  <c r="C20" i="84"/>
  <c r="F9" i="84"/>
  <c r="E13" i="84"/>
  <c r="D22" i="84"/>
  <c r="C15" i="84"/>
  <c r="C22" i="84"/>
  <c r="E22" i="84"/>
  <c r="D21" i="84"/>
  <c r="C21" i="84"/>
  <c r="C17" i="84"/>
  <c r="E20" i="84"/>
  <c r="C11" i="84"/>
  <c r="F11" i="84"/>
  <c r="C7" i="84"/>
  <c r="F7" i="84"/>
  <c r="E11" i="84"/>
  <c r="E7" i="84"/>
  <c r="D11" i="84"/>
  <c r="D7" i="84"/>
  <c r="F10" i="84"/>
  <c r="G16" i="84"/>
  <c r="F22" i="84"/>
  <c r="F20" i="84"/>
  <c r="G19" i="84"/>
  <c r="D10" i="84"/>
  <c r="D6" i="84"/>
  <c r="F17" i="84"/>
  <c r="E10" i="84"/>
  <c r="E14" i="84"/>
  <c r="C13" i="84"/>
  <c r="C18" i="84"/>
  <c r="C12" i="84"/>
  <c r="E9" i="84"/>
  <c r="D12" i="84"/>
  <c r="C14" i="84"/>
  <c r="F13" i="84"/>
  <c r="G17" i="84"/>
  <c r="F14" i="84"/>
  <c r="F15" i="84"/>
  <c r="D17" i="84"/>
  <c r="E21" i="84"/>
  <c r="F12" i="84"/>
  <c r="D16" i="84"/>
  <c r="D9" i="84"/>
  <c r="D20" i="84"/>
  <c r="E16" i="84"/>
  <c r="F21" i="84"/>
  <c r="D14" i="84"/>
  <c r="M18" i="75" l="1"/>
  <c r="M30" i="75"/>
  <c r="M17" i="75"/>
  <c r="M19" i="75"/>
  <c r="M35" i="75"/>
  <c r="M32" i="75"/>
  <c r="M27" i="75"/>
  <c r="M31" i="75"/>
  <c r="M26" i="75"/>
  <c r="M33" i="75"/>
  <c r="M24" i="75"/>
  <c r="M25" i="75"/>
  <c r="M34" i="75"/>
  <c r="M22" i="75"/>
  <c r="M23" i="75"/>
  <c r="M28" i="75"/>
  <c r="M20" i="75"/>
  <c r="C9" i="84"/>
  <c r="C23" i="84" s="1"/>
  <c r="H19" i="84"/>
  <c r="B30" i="75" s="1"/>
  <c r="H16" i="84"/>
  <c r="B26" i="75" s="1"/>
  <c r="H17" i="84"/>
  <c r="B27" i="75" s="1"/>
  <c r="F8" i="84"/>
  <c r="F23" i="84" s="1"/>
  <c r="E23" i="84"/>
  <c r="D23" i="84"/>
  <c r="G15" i="84"/>
  <c r="H15" i="84" s="1"/>
  <c r="B25" i="75" s="1"/>
  <c r="G13" i="84"/>
  <c r="H13" i="84" s="1"/>
  <c r="B23" i="75" s="1"/>
  <c r="G10" i="84"/>
  <c r="H10" i="84" s="1"/>
  <c r="B20" i="75" s="1"/>
  <c r="G22" i="84"/>
  <c r="H22" i="84" s="1"/>
  <c r="B33" i="75" s="1"/>
  <c r="G20" i="84"/>
  <c r="H20" i="84" s="1"/>
  <c r="B31" i="75" s="1"/>
  <c r="G7" i="84"/>
  <c r="H7" i="84" s="1"/>
  <c r="B35" i="75" s="1"/>
  <c r="G11" i="84"/>
  <c r="H11" i="84" s="1"/>
  <c r="B34" i="75" s="1"/>
  <c r="G21" i="84"/>
  <c r="H21" i="84" s="1"/>
  <c r="B32" i="75" s="1"/>
  <c r="G18" i="84"/>
  <c r="H18" i="84" s="1"/>
  <c r="B28" i="75" s="1"/>
  <c r="G14" i="84"/>
  <c r="H14" i="84" s="1"/>
  <c r="B24" i="75" s="1"/>
  <c r="M7" i="84" l="1"/>
  <c r="C14" i="83"/>
  <c r="P7" i="84"/>
  <c r="H14" i="83" s="1"/>
  <c r="C27" i="83"/>
  <c r="P20" i="84"/>
  <c r="H27" i="83" s="1"/>
  <c r="M20" i="84"/>
  <c r="M22" i="84"/>
  <c r="C29" i="83"/>
  <c r="P22" i="84"/>
  <c r="H29" i="83" s="1"/>
  <c r="C22" i="83"/>
  <c r="P15" i="84"/>
  <c r="H22" i="83" s="1"/>
  <c r="M15" i="84"/>
  <c r="M21" i="84"/>
  <c r="C28" i="83"/>
  <c r="M11" i="84"/>
  <c r="C18" i="83"/>
  <c r="P11" i="84"/>
  <c r="H18" i="83" s="1"/>
  <c r="C17" i="83"/>
  <c r="C20" i="83"/>
  <c r="P13" i="84"/>
  <c r="H20" i="83" s="1"/>
  <c r="C21" i="83"/>
  <c r="P14" i="84"/>
  <c r="H21" i="83" s="1"/>
  <c r="M14" i="84"/>
  <c r="C25" i="83"/>
  <c r="P18" i="84"/>
  <c r="H25" i="83" s="1"/>
  <c r="M18" i="84"/>
  <c r="C24" i="83"/>
  <c r="P17" i="84"/>
  <c r="H24" i="83" s="1"/>
  <c r="M17" i="84"/>
  <c r="G9" i="84"/>
  <c r="H9" i="84" s="1"/>
  <c r="B19" i="75" s="1"/>
  <c r="C23" i="83"/>
  <c r="P16" i="84"/>
  <c r="H23" i="83" s="1"/>
  <c r="M16" i="84"/>
  <c r="G8" i="84"/>
  <c r="H8" i="84" s="1"/>
  <c r="G12" i="84"/>
  <c r="H12" i="84" s="1"/>
  <c r="B22" i="75" s="1"/>
  <c r="M19" i="84"/>
  <c r="C26" i="83"/>
  <c r="P19" i="84"/>
  <c r="H26" i="83" s="1"/>
  <c r="P10" i="84"/>
  <c r="H17" i="83" s="1"/>
  <c r="N21" i="75"/>
  <c r="N29" i="75"/>
  <c r="G6" i="84"/>
  <c r="P8" i="84" l="1"/>
  <c r="H15" i="83" s="1"/>
  <c r="B18" i="75"/>
  <c r="C19" i="83"/>
  <c r="P12" i="84"/>
  <c r="H19" i="83" s="1"/>
  <c r="C16" i="83"/>
  <c r="P9" i="84"/>
  <c r="H16" i="83" s="1"/>
  <c r="C15" i="83"/>
  <c r="G15" i="83" s="1"/>
  <c r="G14" i="83"/>
  <c r="H24" i="75"/>
  <c r="K24" i="75" s="1"/>
  <c r="C33" i="75"/>
  <c r="G17" i="83"/>
  <c r="G26" i="83"/>
  <c r="G24" i="83"/>
  <c r="G23" i="84" l="1"/>
  <c r="H23" i="84" s="1"/>
  <c r="H6" i="84"/>
  <c r="N24" i="75"/>
  <c r="G22" i="83"/>
  <c r="H25" i="75"/>
  <c r="K25" i="75" s="1"/>
  <c r="N25" i="75" s="1"/>
  <c r="C34" i="75"/>
  <c r="H34" i="75" s="1"/>
  <c r="K34" i="75" s="1"/>
  <c r="N34" i="75" s="1"/>
  <c r="G23" i="83"/>
  <c r="G25" i="83"/>
  <c r="G16" i="83"/>
  <c r="G20" i="83"/>
  <c r="G27" i="83"/>
  <c r="G19" i="83"/>
  <c r="G28" i="83"/>
  <c r="H35" i="75"/>
  <c r="K35" i="75" s="1"/>
  <c r="N35" i="75" s="1"/>
  <c r="H18" i="75"/>
  <c r="K18" i="75" s="1"/>
  <c r="N18" i="75" s="1"/>
  <c r="V24" i="75"/>
  <c r="Y24" i="75" s="1"/>
  <c r="H26" i="75"/>
  <c r="K26" i="75" s="1"/>
  <c r="N26" i="75" s="1"/>
  <c r="H23" i="75"/>
  <c r="K23" i="75" s="1"/>
  <c r="N23" i="75" s="1"/>
  <c r="H19" i="75"/>
  <c r="K19" i="75" s="1"/>
  <c r="N19" i="75" s="1"/>
  <c r="H22" i="75"/>
  <c r="K22" i="75" s="1"/>
  <c r="N22" i="75" s="1"/>
  <c r="H33" i="75"/>
  <c r="K33" i="75" s="1"/>
  <c r="N33" i="75" s="1"/>
  <c r="H31" i="75"/>
  <c r="K31" i="75" s="1"/>
  <c r="N31" i="75" s="1"/>
  <c r="H32" i="75"/>
  <c r="K32" i="75" s="1"/>
  <c r="N32" i="75" s="1"/>
  <c r="H28" i="75"/>
  <c r="K28" i="75" s="1"/>
  <c r="N28" i="75" s="1"/>
  <c r="H30" i="75"/>
  <c r="K30" i="75" s="1"/>
  <c r="N30" i="75" s="1"/>
  <c r="H27" i="75"/>
  <c r="K27" i="75" s="1"/>
  <c r="N27" i="75" s="1"/>
  <c r="H20" i="75"/>
  <c r="K20" i="75" s="1"/>
  <c r="N20" i="75" s="1"/>
  <c r="C13" i="83" l="1"/>
  <c r="B17" i="75"/>
  <c r="C17" i="75" s="1"/>
  <c r="P6" i="84"/>
  <c r="H13" i="83" s="1"/>
  <c r="Y17" i="75"/>
  <c r="C30" i="83"/>
  <c r="Q19" i="75"/>
  <c r="V19" i="75" s="1"/>
  <c r="Y19" i="75" s="1"/>
  <c r="Q26" i="75"/>
  <c r="V26" i="75" s="1"/>
  <c r="Y26" i="75" s="1"/>
  <c r="Q35" i="75"/>
  <c r="V35" i="75" s="1"/>
  <c r="Y35" i="75" s="1"/>
  <c r="Q27" i="75"/>
  <c r="Y27" i="75" s="1"/>
  <c r="Q28" i="75"/>
  <c r="V28" i="75" s="1"/>
  <c r="Y28" i="75" s="1"/>
  <c r="Q31" i="75"/>
  <c r="V31" i="75" s="1"/>
  <c r="Y31" i="75" s="1"/>
  <c r="Q22" i="75"/>
  <c r="V22" i="75" s="1"/>
  <c r="Y22" i="75" s="1"/>
  <c r="Q23" i="75"/>
  <c r="V23" i="75" s="1"/>
  <c r="Y23" i="75" s="1"/>
  <c r="Q34" i="75"/>
  <c r="V34" i="75" s="1"/>
  <c r="Q18" i="75"/>
  <c r="V18" i="75" s="1"/>
  <c r="Y18" i="75" s="1"/>
  <c r="Q25" i="75"/>
  <c r="V25" i="75" s="1"/>
  <c r="Y25" i="75" s="1"/>
  <c r="Q20" i="75"/>
  <c r="V20" i="75" s="1"/>
  <c r="Y20" i="75" s="1"/>
  <c r="Q30" i="75"/>
  <c r="V30" i="75" s="1"/>
  <c r="Y30" i="75" s="1"/>
  <c r="Q32" i="75"/>
  <c r="V32" i="75" s="1"/>
  <c r="Y32" i="75" s="1"/>
  <c r="Q33" i="75"/>
  <c r="V33" i="75" s="1"/>
  <c r="Y33" i="75" s="1"/>
  <c r="D30" i="83" l="1"/>
  <c r="I14" i="83"/>
  <c r="H17" i="75"/>
  <c r="K17" i="75" s="1"/>
  <c r="Y34" i="75"/>
  <c r="K14" i="83" l="1"/>
  <c r="L14" i="83"/>
  <c r="Q17" i="75"/>
  <c r="N17" i="75"/>
  <c r="L12" i="84" l="1"/>
  <c r="M12" i="84" s="1"/>
  <c r="L13" i="84" l="1"/>
  <c r="M13" i="84" s="1"/>
  <c r="L9" i="84" l="1"/>
  <c r="M9" i="84" s="1"/>
  <c r="L8" i="84" l="1"/>
  <c r="M8" i="84" s="1"/>
  <c r="L6" i="84" l="1"/>
  <c r="M6" i="84" l="1"/>
  <c r="L10" i="84" l="1"/>
  <c r="M10" i="84" s="1"/>
  <c r="L23" i="84" l="1"/>
  <c r="M23" i="84" s="1"/>
  <c r="I15" i="83" l="1"/>
  <c r="I24" i="83"/>
  <c r="I26" i="83"/>
  <c r="I17" i="83"/>
  <c r="I23" i="83"/>
  <c r="L24" i="83" l="1"/>
  <c r="K24" i="83"/>
  <c r="K23" i="83"/>
  <c r="L23" i="83"/>
  <c r="K17" i="83"/>
  <c r="L17" i="83"/>
  <c r="K15" i="83"/>
  <c r="L15" i="83"/>
  <c r="L26" i="83"/>
  <c r="K26" i="83"/>
  <c r="I20" i="83"/>
  <c r="I16" i="83"/>
  <c r="I22" i="83"/>
  <c r="I27" i="83"/>
  <c r="I25" i="83"/>
  <c r="I28" i="83"/>
  <c r="I19" i="83"/>
  <c r="K19" i="83" l="1"/>
  <c r="L19" i="83"/>
  <c r="L22" i="83"/>
  <c r="K22" i="83"/>
  <c r="L28" i="83"/>
  <c r="K28" i="83"/>
  <c r="K25" i="83"/>
  <c r="L25" i="83"/>
  <c r="L16" i="83"/>
  <c r="K16" i="83"/>
  <c r="K27" i="83"/>
  <c r="L27" i="83"/>
  <c r="L20" i="83"/>
  <c r="K20" i="83"/>
  <c r="H30" i="83" l="1"/>
  <c r="G29" i="83" l="1"/>
  <c r="I29" i="83" s="1"/>
  <c r="G21" i="83"/>
  <c r="I21" i="83" s="1"/>
  <c r="G13" i="83"/>
  <c r="F30" i="83"/>
  <c r="G18" i="83"/>
  <c r="E30" i="83" l="1"/>
  <c r="I18" i="83"/>
  <c r="L21" i="83"/>
  <c r="K21" i="83"/>
  <c r="I13" i="83"/>
  <c r="G30" i="83"/>
  <c r="L29" i="83"/>
  <c r="K29" i="83"/>
  <c r="I30" i="83" l="1"/>
  <c r="L13" i="83"/>
  <c r="K13" i="83"/>
  <c r="K18" i="83"/>
  <c r="L18" i="83"/>
  <c r="K30" i="83" l="1"/>
  <c r="L30" i="83"/>
</calcChain>
</file>

<file path=xl/sharedStrings.xml><?xml version="1.0" encoding="utf-8"?>
<sst xmlns="http://schemas.openxmlformats.org/spreadsheetml/2006/main" count="449" uniqueCount="205">
  <si>
    <t>codecombine</t>
  </si>
  <si>
    <t>companycode</t>
  </si>
  <si>
    <t>financialyear</t>
  </si>
  <si>
    <t>ANH</t>
  </si>
  <si>
    <t>NES</t>
  </si>
  <si>
    <t>NWT</t>
  </si>
  <si>
    <t>SRN</t>
  </si>
  <si>
    <t>SVT</t>
  </si>
  <si>
    <t>SWB</t>
  </si>
  <si>
    <t>TMS</t>
  </si>
  <si>
    <t>WSH</t>
  </si>
  <si>
    <t>WSX</t>
  </si>
  <si>
    <t>YKY</t>
  </si>
  <si>
    <t>AFW</t>
  </si>
  <si>
    <t>BRL</t>
  </si>
  <si>
    <t>DVW</t>
  </si>
  <si>
    <t>PRT</t>
  </si>
  <si>
    <t>SES</t>
  </si>
  <si>
    <t>SEW</t>
  </si>
  <si>
    <t>SSC</t>
  </si>
  <si>
    <t>Company</t>
  </si>
  <si>
    <t>Yes</t>
  </si>
  <si>
    <t>No</t>
  </si>
  <si>
    <t>W3009CAW</t>
  </si>
  <si>
    <t>Assessor's name</t>
  </si>
  <si>
    <t>Date of plenary meeting</t>
  </si>
  <si>
    <t>Peer review (initials, date and QA log ref.)</t>
  </si>
  <si>
    <t>Control</t>
  </si>
  <si>
    <t>Wholesale water</t>
  </si>
  <si>
    <t>Wholesale level</t>
  </si>
  <si>
    <t>Enhancement line BoN code</t>
  </si>
  <si>
    <t>Enhancement line description</t>
  </si>
  <si>
    <t>Gates</t>
  </si>
  <si>
    <t>Gate 1. Misallocation</t>
  </si>
  <si>
    <t>Gate 2. Need for investment</t>
  </si>
  <si>
    <t>Gate 3. Materiality</t>
  </si>
  <si>
    <t>Gate 4. Unit cost benchmarking</t>
  </si>
  <si>
    <t>Outlier unit costs?</t>
  </si>
  <si>
    <t>Summary of Gates 1 to 4</t>
  </si>
  <si>
    <t>Decision of Gates 1 to 4</t>
  </si>
  <si>
    <t>Shallow dive</t>
  </si>
  <si>
    <t>The assessor and QA</t>
  </si>
  <si>
    <t>Evidence and references</t>
  </si>
  <si>
    <t>Carry the assessment through Gate 4?</t>
  </si>
  <si>
    <t>Totex efficiency challenge (%)</t>
  </si>
  <si>
    <t>Capex requested by the company AMP7 (£m)</t>
  </si>
  <si>
    <t>Capex to carry through Gate 2 AMP7 (£m)</t>
  </si>
  <si>
    <t>Capex to carry through Gate 3 AMP7 (£m)</t>
  </si>
  <si>
    <t>Materiality of capex carried through Gate 3 AMP7 (%)</t>
  </si>
  <si>
    <t>Capex to carry through Gate 4 and beyond AMP7 (£m)</t>
  </si>
  <si>
    <t>Capex to carry through shallow/deep dive AMP7 (£m)</t>
  </si>
  <si>
    <t>Ofwat shallow dive capex allowance AMP7 (£m)</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</si>
  <si>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</si>
  <si>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</si>
  <si>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</si>
  <si>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</si>
  <si>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</si>
  <si>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</si>
  <si>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</si>
  <si>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</si>
  <si>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</si>
  <si>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</si>
  <si>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</si>
  <si>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</si>
  <si>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</si>
  <si>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</si>
  <si>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</si>
  <si>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</si>
  <si>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</si>
  <si>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</si>
  <si>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</si>
  <si>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</si>
  <si>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</si>
  <si>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</si>
  <si>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</si>
  <si>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</si>
  <si>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</si>
  <si>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</si>
  <si>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</si>
  <si>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</si>
  <si>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</si>
  <si>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</si>
  <si>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</si>
  <si>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</si>
  <si>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</si>
  <si>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</si>
  <si>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</si>
  <si>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</si>
  <si>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</si>
  <si>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</si>
  <si>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</si>
  <si>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</si>
  <si>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</si>
  <si>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</si>
  <si>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</si>
  <si>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</si>
  <si>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</si>
  <si>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AFW21</t>
  </si>
  <si>
    <t>AFW22</t>
  </si>
  <si>
    <t>AFW23</t>
  </si>
  <si>
    <t>AFW24</t>
  </si>
  <si>
    <t>AFW25</t>
  </si>
  <si>
    <t>BRL21</t>
  </si>
  <si>
    <t>BRL22</t>
  </si>
  <si>
    <t>BRL23</t>
  </si>
  <si>
    <t>BRL24</t>
  </si>
  <si>
    <t>BRL25</t>
  </si>
  <si>
    <t>PRT21</t>
  </si>
  <si>
    <t>PRT22</t>
  </si>
  <si>
    <t>PRT23</t>
  </si>
  <si>
    <t>PRT24</t>
  </si>
  <si>
    <t>PRT25</t>
  </si>
  <si>
    <t>SES21</t>
  </si>
  <si>
    <t>SES22</t>
  </si>
  <si>
    <t>SES23</t>
  </si>
  <si>
    <t>SES24</t>
  </si>
  <si>
    <t>SES25</t>
  </si>
  <si>
    <t>SEW21</t>
  </si>
  <si>
    <t>SEW22</t>
  </si>
  <si>
    <t>SEW23</t>
  </si>
  <si>
    <t>SEW24</t>
  </si>
  <si>
    <t>SEW25</t>
  </si>
  <si>
    <t>SSC21</t>
  </si>
  <si>
    <t>SSC22</t>
  </si>
  <si>
    <t>SSC23</t>
  </si>
  <si>
    <t>SSC24</t>
  </si>
  <si>
    <t>SSC25</t>
  </si>
  <si>
    <t>SVE</t>
  </si>
  <si>
    <t>HDD</t>
  </si>
  <si>
    <t>Company's totex for AMP7 (£m)</t>
  </si>
  <si>
    <t>realW3026TECAW</t>
  </si>
  <si>
    <t>realW3002CAW</t>
  </si>
  <si>
    <t>WS2012CAW</t>
  </si>
  <si>
    <t>£m 2017-18 prices, Enhancement opex water - Addressing low pressure</t>
  </si>
  <si>
    <t>Cover sheet</t>
  </si>
  <si>
    <t>The enhancement line</t>
  </si>
  <si>
    <t>Is the amount material?</t>
  </si>
  <si>
    <t>BoN code of line to re-allocate capex to</t>
  </si>
  <si>
    <t>Capex excluded because is requested by the company via CACs AMP7 (£m)</t>
  </si>
  <si>
    <t>Capex excluded because is covered by 
ODIs AMP7 (£m)</t>
  </si>
  <si>
    <t>Capex excluded because NOT supported by need (regulatory body, customers, etc.)
 AMP7 (£m)</t>
  </si>
  <si>
    <t>Description of line to re-allocate capex to</t>
  </si>
  <si>
    <t>Capex to re-allocate to other line AMP7 (£m)</t>
  </si>
  <si>
    <t>No spend identified on this line</t>
  </si>
  <si>
    <t>Not Material</t>
  </si>
  <si>
    <t>Reject/re-allocate (whole amount)</t>
  </si>
  <si>
    <t xml:space="preserve">New Developments [enhancement line WS2 11]
&amp; Base  </t>
  </si>
  <si>
    <t>Materiality</t>
  </si>
  <si>
    <t xml:space="preserve">Allowed costs </t>
  </si>
  <si>
    <t>Peer review (initials, date)</t>
  </si>
  <si>
    <t>BoN code</t>
  </si>
  <si>
    <t>Enhancement line</t>
  </si>
  <si>
    <t>Cost allowance for AMP7 (£m)</t>
  </si>
  <si>
    <t>Capex in business plan - wholesale water</t>
  </si>
  <si>
    <t>Capex allowed - wholesale water</t>
  </si>
  <si>
    <t>Proportion of water resources</t>
  </si>
  <si>
    <t>Capex allowed - water resources</t>
  </si>
  <si>
    <t>Capex allowed - network plus</t>
  </si>
  <si>
    <t>Total</t>
  </si>
  <si>
    <t xml:space="preserve">New Developments </t>
  </si>
  <si>
    <t>base</t>
  </si>
  <si>
    <t>Capex reallocated out to other lines</t>
  </si>
  <si>
    <t>Capex reallocated in to this line</t>
  </si>
  <si>
    <t>Net Capex reallocated in</t>
  </si>
  <si>
    <t>Base</t>
  </si>
  <si>
    <t>PC/ODI is revised from AMP6. No explicit evidence has been found of customer support for Low Pressure ODI. 3 BP options were consulted on all of which included low pressure/interruption reduction [BP App.3 Table 14].  
No evidence found that the costs of low pressure improvement were separated out or WTP for low pressure reduction  established. 
The proposed PC 'properties experiencing low pressure (average hours/property/year) targets the duration of LP rather than the removal of properties from a 'register'  this is appropriate because targets resolution of chronic low pressure</t>
  </si>
  <si>
    <t>Data</t>
  </si>
  <si>
    <t>Addressing low pressure - capex</t>
  </si>
  <si>
    <t>Wholesale water totex</t>
  </si>
  <si>
    <t>Code</t>
  </si>
  <si>
    <t>Year</t>
  </si>
  <si>
    <t>AMP7 total</t>
  </si>
  <si>
    <t>Analysis and determination of allowance</t>
  </si>
  <si>
    <t>£m 2017-18 prices</t>
  </si>
  <si>
    <t>Totex - AMP7 total</t>
  </si>
  <si>
    <t>Shallow dive allowance</t>
  </si>
  <si>
    <t>Final allowance</t>
  </si>
  <si>
    <t>2021</t>
  </si>
  <si>
    <t>2022</t>
  </si>
  <si>
    <t>2023</t>
  </si>
  <si>
    <t>2024</t>
  </si>
  <si>
    <t>2025</t>
  </si>
  <si>
    <t>Capex after reallocations</t>
  </si>
  <si>
    <t>Modelled allowance</t>
  </si>
  <si>
    <t>W3002CAW</t>
  </si>
  <si>
    <t>Net reallocations into this line</t>
  </si>
  <si>
    <t>RP</t>
  </si>
  <si>
    <t>Low materiality.  Small bill impact</t>
  </si>
  <si>
    <t>Gates and Shallow dive sheet - low pressure</t>
  </si>
  <si>
    <t>AF 23/01/19</t>
  </si>
  <si>
    <t xml:space="preserve">The company identifies limited customer support 21% to reduce supply interruption and 43% for low pressure [PR19 PCs P 104]. </t>
  </si>
  <si>
    <t xml:space="preserve">Evidence of customer support to reduce low pressure issues is very limited. Customer research focused on reducing duration of short term supply interruptions which is reflected in another PC.  
South Staffs states: "We have a statutory obligation to ensure customers receive a minimum level of flow and pressure. When we find that a communication pipe needs to be replaced we undertake that work immediately to ensure the customer receives the best possible service and fast resolution of their issue."[App A29 P80]. </t>
  </si>
  <si>
    <r>
      <rPr>
        <sz val="10"/>
        <color theme="1"/>
        <rFont val="Calibri"/>
        <family val="2"/>
        <scheme val="minor"/>
      </rPr>
      <t xml:space="preserve">SVE customer research has identified that low pressure remains a key issue [A8 P82] </t>
    </r>
    <r>
      <rPr>
        <i/>
        <sz val="10"/>
        <color theme="1"/>
        <rFont val="Calibri"/>
        <family val="2"/>
        <scheme val="minor"/>
      </rPr>
      <t xml:space="preserve">
</t>
    </r>
    <r>
      <rPr>
        <sz val="10"/>
        <color theme="1"/>
        <rFont val="Calibri"/>
        <family val="2"/>
        <scheme val="minor"/>
      </rPr>
      <t>The company states: 
Customers report high levels of experience of low pressure, which causes dissatisfaction. Emerges as a medium / low priority in research[A1 P45].
and 
our analysis of customer complaints has revealed that low pressure is a bigger issue than we previously thought, having successfully delivered on our regulatory target for a decade [BP P51].</t>
    </r>
  </si>
  <si>
    <r>
      <t xml:space="preserve">SVE  are targeting UQ performance [BP P95], it proposes PC metrics of * number of property days with persistent low pressure &amp; resolution of low pressure complaints %. The associated ODIs are £464/prop/day persistent low pressure [A4: P37] &amp; % change in resolution of low pressure complaints value £75,122/1% [A4 P37]. 
"The baseline and performance commitment will then consider the total number of days of low pressure suffered by properties on the register. This places increased focus on properties that suffer chronic low pressure where interventions may otherwise be not economic if considered on a property removed basis. The baseline has been set equivalent to our current committed level of service (i.e. the number of property days that currently correspond to properties on the register). We are then committing to reduce the current performance by 20% in AMP7 rather than retain current levels".[A8 P83] 
</t>
    </r>
    <r>
      <rPr>
        <b/>
        <sz val="10"/>
        <color theme="1"/>
        <rFont val="Calibri"/>
        <family val="2"/>
        <scheme val="minor"/>
      </rPr>
      <t xml:space="preserve">Decision: </t>
    </r>
    <r>
      <rPr>
        <sz val="10"/>
        <color theme="1"/>
        <rFont val="Calibri"/>
        <family val="2"/>
        <scheme val="minor"/>
      </rPr>
      <t xml:space="preserve">We reject this as enhancement, the resolution of low pressure is base maintenance. This metric is simply a means of targeting expenditure in the most beneficial way toward addressing the issue.  </t>
    </r>
  </si>
  <si>
    <t xml:space="preserve">Welsh Water states that: "We have a range of approaches for addressing pressure issues, including maintaining or replacing air valves, pressures reducing valves (PRVs) and non-return valves (NRVs), improving the resilience of our pump supplies and improving the resilience of long supply mains that only serve a very small number of properties".[WR BP P75].
Target is to reduce the number of properties  with persistent low pressure by 10 to 121 [5.8H P16]. WSH make the point that cost/prop will increase as number on register decrease. [Water N'work BP P76/77]. The average cost /prop of to deliver the programme is £1.3m/10=130k.
We find no evidence of the number of scheme[s]. However WSH states that work includes in the case of low pressure small pumping stations where required.[5.8H P16].  </t>
  </si>
  <si>
    <t xml:space="preserve">Scope:" replace communication pipes when it has been identified that the required pressure and flow rate is not being achieved at either the  boundary to the property or at the property itself".[App A29 P79].
Extent and costs: "Our projection for communication pipe replacement is based on our historic rate and costs derived from historic typical costs".. [App29 P80] 
</t>
  </si>
  <si>
    <t xml:space="preserve">SVE proposes PC metrics: 
* 5% improvement in resolution of complaints
&amp;*  The persistent low pressure threshold is more than 25 days of low pressure in a five year rolling period.......Our ambition for 2025, is to deliver 15% improvement from our 2019/20 baseline which is equivalent to circa.3000 property days or 147 properties at risk of experiencing 25 days low pressure across the AMP. This we believe will deliver UQ service to customers.[A3 P123]
It intends to achieve this by:  better network optimisation, driven by real-time monitoring and targeted interventions. Our plan includes ...: installation of small service booster stations, renewal of lengths of pipework...upsizing pipework that is causing poor pressures.[BP142]
Unit cost  using 147 properties from above = 1£10.1m/147 = £68k/property.  Unit cost analysis of first time resolution  of complaints not feasible because no of complaints is unknown.  SVE claim a unit cost reduction of 30%  [App A8 P83]. </t>
  </si>
  <si>
    <t>Shallow dive efficiency challenge</t>
  </si>
  <si>
    <r>
      <t xml:space="preserve">The company states "The number of communication pipes we replace under these criteria is relatively small and as such the costs are also small relative to our total costs. We do not consider a bespoke performance commitment to be necessary for this level of activity.." [App29 P80] We find no related ODI. 
SSC justifies this as enhancement because:" older houses were constructed they often had their water supply connections shared between multiple properties. Also, older connections were smaller than the modern equivalent because there were less water using appliances in the home. When a customer experiences low pressure as a result of these issues, we upgrade their connection to modern standards to solve the problem, enhancing the customer’s service over their original level".[App29 P 79].  The PCC in both CAM and SST is forecast to reduce by 2-3 l/hd/day in AMP7, no reasons are presented as to why the properties at risk of low pressure are not already known. Deterioration in level of service leading to new low pressure complaints is considered to be consequent to asset deterioration and growth in the network. 
</t>
    </r>
    <r>
      <rPr>
        <b/>
        <sz val="10"/>
        <color theme="1"/>
        <rFont val="Calibri"/>
        <family val="2"/>
        <scheme val="minor"/>
      </rPr>
      <t xml:space="preserve">Decision: </t>
    </r>
    <r>
      <rPr>
        <sz val="10"/>
        <color theme="1"/>
        <rFont val="Calibri"/>
        <family val="2"/>
        <scheme val="minor"/>
      </rPr>
      <t xml:space="preserve">The provision of sufficient pressure is not an enhancement of service.  Reallocate to new development and base maintenance. </t>
    </r>
  </si>
  <si>
    <r>
      <t xml:space="preserve">ANH claims that this investment will achieve UQ performance. Its states: 'this investment is to reduce the number of reportable properties facing persistent low pressure to 106 by the end of AMP7. This target is based on upper quartile performance compared to other WASCs (2016/17 data).' [Table Commentary P87].  
The company also states: This is a stretching improvement and accounts for our work not only to take properties off the register but also significant ongoing action to prevent properties coming onto the register. We expect to find more pressure issues as we roll out smart technology on our network. The significant growth forecast for our region will increase the likelihood of low pressure issues. We estimate that we will need to invest to keep around 720 properties from being added to the register in AMP7. Increased demand during periods of warm weather can also impact pressure on the network, which may increase the number of properties that could be added to the register without action being undertaken by us.[BP P236].
ANH have bespoke PC and financial ODI for Props at risk of Low pressure [BP P160] ODI includes outperformance payment.
</t>
    </r>
    <r>
      <rPr>
        <b/>
        <sz val="10"/>
        <color theme="1"/>
        <rFont val="Calibri"/>
        <family val="2"/>
        <scheme val="minor"/>
      </rPr>
      <t xml:space="preserve">Decision: </t>
    </r>
    <r>
      <rPr>
        <sz val="10"/>
        <color theme="1"/>
        <rFont val="Calibri"/>
        <family val="2"/>
        <scheme val="minor"/>
      </rPr>
      <t xml:space="preserve">ANH documentations identifies that part of the investment should be reallocated to growth. We reallocate of 50% of costs to new developments. </t>
    </r>
  </si>
  <si>
    <r>
      <t xml:space="preserve">ANH provides evidence of customer support. The company states: </t>
    </r>
    <r>
      <rPr>
        <i/>
        <sz val="10"/>
        <color theme="1"/>
        <rFont val="Calibri"/>
        <family val="2"/>
        <scheme val="minor"/>
      </rPr>
      <t xml:space="preserve">  </t>
    </r>
    <r>
      <rPr>
        <sz val="10"/>
        <color theme="1"/>
        <rFont val="Calibri"/>
        <family val="2"/>
        <scheme val="minor"/>
      </rPr>
      <t xml:space="preserve">we further tested whether customers understood this PC [i.e. Low pressure] and whether our PC was stretching. In response to this research: • 97% of household and 100% of non-household customers understood our definition, • 77% of household and 92% of non-household customers agreed the PCL was stretching, • 89% of household and 83% of non-household customers considered this PC to be of medium or high importance [BP P234] 
</t>
    </r>
  </si>
  <si>
    <r>
      <t xml:space="preserve">WSH states that it has 'worst served customer for water service' PC [BP P166 PC Ref RT5 ] this is either low pressure or multiple interruptions to supply. At present it has a total of 1131 properties that are subject to these. Investment will reduce low pressure by 10 props. &amp; interruptions to supply by 25% to 871 props. 
Scope of work discussed [Water N BP P77]. The metric is Rt5: Worst served customers for water service.....This measure is the number of customers that have had repeat incidents of low water pressure or interruptions to water supply..[5.2 P104] 
WSH has not referenced the reduction in LP properties by 10 to 121 to UQ performance.
Financial ODI for related  Water Supply interruption with outperformance and underperformance [Ref 5.5 ODIs P19 &amp; P23, 40] WSH is proposing to monitor effectiveness of this spend within the CML [customer minutes lost] standard PC for which WSH has a financial ODI]. However the  CML performance level proposed by WSH is below UQ.  therefore the spend on bespoke supply interruptions enhancement is rejected. 
As the proposed metric includes both supply interruption and low pressure. It is unclear how progress to resolving low pressure will be measured. 
</t>
    </r>
    <r>
      <rPr>
        <b/>
        <sz val="10"/>
        <color theme="1"/>
        <rFont val="Calibri"/>
        <family val="2"/>
        <scheme val="minor"/>
      </rPr>
      <t>Decision:</t>
    </r>
    <r>
      <rPr>
        <sz val="10"/>
        <color theme="1"/>
        <rFont val="Calibri"/>
        <family val="2"/>
        <scheme val="minor"/>
      </rPr>
      <t xml:space="preserve"> The provision of adequate flow and pressure is a statutory requirement we reallocate the cost to base.</t>
    </r>
  </si>
  <si>
    <t>AFW has bespoke PC &amp; Financial ODI for longer or repeat instances of low pressure that includes outperformance payment. [Table Commentaries P1 &amp; BP P48]. Metric is hrs/prop/yr. Current performance is 12 and 2025 target 8.7. under and outperformance payments with  collar. 
Performance in this metric should target properties suffering chronic low pressure. 
No CACs  found.</t>
  </si>
  <si>
    <r>
      <t>AFW states that it intends to deliver the proposal: "Reducing instances of poor pressure making use of data from our pressure loggers"</t>
    </r>
    <r>
      <rPr>
        <i/>
        <sz val="10"/>
        <color theme="1"/>
        <rFont val="Calibri"/>
        <family val="2"/>
        <scheme val="minor"/>
      </rPr>
      <t>.</t>
    </r>
    <r>
      <rPr>
        <sz val="10"/>
        <color theme="1"/>
        <rFont val="Calibri"/>
        <family val="2"/>
        <scheme val="minor"/>
      </rPr>
      <t xml:space="preserve">[BP P86]. AFW would need to provide evidence of the capital cost of making use of data. However effective use of this data to ensure statutory levels of service are maintained should be a base activity.
The intention is to reduce metric from the current 12 [or 13] hrs/prop affected/yr. to 8.7 hrs in AMP7. Assume 12 hrs to 8.7 [BP Section 4.6 P53].  Because of the unique metric devised its is not possible to identify whether or not AFW  are going beyond UQ performance.
</t>
    </r>
    <r>
      <rPr>
        <b/>
        <sz val="10"/>
        <color theme="1"/>
        <rFont val="Calibri"/>
        <family val="2"/>
        <scheme val="minor"/>
      </rPr>
      <t xml:space="preserve">Decision:  </t>
    </r>
    <r>
      <rPr>
        <sz val="10"/>
        <color theme="1"/>
        <rFont val="Calibri"/>
        <family val="2"/>
        <scheme val="minor"/>
      </rPr>
      <t>Provision of adequate pressure and flow is a statutory requirement. There is no demonstration that this offers enhanced service. We reject this as enhancement expenditure.</t>
    </r>
  </si>
  <si>
    <r>
      <t xml:space="preserve">At 2019-20 there are 150 properties at risk of low pressure target for 2024-25 is 106 [BP P160]. Taking permissible Capex as £4.4M Unit cost is £198k/property.  
By including 'hidden properties' allocated to low pressure  total props treated = 377 [=(150-106+720)/2] and the cost/property would be £23.2k  However only those properties  currently on register should be included in any unit cost calculation.
</t>
    </r>
    <r>
      <rPr>
        <b/>
        <sz val="10"/>
        <color theme="1"/>
        <rFont val="Calibri"/>
        <family val="2"/>
        <scheme val="minor"/>
      </rPr>
      <t>Decision:</t>
    </r>
    <r>
      <rPr>
        <sz val="10"/>
        <color theme="1"/>
        <rFont val="Calibri"/>
        <family val="2"/>
        <scheme val="minor"/>
      </rPr>
      <t xml:space="preserve"> Remaining 50% of spend is disallowed because *Companies have statutory obligation to ensure customers receive a minimum level of flow and pressure. &amp; funding for this has previously been provided. * Properties newly entering the low pressure register would be a degradation  of service. *  ANH have proposed a programme to achieve UQ performance this is funded - enhancement spend is to achieve performance that goes beyond this.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</si>
</sst>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
    <numFmt numFmtId="166" formatCode="#,##0_);\(#,##0\);&quot;-  &quot;;&quot; &quot;@&quot; &quot;"/>
    <numFmt numFmtId="167" formatCode="0.0%"/>
    <numFmt numFmtId="168" formatCode="_-* #,##0.000_-;\-* #,##0.000_-;_-* &quot;-&quot;??_-;_-@_-"/>
    <numFmt numFmtId="169" formatCode="#,##0.000"/>
    <numFmt numFmtId="170" formatCode="_(* #,##0_);_(* \(#,##0\);_(* &quot;-&quot;??_);_(@_)"/>
    <numFmt numFmtId="171" formatCode="_(* #,##0.0_);_(* \(#,##0.0\);_(* &quot;-&quot;??_);_(@_)"/>
    <numFmt numFmtId="172" formatCode="0.000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i/>
      <sz val="11"/>
      <color rgb="FF7F7F7F"/>
      <name val="Arial"/>
      <family val="2"/>
    </font>
    <font>
      <b/>
      <sz val="10"/>
      <color theme="1"/>
      <name val="Calibri"/>
      <family val="2"/>
      <scheme val="minor"/>
    </font>
    <font>
      <i/>
      <sz val="10"/>
      <color rgb="FF7F7F7F"/>
      <name val="Calibri"/>
      <family val="2"/>
      <scheme val="minor"/>
    </font>
    <font>
      <b/>
      <sz val="10"/>
      <name val="Calibri"/>
      <family val="2"/>
      <scheme val="minor"/>
    </font>
    <font>
      <b/>
      <sz val="12"/>
      <color theme="1"/>
      <name val="Calibri"/>
      <family val="2"/>
      <scheme val="minor"/>
    </font>
    <font>
      <sz val="10"/>
      <name val="Calibri"/>
      <family val="2"/>
      <scheme val="minor"/>
    </font>
    <font>
      <b/>
      <sz val="10"/>
      <color theme="3"/>
      <name val="Calibri"/>
      <family val="2"/>
      <scheme val="minor"/>
    </font>
    <font>
      <sz val="14"/>
      <color theme="3"/>
      <name val="Calibri"/>
      <family val="2"/>
      <scheme val="minor"/>
    </font>
    <font>
      <sz val="9"/>
      <name val="Calibri"/>
      <family val="2"/>
      <scheme val="minor"/>
    </font>
    <font>
      <i/>
      <sz val="10"/>
      <color theme="1"/>
      <name val="Calibri"/>
      <family val="2"/>
      <scheme val="minor"/>
    </font>
    <font>
      <b/>
      <sz val="14"/>
      <color theme="3"/>
      <name val="Calibri"/>
      <family val="2"/>
      <scheme val="minor"/>
    </font>
    <font>
      <sz val="12"/>
      <color theme="3"/>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theme="0" tint="-0.499984740745262"/>
      </bottom>
      <diagonal/>
    </border>
  </borders>
  <cellStyleXfs count="22">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9" fontId="11" fillId="0" borderId="0" applyFont="0" applyFill="0" applyBorder="0" applyAlignment="0" applyProtection="0"/>
    <xf numFmtId="0" fontId="6" fillId="0" borderId="0"/>
    <xf numFmtId="166"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14"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12" fillId="3" borderId="0" xfId="10" applyFont="1" applyFill="1" applyAlignment="1">
      <alignment vertical="center"/>
    </xf>
    <xf numFmtId="0" fontId="13" fillId="0" borderId="0" xfId="0" applyFont="1"/>
    <xf numFmtId="0" fontId="13" fillId="0" borderId="1" xfId="0" applyFont="1" applyBorder="1" applyAlignment="1">
      <alignment vertical="center"/>
    </xf>
    <xf numFmtId="0" fontId="15" fillId="0" borderId="0" xfId="0" applyFont="1"/>
    <xf numFmtId="0" fontId="15" fillId="2" borderId="1" xfId="0" applyFont="1" applyFill="1" applyBorder="1" applyAlignment="1">
      <alignment horizontal="left" wrapText="1"/>
    </xf>
    <xf numFmtId="0" fontId="15" fillId="2" borderId="1" xfId="0" quotePrefix="1" applyFont="1" applyFill="1" applyBorder="1" applyAlignment="1">
      <alignment horizontal="left" wrapText="1"/>
    </xf>
    <xf numFmtId="0" fontId="15" fillId="7" borderId="1" xfId="0" applyFont="1" applyFill="1" applyBorder="1" applyAlignment="1">
      <alignment horizontal="left" wrapText="1"/>
    </xf>
    <xf numFmtId="0" fontId="13" fillId="5" borderId="1" xfId="0" applyFont="1" applyFill="1" applyBorder="1" applyAlignment="1">
      <alignment horizontal="left"/>
    </xf>
    <xf numFmtId="0" fontId="13" fillId="0" borderId="1" xfId="0" applyFont="1" applyBorder="1" applyAlignment="1"/>
    <xf numFmtId="0" fontId="13" fillId="0" borderId="0" xfId="0" applyFont="1" applyBorder="1" applyAlignment="1"/>
    <xf numFmtId="14" fontId="13" fillId="0" borderId="1" xfId="0" applyNumberFormat="1" applyFont="1" applyBorder="1"/>
    <xf numFmtId="0" fontId="13" fillId="0" borderId="0" xfId="0" applyFont="1" applyBorder="1"/>
    <xf numFmtId="0" fontId="13" fillId="0" borderId="0" xfId="0" applyFont="1" applyBorder="1" applyAlignment="1" applyProtection="1">
      <alignment horizontal="left"/>
      <protection locked="0"/>
    </xf>
    <xf numFmtId="0" fontId="16" fillId="0" borderId="0" xfId="18" applyFont="1"/>
    <xf numFmtId="14" fontId="13" fillId="0" borderId="0" xfId="0" applyNumberFormat="1" applyFont="1" applyBorder="1" applyAlignment="1" applyProtection="1">
      <alignment horizontal="left"/>
      <protection locked="0"/>
    </xf>
    <xf numFmtId="0" fontId="13" fillId="0" borderId="9" xfId="0" applyFont="1" applyBorder="1" applyAlignment="1">
      <alignment vertical="top"/>
    </xf>
    <xf numFmtId="0" fontId="13" fillId="0" borderId="9" xfId="0" applyFont="1" applyBorder="1" applyAlignment="1"/>
    <xf numFmtId="0" fontId="13" fillId="0" borderId="0" xfId="0" applyFont="1" applyFill="1"/>
    <xf numFmtId="0" fontId="15" fillId="3" borderId="0" xfId="0" applyFont="1" applyFill="1"/>
    <xf numFmtId="0" fontId="13" fillId="0" borderId="1" xfId="19" applyFont="1" applyBorder="1" applyAlignment="1">
      <alignment horizontal="center"/>
    </xf>
    <xf numFmtId="0" fontId="13" fillId="0" borderId="1" xfId="19" applyFont="1" applyBorder="1"/>
    <xf numFmtId="168" fontId="13" fillId="0" borderId="1" xfId="6" applyNumberFormat="1" applyFont="1" applyBorder="1"/>
    <xf numFmtId="168" fontId="13" fillId="7" borderId="1" xfId="6" applyNumberFormat="1" applyFont="1" applyFill="1" applyBorder="1"/>
    <xf numFmtId="9" fontId="13" fillId="0" borderId="1" xfId="7" applyFont="1" applyBorder="1"/>
    <xf numFmtId="0" fontId="15" fillId="0" borderId="1" xfId="19" applyFont="1" applyBorder="1"/>
    <xf numFmtId="168" fontId="17" fillId="0" borderId="1" xfId="6" applyNumberFormat="1" applyFont="1" applyBorder="1"/>
    <xf numFmtId="168" fontId="15" fillId="7" borderId="1" xfId="6" applyNumberFormat="1" applyFont="1" applyFill="1" applyBorder="1"/>
    <xf numFmtId="0" fontId="18" fillId="3" borderId="0" xfId="0" applyFont="1" applyFill="1"/>
    <xf numFmtId="0" fontId="13" fillId="0" borderId="0" xfId="0" applyFont="1" applyAlignment="1">
      <alignment vertical="center"/>
    </xf>
    <xf numFmtId="0" fontId="13" fillId="4" borderId="1" xfId="0" applyFont="1" applyFill="1" applyBorder="1" applyAlignment="1">
      <alignment vertical="top" wrapText="1"/>
    </xf>
    <xf numFmtId="0" fontId="13" fillId="0" borderId="0" xfId="0" applyFont="1" applyAlignment="1">
      <alignment vertical="top" wrapText="1"/>
    </xf>
    <xf numFmtId="2" fontId="13" fillId="0" borderId="1" xfId="0" applyNumberFormat="1" applyFont="1" applyFill="1" applyBorder="1" applyAlignment="1">
      <alignment vertical="center"/>
    </xf>
    <xf numFmtId="2" fontId="13" fillId="0" borderId="1" xfId="16" applyNumberFormat="1" applyFont="1" applyFill="1" applyBorder="1" applyAlignment="1">
      <alignment vertical="center"/>
    </xf>
    <xf numFmtId="0" fontId="13" fillId="0" borderId="1" xfId="0" applyFont="1" applyFill="1" applyBorder="1" applyAlignment="1">
      <alignment vertical="center"/>
    </xf>
    <xf numFmtId="4" fontId="13" fillId="0" borderId="0" xfId="0" applyNumberFormat="1" applyFont="1" applyAlignment="1">
      <alignment vertical="center"/>
    </xf>
    <xf numFmtId="4" fontId="13" fillId="0" borderId="0" xfId="0" applyNumberFormat="1" applyFont="1"/>
    <xf numFmtId="170" fontId="13" fillId="0" borderId="1" xfId="6" applyNumberFormat="1" applyFont="1" applyBorder="1" applyAlignment="1">
      <alignment vertical="center"/>
    </xf>
    <xf numFmtId="0" fontId="21" fillId="0" borderId="0" xfId="0" applyFont="1" applyAlignment="1">
      <alignment vertical="center"/>
    </xf>
    <xf numFmtId="0" fontId="12" fillId="3" borderId="2" xfId="10" applyFont="1" applyFill="1" applyBorder="1"/>
    <xf numFmtId="0" fontId="22" fillId="3" borderId="6" xfId="1" applyFont="1" applyFill="1" applyBorder="1"/>
    <xf numFmtId="0" fontId="0" fillId="0" borderId="0" xfId="0" applyFont="1"/>
    <xf numFmtId="0" fontId="0" fillId="0" borderId="0" xfId="0" applyFont="1" applyAlignment="1">
      <alignment horizontal="center" vertical="center"/>
    </xf>
    <xf numFmtId="10" fontId="12" fillId="3" borderId="0" xfId="7" applyNumberFormat="1" applyFont="1" applyFill="1" applyAlignment="1">
      <alignment vertical="center"/>
    </xf>
    <xf numFmtId="0" fontId="12" fillId="3" borderId="0" xfId="10" applyFont="1" applyFill="1" applyAlignment="1">
      <alignment vertical="top"/>
    </xf>
    <xf numFmtId="0" fontId="19" fillId="0" borderId="0" xfId="0" applyFont="1"/>
    <xf numFmtId="0" fontId="12" fillId="0" borderId="0" xfId="10" applyFont="1" applyAlignment="1">
      <alignment vertical="center"/>
    </xf>
    <xf numFmtId="0" fontId="17" fillId="0" borderId="0" xfId="0" applyFont="1"/>
    <xf numFmtId="10" fontId="19" fillId="0" borderId="0" xfId="7" applyNumberFormat="1" applyFont="1"/>
    <xf numFmtId="0" fontId="17" fillId="0" borderId="0" xfId="0" applyFont="1" applyAlignment="1">
      <alignment vertical="top"/>
    </xf>
    <xf numFmtId="0" fontId="19" fillId="0" borderId="0" xfId="1" applyFont="1"/>
    <xf numFmtId="0" fontId="19" fillId="0" borderId="0" xfId="0" applyFont="1" applyAlignment="1">
      <alignment vertical="top"/>
    </xf>
    <xf numFmtId="0" fontId="13" fillId="0" borderId="0" xfId="0" applyFont="1" applyBorder="1" applyAlignment="1">
      <alignment horizontal="center"/>
    </xf>
    <xf numFmtId="10" fontId="13" fillId="0" borderId="0" xfId="7" applyNumberFormat="1" applyFont="1"/>
    <xf numFmtId="0" fontId="13" fillId="0" borderId="0" xfId="0" applyFont="1" applyAlignment="1">
      <alignment vertical="top"/>
    </xf>
    <xf numFmtId="0" fontId="13" fillId="0" borderId="0" xfId="0" applyFont="1" applyBorder="1" applyAlignment="1">
      <alignment horizontal="left" wrapText="1"/>
    </xf>
    <xf numFmtId="0" fontId="13" fillId="0" borderId="1" xfId="0" applyFont="1" applyBorder="1"/>
    <xf numFmtId="0" fontId="13" fillId="0" borderId="6" xfId="0" applyFont="1" applyBorder="1"/>
    <xf numFmtId="0" fontId="13" fillId="0" borderId="4" xfId="0" applyFont="1" applyBorder="1"/>
    <xf numFmtId="0" fontId="17" fillId="0" borderId="0" xfId="0" applyFont="1" applyBorder="1"/>
    <xf numFmtId="0" fontId="13" fillId="0" borderId="1" xfId="0" applyFont="1" applyBorder="1" applyAlignment="1" applyProtection="1">
      <alignment horizontal="left"/>
      <protection locked="0"/>
    </xf>
    <xf numFmtId="0" fontId="13" fillId="0" borderId="1" xfId="0" applyFont="1" applyBorder="1" applyAlignment="1">
      <alignment horizontal="left" wrapText="1"/>
    </xf>
    <xf numFmtId="14" fontId="13" fillId="0" borderId="1" xfId="0" applyNumberFormat="1" applyFont="1" applyBorder="1" applyAlignment="1" applyProtection="1">
      <alignment horizontal="left"/>
      <protection locked="0"/>
    </xf>
    <xf numFmtId="0" fontId="13" fillId="0" borderId="1" xfId="0" applyFont="1" applyBorder="1" applyAlignment="1">
      <alignment vertical="top"/>
    </xf>
    <xf numFmtId="0" fontId="13" fillId="0" borderId="0" xfId="0" applyFont="1" applyBorder="1" applyAlignment="1">
      <alignment horizontal="left"/>
    </xf>
    <xf numFmtId="0" fontId="15" fillId="0" borderId="6" xfId="0" applyFont="1" applyBorder="1"/>
    <xf numFmtId="0" fontId="15" fillId="0" borderId="2" xfId="0" applyFont="1" applyBorder="1"/>
    <xf numFmtId="10" fontId="15" fillId="0" borderId="2" xfId="7" applyNumberFormat="1" applyFont="1" applyBorder="1"/>
    <xf numFmtId="0" fontId="13" fillId="0" borderId="4" xfId="0" applyFont="1" applyBorder="1" applyAlignment="1">
      <alignment vertical="top"/>
    </xf>
    <xf numFmtId="0" fontId="15" fillId="0" borderId="2" xfId="0" applyFont="1" applyBorder="1" applyAlignment="1">
      <alignment vertical="top"/>
    </xf>
    <xf numFmtId="0" fontId="13" fillId="0" borderId="2" xfId="0" applyFont="1" applyBorder="1" applyAlignment="1">
      <alignment vertical="top" wrapText="1"/>
    </xf>
    <xf numFmtId="0" fontId="13" fillId="0" borderId="6" xfId="0" applyFont="1" applyBorder="1" applyAlignment="1">
      <alignment vertical="top" wrapText="1"/>
    </xf>
    <xf numFmtId="0" fontId="13" fillId="0" borderId="2" xfId="0" applyFont="1" applyFill="1" applyBorder="1" applyAlignment="1">
      <alignment vertical="top" wrapText="1"/>
    </xf>
    <xf numFmtId="10" fontId="13" fillId="0" borderId="6" xfId="7" applyNumberFormat="1" applyFont="1" applyFill="1" applyBorder="1" applyAlignment="1">
      <alignment vertical="top" wrapText="1"/>
    </xf>
    <xf numFmtId="0" fontId="13" fillId="0" borderId="4" xfId="0" applyFont="1" applyBorder="1" applyAlignment="1">
      <alignment vertical="top" wrapText="1"/>
    </xf>
    <xf numFmtId="0" fontId="13" fillId="0" borderId="0" xfId="0" applyFont="1" applyBorder="1" applyAlignment="1">
      <alignment vertical="top" wrapText="1"/>
    </xf>
    <xf numFmtId="0" fontId="13" fillId="0" borderId="7" xfId="0" applyFont="1" applyBorder="1" applyAlignment="1">
      <alignment vertical="top" wrapText="1"/>
    </xf>
    <xf numFmtId="0" fontId="13" fillId="0" borderId="8" xfId="0" applyFont="1" applyBorder="1" applyAlignment="1">
      <alignment vertical="top" wrapText="1"/>
    </xf>
    <xf numFmtId="169" fontId="13" fillId="0" borderId="1" xfId="0" applyNumberFormat="1" applyFont="1" applyBorder="1" applyAlignment="1">
      <alignment vertical="top" wrapText="1"/>
    </xf>
    <xf numFmtId="169" fontId="13" fillId="0" borderId="1" xfId="0" applyNumberFormat="1" applyFont="1" applyBorder="1" applyAlignment="1">
      <alignment vertical="top"/>
    </xf>
    <xf numFmtId="0" fontId="13" fillId="0" borderId="1" xfId="0" quotePrefix="1" applyFont="1" applyBorder="1" applyAlignment="1">
      <alignment vertical="top" wrapText="1"/>
    </xf>
    <xf numFmtId="0" fontId="13" fillId="0" borderId="1" xfId="0" applyFont="1" applyBorder="1" applyAlignment="1">
      <alignment vertical="top" wrapText="1"/>
    </xf>
    <xf numFmtId="3" fontId="13" fillId="0" borderId="1" xfId="0" applyNumberFormat="1" applyFont="1" applyBorder="1" applyAlignment="1">
      <alignment vertical="top" wrapText="1"/>
    </xf>
    <xf numFmtId="10" fontId="13" fillId="0" borderId="1" xfId="7" applyNumberFormat="1" applyFont="1" applyBorder="1" applyAlignment="1">
      <alignment vertical="top" wrapText="1"/>
    </xf>
    <xf numFmtId="0" fontId="13" fillId="0" borderId="0" xfId="0" applyFont="1" applyBorder="1" applyAlignment="1">
      <alignment vertical="top"/>
    </xf>
    <xf numFmtId="10" fontId="13" fillId="0" borderId="1" xfId="7" applyNumberFormat="1" applyFont="1" applyBorder="1" applyAlignment="1">
      <alignment vertical="top"/>
    </xf>
    <xf numFmtId="165" fontId="13" fillId="0" borderId="1" xfId="0" applyNumberFormat="1" applyFont="1" applyBorder="1" applyAlignment="1">
      <alignment vertical="top"/>
    </xf>
    <xf numFmtId="0" fontId="13" fillId="6" borderId="1" xfId="0" applyFont="1" applyFill="1" applyBorder="1" applyAlignment="1">
      <alignment vertical="top"/>
    </xf>
    <xf numFmtId="169" fontId="13" fillId="6" borderId="1" xfId="0" applyNumberFormat="1" applyFont="1" applyFill="1" applyBorder="1" applyAlignment="1">
      <alignment vertical="top" wrapText="1"/>
    </xf>
    <xf numFmtId="169" fontId="13" fillId="6" borderId="1" xfId="0" applyNumberFormat="1" applyFont="1" applyFill="1" applyBorder="1"/>
    <xf numFmtId="0" fontId="13" fillId="6" borderId="1" xfId="0" applyFont="1" applyFill="1" applyBorder="1"/>
    <xf numFmtId="10" fontId="13" fillId="6" borderId="1" xfId="7" applyNumberFormat="1" applyFont="1" applyFill="1" applyBorder="1" applyAlignment="1">
      <alignment vertical="top" wrapText="1"/>
    </xf>
    <xf numFmtId="0" fontId="13" fillId="6" borderId="0" xfId="0" applyFont="1" applyFill="1" applyBorder="1" applyAlignment="1">
      <alignment vertical="top"/>
    </xf>
    <xf numFmtId="10" fontId="13" fillId="6" borderId="1" xfId="7" applyNumberFormat="1" applyFont="1" applyFill="1" applyBorder="1" applyAlignment="1">
      <alignment vertical="top"/>
    </xf>
    <xf numFmtId="165" fontId="13" fillId="6" borderId="1" xfId="0" applyNumberFormat="1" applyFont="1" applyFill="1" applyBorder="1" applyAlignment="1">
      <alignment vertical="top"/>
    </xf>
    <xf numFmtId="0" fontId="13" fillId="6" borderId="0" xfId="0" applyFont="1" applyFill="1"/>
    <xf numFmtId="0" fontId="13" fillId="6" borderId="0" xfId="0" applyFont="1" applyFill="1" applyAlignment="1">
      <alignment vertical="top"/>
    </xf>
    <xf numFmtId="0" fontId="13" fillId="6" borderId="1" xfId="0" applyFont="1" applyFill="1" applyBorder="1" applyAlignment="1">
      <alignment vertical="top" wrapText="1"/>
    </xf>
    <xf numFmtId="169" fontId="13" fillId="0" borderId="1" xfId="0" applyNumberFormat="1" applyFont="1" applyBorder="1"/>
    <xf numFmtId="0" fontId="23" fillId="0" borderId="1" xfId="0" applyFont="1" applyBorder="1" applyAlignment="1">
      <alignment vertical="top" wrapText="1"/>
    </xf>
    <xf numFmtId="0" fontId="24" fillId="0" borderId="0" xfId="0" applyFont="1"/>
    <xf numFmtId="0" fontId="25" fillId="0" borderId="0" xfId="0" applyFont="1" applyAlignment="1">
      <alignment vertical="center"/>
    </xf>
    <xf numFmtId="0" fontId="15" fillId="4" borderId="1" xfId="0" applyFont="1" applyFill="1" applyBorder="1" applyAlignment="1">
      <alignment horizontal="center"/>
    </xf>
    <xf numFmtId="0" fontId="15" fillId="4" borderId="1" xfId="0" applyFont="1" applyFill="1" applyBorder="1" applyAlignment="1">
      <alignment horizontal="center" wrapText="1"/>
    </xf>
    <xf numFmtId="164" fontId="13" fillId="0" borderId="1" xfId="6" applyFont="1" applyBorder="1"/>
    <xf numFmtId="164" fontId="15" fillId="0" borderId="1" xfId="6" applyFont="1" applyBorder="1"/>
    <xf numFmtId="170" fontId="13" fillId="0" borderId="1" xfId="6" applyNumberFormat="1" applyFont="1" applyBorder="1"/>
    <xf numFmtId="167" fontId="13" fillId="0" borderId="1" xfId="7" applyNumberFormat="1" applyFont="1" applyBorder="1" applyAlignment="1">
      <alignment wrapText="1"/>
    </xf>
    <xf numFmtId="171" fontId="15" fillId="0" borderId="1" xfId="6" applyNumberFormat="1" applyFont="1" applyBorder="1"/>
    <xf numFmtId="170" fontId="15" fillId="0" borderId="1" xfId="6" applyNumberFormat="1" applyFont="1" applyBorder="1"/>
    <xf numFmtId="167" fontId="15" fillId="0" borderId="1" xfId="7" applyNumberFormat="1" applyFont="1" applyBorder="1" applyAlignment="1">
      <alignment wrapText="1"/>
    </xf>
    <xf numFmtId="172" fontId="13" fillId="0" borderId="0" xfId="0" applyNumberFormat="1" applyFont="1"/>
    <xf numFmtId="2" fontId="20" fillId="0" borderId="0" xfId="0" applyNumberFormat="1" applyFont="1"/>
    <xf numFmtId="169" fontId="13" fillId="0" borderId="0" xfId="0" applyNumberFormat="1" applyFont="1" applyBorder="1" applyAlignment="1">
      <alignment vertical="top"/>
    </xf>
    <xf numFmtId="0" fontId="15" fillId="4" borderId="2" xfId="0" applyFont="1" applyFill="1" applyBorder="1" applyAlignment="1">
      <alignment horizontal="center" wrapText="1"/>
    </xf>
    <xf numFmtId="0" fontId="13" fillId="0" borderId="0" xfId="0" applyFont="1" applyFill="1" applyBorder="1"/>
    <xf numFmtId="0" fontId="13" fillId="0" borderId="0" xfId="0" applyFont="1" applyFill="1" applyBorder="1" applyAlignment="1">
      <alignment vertical="top"/>
    </xf>
    <xf numFmtId="164" fontId="13" fillId="0" borderId="2" xfId="6" applyFont="1" applyBorder="1"/>
    <xf numFmtId="168" fontId="13" fillId="0" borderId="1" xfId="11" applyNumberFormat="1" applyFont="1" applyBorder="1"/>
    <xf numFmtId="168" fontId="13" fillId="0" borderId="1" xfId="11" applyNumberFormat="1" applyFont="1" applyFill="1" applyBorder="1"/>
    <xf numFmtId="2" fontId="13" fillId="0" borderId="1" xfId="6" applyNumberFormat="1" applyFont="1" applyBorder="1"/>
    <xf numFmtId="2" fontId="15" fillId="0" borderId="1" xfId="6" applyNumberFormat="1" applyFont="1" applyBorder="1"/>
    <xf numFmtId="169" fontId="13" fillId="0" borderId="1" xfId="0" applyNumberFormat="1" applyFont="1" applyFill="1" applyBorder="1" applyAlignment="1">
      <alignment vertical="top" wrapText="1"/>
    </xf>
    <xf numFmtId="0" fontId="13" fillId="0" borderId="1" xfId="0" applyFont="1" applyFill="1" applyBorder="1" applyAlignment="1">
      <alignment vertical="top"/>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5" xfId="0" applyFont="1" applyBorder="1" applyAlignment="1">
      <alignment horizontal="left" vertical="top"/>
    </xf>
    <xf numFmtId="0" fontId="13" fillId="0" borderId="3" xfId="0" applyFont="1" applyBorder="1" applyAlignment="1">
      <alignment horizontal="left" vertical="top"/>
    </xf>
    <xf numFmtId="0" fontId="13" fillId="0" borderId="1" xfId="0" applyFont="1" applyBorder="1" applyAlignment="1">
      <alignment horizontal="left"/>
    </xf>
    <xf numFmtId="0" fontId="13" fillId="0" borderId="1" xfId="0" applyFont="1" applyBorder="1" applyAlignment="1">
      <alignment horizontal="center"/>
    </xf>
    <xf numFmtId="14" fontId="13" fillId="0" borderId="1" xfId="0" applyNumberFormat="1" applyFont="1" applyBorder="1" applyAlignment="1">
      <alignment horizontal="center"/>
    </xf>
  </cellXfs>
  <cellStyles count="22">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6" xfId="17"/>
    <cellStyle name="Normal 9" xfId="3"/>
    <cellStyle name="Percent" xfId="7" builtinId="5"/>
    <cellStyle name="Percent 2" xfId="2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6350</xdr:colOff>
      <xdr:row>15</xdr:row>
      <xdr:rowOff>38100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Addressing low pressure enhancement feeder model</a:t>
          </a:r>
          <a:endParaRPr lang="en-GB" sz="1000">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Objective</a:t>
          </a:r>
          <a:endParaRPr lang="en-GB" sz="1000">
            <a:effectLst/>
          </a:endParaRPr>
        </a:p>
        <a:p>
          <a:r>
            <a:rPr lang="en-GB" sz="1100">
              <a:solidFill>
                <a:schemeClr val="dk1"/>
              </a:solidFill>
              <a:effectLst/>
              <a:latin typeface="+mn-lt"/>
              <a:ea typeface="+mn-ea"/>
              <a:cs typeface="+mn-cs"/>
            </a:rPr>
            <a:t>To assess enhancement capex expenditure submitted by companies in their PR19 business plan submissions for</a:t>
          </a:r>
          <a:r>
            <a:rPr lang="en-GB" sz="1100" baseline="0">
              <a:solidFill>
                <a:schemeClr val="dk1"/>
              </a:solidFill>
              <a:effectLst/>
              <a:latin typeface="+mn-lt"/>
              <a:ea typeface="+mn-ea"/>
              <a:cs typeface="+mn-cs"/>
            </a:rPr>
            <a:t> addressing low pressure</a:t>
          </a:r>
          <a:r>
            <a:rPr lang="en-GB" sz="1100">
              <a:solidFill>
                <a:schemeClr val="dk1"/>
              </a:solidFill>
              <a:effectLst/>
              <a:latin typeface="+mn-lt"/>
              <a:ea typeface="+mn-ea"/>
              <a:cs typeface="+mn-cs"/>
            </a:rPr>
            <a:t>.</a:t>
          </a:r>
          <a:endParaRPr lang="en-GB" sz="1000">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endParaRPr lang="en-GB" sz="1000">
            <a:effectLst/>
          </a:endParaRPr>
        </a:p>
        <a:p>
          <a:r>
            <a:rPr lang="en-GB" sz="1100" b="0" i="0">
              <a:solidFill>
                <a:schemeClr val="dk1"/>
              </a:solidFill>
              <a:effectLst/>
              <a:latin typeface="+mn-lt"/>
              <a:ea typeface="+mn-ea"/>
              <a:cs typeface="+mn-cs"/>
            </a:rPr>
            <a:t>All company proposals for addressing low pressure are of low materiality and we follow our shallow dive process. Where companies identified new development as a cause of low pressure we reallocate a proportion of submitted cost to that assessment. </a:t>
          </a:r>
          <a:endParaRPr lang="en-GB"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1768078</xdr:colOff>
      <xdr:row>49</xdr:row>
      <xdr:rowOff>0</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12858" y="905422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6</xdr:col>
      <xdr:colOff>397807</xdr:colOff>
      <xdr:row>2</xdr:row>
      <xdr:rowOff>106457</xdr:rowOff>
    </xdr:from>
    <xdr:to>
      <xdr:col>9</xdr:col>
      <xdr:colOff>100854</xdr:colOff>
      <xdr:row>10</xdr:row>
      <xdr:rowOff>28016</xdr:rowOff>
    </xdr:to>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7351058" y="554692"/>
          <a:ext cx="6303311" cy="215153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Summary:</a:t>
          </a:r>
        </a:p>
        <a:p>
          <a:r>
            <a:rPr lang="en-GB" sz="1100"/>
            <a:t>* 5 Companies submitted </a:t>
          </a:r>
        </a:p>
        <a:p>
          <a:r>
            <a:rPr lang="en-GB" sz="1100"/>
            <a:t>* Not</a:t>
          </a:r>
          <a:r>
            <a:rPr lang="en-GB" sz="1100" baseline="0"/>
            <a:t> material for all. </a:t>
          </a:r>
        </a:p>
        <a:p>
          <a:r>
            <a:rPr lang="en-GB" sz="1100" baseline="0"/>
            <a:t>* No Unit cost model identified  </a:t>
          </a:r>
        </a:p>
        <a:p>
          <a:r>
            <a:rPr lang="en-GB" sz="1100" baseline="0"/>
            <a:t>* Companies are using different PCs and ODIs therefore comparison is difficult. </a:t>
          </a:r>
        </a:p>
        <a:p>
          <a:r>
            <a:rPr lang="en-GB" sz="1100" baseline="0"/>
            <a:t>* Companies previously funded to resolve low pressure .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529166</xdr:colOff>
      <xdr:row>32</xdr:row>
      <xdr:rowOff>116416</xdr:rowOff>
    </xdr:from>
    <xdr:ext cx="184731" cy="264560"/>
    <xdr:sp macro="" textlink="">
      <xdr:nvSpPr>
        <xdr:cNvPr id="4" name="TextBox 3"/>
        <xdr:cNvSpPr txBox="1"/>
      </xdr:nvSpPr>
      <xdr:spPr>
        <a:xfrm>
          <a:off x="5286375" y="6455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showGridLines="0" tabSelected="1" zoomScale="80" zoomScaleNormal="80" workbookViewId="0">
      <selection activeCell="B24" sqref="B24"/>
    </sheetView>
  </sheetViews>
  <sheetFormatPr defaultColWidth="8.81640625" defaultRowHeight="14.5" x14ac:dyDescent="0.35"/>
  <cols>
    <col min="1" max="1" width="11.1796875" style="41" customWidth="1"/>
    <col min="2" max="2" width="100.453125" style="41" customWidth="1"/>
    <col min="3" max="3" width="18" style="42" customWidth="1"/>
    <col min="4" max="16384" width="8.81640625" style="41"/>
  </cols>
  <sheetData>
    <row r="1" spans="1:3" ht="20.25" customHeight="1" x14ac:dyDescent="0.45">
      <c r="A1" s="39" t="s">
        <v>134</v>
      </c>
      <c r="B1" s="40"/>
      <c r="C1" s="40"/>
    </row>
    <row r="2" spans="1:3" ht="17.25" customHeight="1" x14ac:dyDescent="0.35"/>
    <row r="3" spans="1:3" ht="17.25" customHeight="1" x14ac:dyDescent="0.35"/>
    <row r="4" spans="1:3" ht="17.25" customHeight="1" x14ac:dyDescent="0.35"/>
    <row r="5" spans="1:3" ht="17.25" customHeight="1" x14ac:dyDescent="0.35"/>
    <row r="6" spans="1:3" ht="17.25" customHeight="1" x14ac:dyDescent="0.35"/>
    <row r="7" spans="1:3" ht="17.25" customHeight="1" x14ac:dyDescent="0.35"/>
    <row r="8" spans="1:3" ht="17.25" customHeight="1" x14ac:dyDescent="0.35"/>
    <row r="9" spans="1:3" ht="17.25" customHeight="1" x14ac:dyDescent="0.35"/>
    <row r="10" spans="1:3" ht="17.25" customHeight="1" x14ac:dyDescent="0.35"/>
    <row r="11" spans="1:3" ht="17.25" customHeight="1" x14ac:dyDescent="0.35"/>
    <row r="12" spans="1:3" ht="17.25" customHeight="1" x14ac:dyDescent="0.35"/>
    <row r="13" spans="1:3" ht="17.25" customHeight="1" x14ac:dyDescent="0.35"/>
    <row r="14" spans="1:3" ht="17.25" customHeight="1" x14ac:dyDescent="0.35"/>
    <row r="15" spans="1:3" ht="17.25" customHeight="1" x14ac:dyDescent="0.35"/>
    <row r="16" spans="1:3" ht="17.25" customHeight="1" x14ac:dyDescent="0.35"/>
    <row r="17" ht="17.25" customHeight="1"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96"/>
  <sheetViews>
    <sheetView showGridLines="0" zoomScale="80" zoomScaleNormal="80" workbookViewId="0">
      <pane xSplit="3" ySplit="6" topLeftCell="D7" activePane="bottomRight" state="frozen"/>
      <selection pane="topRight" activeCell="D1" sqref="D1"/>
      <selection pane="bottomLeft" activeCell="A8" sqref="A8"/>
      <selection pane="bottomRight" activeCell="H21" sqref="H21"/>
    </sheetView>
  </sheetViews>
  <sheetFormatPr defaultColWidth="8.54296875" defaultRowHeight="13" x14ac:dyDescent="0.3"/>
  <cols>
    <col min="1" max="1" width="10.54296875" style="29" customWidth="1"/>
    <col min="2" max="2" width="11.453125" style="29" customWidth="1"/>
    <col min="3" max="3" width="10.453125" style="29" customWidth="1"/>
    <col min="4" max="5" width="13.81640625" style="2" customWidth="1"/>
    <col min="6" max="16384" width="8.54296875" style="2"/>
  </cols>
  <sheetData>
    <row r="1" spans="1:5" ht="18.5" x14ac:dyDescent="0.3">
      <c r="A1" s="38" t="s">
        <v>166</v>
      </c>
    </row>
    <row r="5" spans="1:5" s="31" customFormat="1" ht="26" x14ac:dyDescent="0.35">
      <c r="A5" s="30" t="s">
        <v>0</v>
      </c>
      <c r="B5" s="30" t="s">
        <v>1</v>
      </c>
      <c r="C5" s="30" t="s">
        <v>2</v>
      </c>
      <c r="D5" s="30" t="s">
        <v>131</v>
      </c>
      <c r="E5" s="30" t="s">
        <v>130</v>
      </c>
    </row>
    <row r="6" spans="1:5" ht="26" x14ac:dyDescent="0.3">
      <c r="A6" s="30" t="s">
        <v>169</v>
      </c>
      <c r="B6" s="30" t="s">
        <v>20</v>
      </c>
      <c r="C6" s="30" t="s">
        <v>170</v>
      </c>
      <c r="D6" s="30" t="s">
        <v>167</v>
      </c>
      <c r="E6" s="30" t="s">
        <v>168</v>
      </c>
    </row>
    <row r="7" spans="1:5" x14ac:dyDescent="0.3">
      <c r="A7" s="33" t="s">
        <v>52</v>
      </c>
      <c r="B7" s="34" t="s">
        <v>3</v>
      </c>
      <c r="C7" s="3" t="s">
        <v>177</v>
      </c>
      <c r="D7" s="32">
        <v>0.94126948108188002</v>
      </c>
      <c r="E7" s="37">
        <v>498.47770338281299</v>
      </c>
    </row>
    <row r="8" spans="1:5" x14ac:dyDescent="0.3">
      <c r="A8" s="33" t="s">
        <v>53</v>
      </c>
      <c r="B8" s="34" t="s">
        <v>3</v>
      </c>
      <c r="C8" s="3" t="s">
        <v>178</v>
      </c>
      <c r="D8" s="32">
        <v>2.6981367334325101</v>
      </c>
      <c r="E8" s="37">
        <v>579.18202511472305</v>
      </c>
    </row>
    <row r="9" spans="1:5" x14ac:dyDescent="0.3">
      <c r="A9" s="33" t="s">
        <v>54</v>
      </c>
      <c r="B9" s="34" t="s">
        <v>3</v>
      </c>
      <c r="C9" s="3" t="s">
        <v>179</v>
      </c>
      <c r="D9" s="32">
        <v>3.3890142044909699</v>
      </c>
      <c r="E9" s="37">
        <v>637.09420862741194</v>
      </c>
    </row>
    <row r="10" spans="1:5" x14ac:dyDescent="0.3">
      <c r="A10" s="33" t="s">
        <v>55</v>
      </c>
      <c r="B10" s="34" t="s">
        <v>3</v>
      </c>
      <c r="C10" s="3" t="s">
        <v>180</v>
      </c>
      <c r="D10" s="32">
        <v>1.2307759115444701</v>
      </c>
      <c r="E10" s="37">
        <v>622.90395098778004</v>
      </c>
    </row>
    <row r="11" spans="1:5" x14ac:dyDescent="0.3">
      <c r="A11" s="33" t="s">
        <v>56</v>
      </c>
      <c r="B11" s="34" t="s">
        <v>3</v>
      </c>
      <c r="C11" s="3" t="s">
        <v>181</v>
      </c>
      <c r="D11" s="32">
        <v>0.45385693865171201</v>
      </c>
      <c r="E11" s="37">
        <v>476.34762997356398</v>
      </c>
    </row>
    <row r="12" spans="1:5" x14ac:dyDescent="0.3">
      <c r="A12" s="33" t="s">
        <v>57</v>
      </c>
      <c r="B12" s="34" t="s">
        <v>4</v>
      </c>
      <c r="C12" s="3" t="s">
        <v>177</v>
      </c>
      <c r="D12" s="32">
        <v>0</v>
      </c>
      <c r="E12" s="37">
        <v>349.52199999999999</v>
      </c>
    </row>
    <row r="13" spans="1:5" x14ac:dyDescent="0.3">
      <c r="A13" s="33" t="s">
        <v>58</v>
      </c>
      <c r="B13" s="34" t="s">
        <v>4</v>
      </c>
      <c r="C13" s="3" t="s">
        <v>178</v>
      </c>
      <c r="D13" s="32">
        <v>0</v>
      </c>
      <c r="E13" s="37">
        <v>369.464</v>
      </c>
    </row>
    <row r="14" spans="1:5" x14ac:dyDescent="0.3">
      <c r="A14" s="33" t="s">
        <v>59</v>
      </c>
      <c r="B14" s="34" t="s">
        <v>4</v>
      </c>
      <c r="C14" s="3" t="s">
        <v>179</v>
      </c>
      <c r="D14" s="32">
        <v>0</v>
      </c>
      <c r="E14" s="37">
        <v>361.08300000000003</v>
      </c>
    </row>
    <row r="15" spans="1:5" x14ac:dyDescent="0.3">
      <c r="A15" s="33" t="s">
        <v>60</v>
      </c>
      <c r="B15" s="34" t="s">
        <v>4</v>
      </c>
      <c r="C15" s="3" t="s">
        <v>180</v>
      </c>
      <c r="D15" s="32">
        <v>0</v>
      </c>
      <c r="E15" s="37">
        <v>337.65199999999999</v>
      </c>
    </row>
    <row r="16" spans="1:5" x14ac:dyDescent="0.3">
      <c r="A16" s="33" t="s">
        <v>61</v>
      </c>
      <c r="B16" s="34" t="s">
        <v>4</v>
      </c>
      <c r="C16" s="3" t="s">
        <v>181</v>
      </c>
      <c r="D16" s="32">
        <v>0</v>
      </c>
      <c r="E16" s="37">
        <v>312.16300000000001</v>
      </c>
    </row>
    <row r="17" spans="1:5" x14ac:dyDescent="0.3">
      <c r="A17" s="33" t="s">
        <v>62</v>
      </c>
      <c r="B17" s="34" t="s">
        <v>5</v>
      </c>
      <c r="C17" s="3" t="s">
        <v>177</v>
      </c>
      <c r="D17" s="32">
        <v>0</v>
      </c>
      <c r="E17" s="37">
        <v>546.91416406629901</v>
      </c>
    </row>
    <row r="18" spans="1:5" x14ac:dyDescent="0.3">
      <c r="A18" s="33" t="s">
        <v>63</v>
      </c>
      <c r="B18" s="34" t="s">
        <v>5</v>
      </c>
      <c r="C18" s="3" t="s">
        <v>178</v>
      </c>
      <c r="D18" s="32">
        <v>0</v>
      </c>
      <c r="E18" s="37">
        <v>511.02602983742503</v>
      </c>
    </row>
    <row r="19" spans="1:5" x14ac:dyDescent="0.3">
      <c r="A19" s="33" t="s">
        <v>64</v>
      </c>
      <c r="B19" s="34" t="s">
        <v>5</v>
      </c>
      <c r="C19" s="3" t="s">
        <v>179</v>
      </c>
      <c r="D19" s="32">
        <v>0</v>
      </c>
      <c r="E19" s="37">
        <v>491.88321983896702</v>
      </c>
    </row>
    <row r="20" spans="1:5" x14ac:dyDescent="0.3">
      <c r="A20" s="33" t="s">
        <v>65</v>
      </c>
      <c r="B20" s="34" t="s">
        <v>5</v>
      </c>
      <c r="C20" s="3" t="s">
        <v>180</v>
      </c>
      <c r="D20" s="32">
        <v>0</v>
      </c>
      <c r="E20" s="37">
        <v>466.261810421863</v>
      </c>
    </row>
    <row r="21" spans="1:5" x14ac:dyDescent="0.3">
      <c r="A21" s="33" t="s">
        <v>66</v>
      </c>
      <c r="B21" s="34" t="s">
        <v>5</v>
      </c>
      <c r="C21" s="3" t="s">
        <v>181</v>
      </c>
      <c r="D21" s="32">
        <v>0</v>
      </c>
      <c r="E21" s="37">
        <v>461.41828629616703</v>
      </c>
    </row>
    <row r="22" spans="1:5" x14ac:dyDescent="0.3">
      <c r="A22" s="33" t="s">
        <v>67</v>
      </c>
      <c r="B22" s="34" t="s">
        <v>6</v>
      </c>
      <c r="C22" s="3" t="s">
        <v>177</v>
      </c>
      <c r="D22" s="32">
        <v>0</v>
      </c>
      <c r="E22" s="37">
        <v>250.37200000000001</v>
      </c>
    </row>
    <row r="23" spans="1:5" x14ac:dyDescent="0.3">
      <c r="A23" s="33" t="s">
        <v>68</v>
      </c>
      <c r="B23" s="34" t="s">
        <v>6</v>
      </c>
      <c r="C23" s="3" t="s">
        <v>178</v>
      </c>
      <c r="D23" s="32">
        <v>0</v>
      </c>
      <c r="E23" s="37">
        <v>250.60900000000001</v>
      </c>
    </row>
    <row r="24" spans="1:5" x14ac:dyDescent="0.3">
      <c r="A24" s="33" t="s">
        <v>69</v>
      </c>
      <c r="B24" s="34" t="s">
        <v>6</v>
      </c>
      <c r="C24" s="3" t="s">
        <v>179</v>
      </c>
      <c r="D24" s="32">
        <v>0</v>
      </c>
      <c r="E24" s="37">
        <v>233.85300000000001</v>
      </c>
    </row>
    <row r="25" spans="1:5" x14ac:dyDescent="0.3">
      <c r="A25" s="33" t="s">
        <v>70</v>
      </c>
      <c r="B25" s="34" t="s">
        <v>6</v>
      </c>
      <c r="C25" s="3" t="s">
        <v>180</v>
      </c>
      <c r="D25" s="32">
        <v>0</v>
      </c>
      <c r="E25" s="37">
        <v>230.23699999999999</v>
      </c>
    </row>
    <row r="26" spans="1:5" x14ac:dyDescent="0.3">
      <c r="A26" s="33" t="s">
        <v>71</v>
      </c>
      <c r="B26" s="34" t="s">
        <v>6</v>
      </c>
      <c r="C26" s="3" t="s">
        <v>181</v>
      </c>
      <c r="D26" s="32">
        <v>0</v>
      </c>
      <c r="E26" s="37">
        <v>261.53300000000002</v>
      </c>
    </row>
    <row r="27" spans="1:5" x14ac:dyDescent="0.3">
      <c r="A27" s="33" t="s">
        <v>72</v>
      </c>
      <c r="B27" s="34" t="s">
        <v>8</v>
      </c>
      <c r="C27" s="3" t="s">
        <v>177</v>
      </c>
      <c r="D27" s="32">
        <v>0</v>
      </c>
      <c r="E27" s="37">
        <v>164.92599999999999</v>
      </c>
    </row>
    <row r="28" spans="1:5" x14ac:dyDescent="0.3">
      <c r="A28" s="33" t="s">
        <v>73</v>
      </c>
      <c r="B28" s="34" t="s">
        <v>8</v>
      </c>
      <c r="C28" s="3" t="s">
        <v>178</v>
      </c>
      <c r="D28" s="32">
        <v>0</v>
      </c>
      <c r="E28" s="37">
        <v>179.66900000000001</v>
      </c>
    </row>
    <row r="29" spans="1:5" x14ac:dyDescent="0.3">
      <c r="A29" s="33" t="s">
        <v>74</v>
      </c>
      <c r="B29" s="34" t="s">
        <v>8</v>
      </c>
      <c r="C29" s="3" t="s">
        <v>179</v>
      </c>
      <c r="D29" s="32">
        <v>0</v>
      </c>
      <c r="E29" s="37">
        <v>192.19399999999999</v>
      </c>
    </row>
    <row r="30" spans="1:5" x14ac:dyDescent="0.3">
      <c r="A30" s="33" t="s">
        <v>75</v>
      </c>
      <c r="B30" s="34" t="s">
        <v>8</v>
      </c>
      <c r="C30" s="3" t="s">
        <v>180</v>
      </c>
      <c r="D30" s="32">
        <v>0</v>
      </c>
      <c r="E30" s="37">
        <v>181.702</v>
      </c>
    </row>
    <row r="31" spans="1:5" x14ac:dyDescent="0.3">
      <c r="A31" s="33" t="s">
        <v>76</v>
      </c>
      <c r="B31" s="34" t="s">
        <v>8</v>
      </c>
      <c r="C31" s="3" t="s">
        <v>181</v>
      </c>
      <c r="D31" s="32">
        <v>0</v>
      </c>
      <c r="E31" s="37">
        <v>175.761</v>
      </c>
    </row>
    <row r="32" spans="1:5" x14ac:dyDescent="0.3">
      <c r="A32" s="33" t="s">
        <v>77</v>
      </c>
      <c r="B32" s="34" t="s">
        <v>9</v>
      </c>
      <c r="C32" s="3" t="s">
        <v>177</v>
      </c>
      <c r="D32" s="32">
        <v>0</v>
      </c>
      <c r="E32" s="37">
        <v>1070.0059304862</v>
      </c>
    </row>
    <row r="33" spans="1:5" x14ac:dyDescent="0.3">
      <c r="A33" s="33" t="s">
        <v>78</v>
      </c>
      <c r="B33" s="34" t="s">
        <v>9</v>
      </c>
      <c r="C33" s="3" t="s">
        <v>178</v>
      </c>
      <c r="D33" s="32">
        <v>0</v>
      </c>
      <c r="E33" s="37">
        <v>1195.82265311585</v>
      </c>
    </row>
    <row r="34" spans="1:5" x14ac:dyDescent="0.3">
      <c r="A34" s="33" t="s">
        <v>79</v>
      </c>
      <c r="B34" s="34" t="s">
        <v>9</v>
      </c>
      <c r="C34" s="3" t="s">
        <v>179</v>
      </c>
      <c r="D34" s="32">
        <v>0</v>
      </c>
      <c r="E34" s="37">
        <v>1164.87342744906</v>
      </c>
    </row>
    <row r="35" spans="1:5" x14ac:dyDescent="0.3">
      <c r="A35" s="33" t="s">
        <v>80</v>
      </c>
      <c r="B35" s="34" t="s">
        <v>9</v>
      </c>
      <c r="C35" s="3" t="s">
        <v>180</v>
      </c>
      <c r="D35" s="32">
        <v>0</v>
      </c>
      <c r="E35" s="37">
        <v>1136.5628313935199</v>
      </c>
    </row>
    <row r="36" spans="1:5" x14ac:dyDescent="0.3">
      <c r="A36" s="33" t="s">
        <v>81</v>
      </c>
      <c r="B36" s="34" t="s">
        <v>9</v>
      </c>
      <c r="C36" s="3" t="s">
        <v>181</v>
      </c>
      <c r="D36" s="32">
        <v>0</v>
      </c>
      <c r="E36" s="37">
        <v>1090.9390820118099</v>
      </c>
    </row>
    <row r="37" spans="1:5" x14ac:dyDescent="0.3">
      <c r="A37" s="33" t="s">
        <v>82</v>
      </c>
      <c r="B37" s="34" t="s">
        <v>10</v>
      </c>
      <c r="C37" s="3" t="s">
        <v>177</v>
      </c>
      <c r="D37" s="32">
        <v>0.27200000000000002</v>
      </c>
      <c r="E37" s="37">
        <v>329.959</v>
      </c>
    </row>
    <row r="38" spans="1:5" x14ac:dyDescent="0.3">
      <c r="A38" s="33" t="s">
        <v>83</v>
      </c>
      <c r="B38" s="34" t="s">
        <v>10</v>
      </c>
      <c r="C38" s="3" t="s">
        <v>178</v>
      </c>
      <c r="D38" s="32">
        <v>0.26900000000000002</v>
      </c>
      <c r="E38" s="37">
        <v>343.76</v>
      </c>
    </row>
    <row r="39" spans="1:5" x14ac:dyDescent="0.3">
      <c r="A39" s="33" t="s">
        <v>84</v>
      </c>
      <c r="B39" s="34" t="s">
        <v>10</v>
      </c>
      <c r="C39" s="3" t="s">
        <v>179</v>
      </c>
      <c r="D39" s="32">
        <v>0.26600000000000001</v>
      </c>
      <c r="E39" s="37">
        <v>335.88499999999999</v>
      </c>
    </row>
    <row r="40" spans="1:5" x14ac:dyDescent="0.3">
      <c r="A40" s="33" t="s">
        <v>85</v>
      </c>
      <c r="B40" s="34" t="s">
        <v>10</v>
      </c>
      <c r="C40" s="3" t="s">
        <v>180</v>
      </c>
      <c r="D40" s="32">
        <v>0.26200000000000001</v>
      </c>
      <c r="E40" s="37">
        <v>322.13900000000001</v>
      </c>
    </row>
    <row r="41" spans="1:5" x14ac:dyDescent="0.3">
      <c r="A41" s="33" t="s">
        <v>86</v>
      </c>
      <c r="B41" s="34" t="s">
        <v>10</v>
      </c>
      <c r="C41" s="3" t="s">
        <v>181</v>
      </c>
      <c r="D41" s="32">
        <v>0.25900000000000001</v>
      </c>
      <c r="E41" s="37">
        <v>314.649</v>
      </c>
    </row>
    <row r="42" spans="1:5" x14ac:dyDescent="0.3">
      <c r="A42" s="33" t="s">
        <v>87</v>
      </c>
      <c r="B42" s="34" t="s">
        <v>11</v>
      </c>
      <c r="C42" s="3" t="s">
        <v>177</v>
      </c>
      <c r="D42" s="32">
        <v>0</v>
      </c>
      <c r="E42" s="37">
        <v>136.11830693204701</v>
      </c>
    </row>
    <row r="43" spans="1:5" x14ac:dyDescent="0.3">
      <c r="A43" s="33" t="s">
        <v>88</v>
      </c>
      <c r="B43" s="34" t="s">
        <v>11</v>
      </c>
      <c r="C43" s="3" t="s">
        <v>178</v>
      </c>
      <c r="D43" s="32">
        <v>0</v>
      </c>
      <c r="E43" s="37">
        <v>127.600640139625</v>
      </c>
    </row>
    <row r="44" spans="1:5" x14ac:dyDescent="0.3">
      <c r="A44" s="33" t="s">
        <v>89</v>
      </c>
      <c r="B44" s="34" t="s">
        <v>11</v>
      </c>
      <c r="C44" s="3" t="s">
        <v>179</v>
      </c>
      <c r="D44" s="32">
        <v>0</v>
      </c>
      <c r="E44" s="37">
        <v>146.37373859446299</v>
      </c>
    </row>
    <row r="45" spans="1:5" x14ac:dyDescent="0.3">
      <c r="A45" s="33" t="s">
        <v>90</v>
      </c>
      <c r="B45" s="34" t="s">
        <v>11</v>
      </c>
      <c r="C45" s="3" t="s">
        <v>180</v>
      </c>
      <c r="D45" s="32">
        <v>0</v>
      </c>
      <c r="E45" s="37">
        <v>127.48123932778</v>
      </c>
    </row>
    <row r="46" spans="1:5" x14ac:dyDescent="0.3">
      <c r="A46" s="33" t="s">
        <v>91</v>
      </c>
      <c r="B46" s="34" t="s">
        <v>11</v>
      </c>
      <c r="C46" s="3" t="s">
        <v>181</v>
      </c>
      <c r="D46" s="32">
        <v>0</v>
      </c>
      <c r="E46" s="37">
        <v>122.774642789297</v>
      </c>
    </row>
    <row r="47" spans="1:5" x14ac:dyDescent="0.3">
      <c r="A47" s="33" t="s">
        <v>92</v>
      </c>
      <c r="B47" s="34" t="s">
        <v>12</v>
      </c>
      <c r="C47" s="3" t="s">
        <v>177</v>
      </c>
      <c r="D47" s="32">
        <v>0</v>
      </c>
      <c r="E47" s="37">
        <v>414.65499999999997</v>
      </c>
    </row>
    <row r="48" spans="1:5" x14ac:dyDescent="0.3">
      <c r="A48" s="33" t="s">
        <v>93</v>
      </c>
      <c r="B48" s="34" t="s">
        <v>12</v>
      </c>
      <c r="C48" s="3" t="s">
        <v>178</v>
      </c>
      <c r="D48" s="32">
        <v>0</v>
      </c>
      <c r="E48" s="37">
        <v>412.077</v>
      </c>
    </row>
    <row r="49" spans="1:5" x14ac:dyDescent="0.3">
      <c r="A49" s="33" t="s">
        <v>94</v>
      </c>
      <c r="B49" s="34" t="s">
        <v>12</v>
      </c>
      <c r="C49" s="3" t="s">
        <v>179</v>
      </c>
      <c r="D49" s="32">
        <v>0</v>
      </c>
      <c r="E49" s="37">
        <v>420.154</v>
      </c>
    </row>
    <row r="50" spans="1:5" x14ac:dyDescent="0.3">
      <c r="A50" s="33" t="s">
        <v>95</v>
      </c>
      <c r="B50" s="34" t="s">
        <v>12</v>
      </c>
      <c r="C50" s="3" t="s">
        <v>180</v>
      </c>
      <c r="D50" s="32">
        <v>0</v>
      </c>
      <c r="E50" s="37">
        <v>402.70400000000001</v>
      </c>
    </row>
    <row r="51" spans="1:5" x14ac:dyDescent="0.3">
      <c r="A51" s="33" t="s">
        <v>96</v>
      </c>
      <c r="B51" s="34" t="s">
        <v>12</v>
      </c>
      <c r="C51" s="3" t="s">
        <v>181</v>
      </c>
      <c r="D51" s="32">
        <v>0</v>
      </c>
      <c r="E51" s="37">
        <v>374.83300000000003</v>
      </c>
    </row>
    <row r="52" spans="1:5" x14ac:dyDescent="0.3">
      <c r="A52" s="33" t="s">
        <v>97</v>
      </c>
      <c r="B52" s="34" t="s">
        <v>13</v>
      </c>
      <c r="C52" s="3" t="s">
        <v>177</v>
      </c>
      <c r="D52" s="32">
        <v>1</v>
      </c>
      <c r="E52" s="37">
        <v>294.21575712666902</v>
      </c>
    </row>
    <row r="53" spans="1:5" x14ac:dyDescent="0.3">
      <c r="A53" s="33" t="s">
        <v>98</v>
      </c>
      <c r="B53" s="34" t="s">
        <v>13</v>
      </c>
      <c r="C53" s="3" t="s">
        <v>178</v>
      </c>
      <c r="D53" s="32">
        <v>1</v>
      </c>
      <c r="E53" s="37">
        <v>293.25057516172097</v>
      </c>
    </row>
    <row r="54" spans="1:5" x14ac:dyDescent="0.3">
      <c r="A54" s="33" t="s">
        <v>99</v>
      </c>
      <c r="B54" s="34" t="s">
        <v>13</v>
      </c>
      <c r="C54" s="3" t="s">
        <v>179</v>
      </c>
      <c r="D54" s="32">
        <v>0.2</v>
      </c>
      <c r="E54" s="37">
        <v>281.71299825291601</v>
      </c>
    </row>
    <row r="55" spans="1:5" x14ac:dyDescent="0.3">
      <c r="A55" s="33" t="s">
        <v>100</v>
      </c>
      <c r="B55" s="34" t="s">
        <v>13</v>
      </c>
      <c r="C55" s="3" t="s">
        <v>180</v>
      </c>
      <c r="D55" s="32">
        <v>0.2</v>
      </c>
      <c r="E55" s="37">
        <v>263.00993647553798</v>
      </c>
    </row>
    <row r="56" spans="1:5" x14ac:dyDescent="0.3">
      <c r="A56" s="33" t="s">
        <v>101</v>
      </c>
      <c r="B56" s="34" t="s">
        <v>13</v>
      </c>
      <c r="C56" s="3" t="s">
        <v>181</v>
      </c>
      <c r="D56" s="32">
        <v>0.1</v>
      </c>
      <c r="E56" s="37">
        <v>236.27183602763799</v>
      </c>
    </row>
    <row r="57" spans="1:5" x14ac:dyDescent="0.3">
      <c r="A57" s="33" t="s">
        <v>102</v>
      </c>
      <c r="B57" s="34" t="s">
        <v>14</v>
      </c>
      <c r="C57" s="3" t="s">
        <v>177</v>
      </c>
      <c r="D57" s="32">
        <v>0</v>
      </c>
      <c r="E57" s="37">
        <v>90.980999999999995</v>
      </c>
    </row>
    <row r="58" spans="1:5" x14ac:dyDescent="0.3">
      <c r="A58" s="33" t="s">
        <v>103</v>
      </c>
      <c r="B58" s="34" t="s">
        <v>14</v>
      </c>
      <c r="C58" s="3" t="s">
        <v>178</v>
      </c>
      <c r="D58" s="32">
        <v>0</v>
      </c>
      <c r="E58" s="37">
        <v>90.581999999999994</v>
      </c>
    </row>
    <row r="59" spans="1:5" x14ac:dyDescent="0.3">
      <c r="A59" s="33" t="s">
        <v>104</v>
      </c>
      <c r="B59" s="34" t="s">
        <v>14</v>
      </c>
      <c r="C59" s="3" t="s">
        <v>179</v>
      </c>
      <c r="D59" s="32">
        <v>0</v>
      </c>
      <c r="E59" s="37">
        <v>91.372</v>
      </c>
    </row>
    <row r="60" spans="1:5" x14ac:dyDescent="0.3">
      <c r="A60" s="33" t="s">
        <v>105</v>
      </c>
      <c r="B60" s="34" t="s">
        <v>14</v>
      </c>
      <c r="C60" s="3" t="s">
        <v>180</v>
      </c>
      <c r="D60" s="32">
        <v>0</v>
      </c>
      <c r="E60" s="37">
        <v>91.606999999999999</v>
      </c>
    </row>
    <row r="61" spans="1:5" x14ac:dyDescent="0.3">
      <c r="A61" s="33" t="s">
        <v>106</v>
      </c>
      <c r="B61" s="34" t="s">
        <v>14</v>
      </c>
      <c r="C61" s="3" t="s">
        <v>181</v>
      </c>
      <c r="D61" s="32">
        <v>0</v>
      </c>
      <c r="E61" s="37">
        <v>92.655000000000001</v>
      </c>
    </row>
    <row r="62" spans="1:5" x14ac:dyDescent="0.3">
      <c r="A62" s="33" t="s">
        <v>107</v>
      </c>
      <c r="B62" s="34" t="s">
        <v>16</v>
      </c>
      <c r="C62" s="3" t="s">
        <v>177</v>
      </c>
      <c r="D62" s="32">
        <v>0</v>
      </c>
      <c r="E62" s="37">
        <v>40.406999999999996</v>
      </c>
    </row>
    <row r="63" spans="1:5" x14ac:dyDescent="0.3">
      <c r="A63" s="33" t="s">
        <v>108</v>
      </c>
      <c r="B63" s="34" t="s">
        <v>16</v>
      </c>
      <c r="C63" s="3" t="s">
        <v>178</v>
      </c>
      <c r="D63" s="32">
        <v>0</v>
      </c>
      <c r="E63" s="37">
        <v>38.174999999999997</v>
      </c>
    </row>
    <row r="64" spans="1:5" x14ac:dyDescent="0.3">
      <c r="A64" s="33" t="s">
        <v>109</v>
      </c>
      <c r="B64" s="34" t="s">
        <v>16</v>
      </c>
      <c r="C64" s="3" t="s">
        <v>179</v>
      </c>
      <c r="D64" s="32">
        <v>0</v>
      </c>
      <c r="E64" s="37">
        <v>38.857999999999997</v>
      </c>
    </row>
    <row r="65" spans="1:5" x14ac:dyDescent="0.3">
      <c r="A65" s="33" t="s">
        <v>110</v>
      </c>
      <c r="B65" s="34" t="s">
        <v>16</v>
      </c>
      <c r="C65" s="3" t="s">
        <v>180</v>
      </c>
      <c r="D65" s="32">
        <v>0</v>
      </c>
      <c r="E65" s="37">
        <v>51.771999999999998</v>
      </c>
    </row>
    <row r="66" spans="1:5" x14ac:dyDescent="0.3">
      <c r="A66" s="33" t="s">
        <v>111</v>
      </c>
      <c r="B66" s="34" t="s">
        <v>16</v>
      </c>
      <c r="C66" s="3" t="s">
        <v>181</v>
      </c>
      <c r="D66" s="32">
        <v>0</v>
      </c>
      <c r="E66" s="37">
        <v>54.731999999999999</v>
      </c>
    </row>
    <row r="67" spans="1:5" x14ac:dyDescent="0.3">
      <c r="A67" s="33" t="s">
        <v>112</v>
      </c>
      <c r="B67" s="34" t="s">
        <v>17</v>
      </c>
      <c r="C67" s="3" t="s">
        <v>177</v>
      </c>
      <c r="D67" s="32">
        <v>0</v>
      </c>
      <c r="E67" s="37">
        <v>52.654000000000003</v>
      </c>
    </row>
    <row r="68" spans="1:5" x14ac:dyDescent="0.3">
      <c r="A68" s="33" t="s">
        <v>113</v>
      </c>
      <c r="B68" s="34" t="s">
        <v>17</v>
      </c>
      <c r="C68" s="3" t="s">
        <v>178</v>
      </c>
      <c r="D68" s="32">
        <v>0</v>
      </c>
      <c r="E68" s="37">
        <v>57.351999999999997</v>
      </c>
    </row>
    <row r="69" spans="1:5" x14ac:dyDescent="0.3">
      <c r="A69" s="33" t="s">
        <v>114</v>
      </c>
      <c r="B69" s="34" t="s">
        <v>17</v>
      </c>
      <c r="C69" s="3" t="s">
        <v>179</v>
      </c>
      <c r="D69" s="32">
        <v>0</v>
      </c>
      <c r="E69" s="37">
        <v>51.917999999999999</v>
      </c>
    </row>
    <row r="70" spans="1:5" x14ac:dyDescent="0.3">
      <c r="A70" s="33" t="s">
        <v>115</v>
      </c>
      <c r="B70" s="34" t="s">
        <v>17</v>
      </c>
      <c r="C70" s="3" t="s">
        <v>180</v>
      </c>
      <c r="D70" s="32">
        <v>0</v>
      </c>
      <c r="E70" s="37">
        <v>46.165999999999997</v>
      </c>
    </row>
    <row r="71" spans="1:5" x14ac:dyDescent="0.3">
      <c r="A71" s="33" t="s">
        <v>116</v>
      </c>
      <c r="B71" s="34" t="s">
        <v>17</v>
      </c>
      <c r="C71" s="3" t="s">
        <v>181</v>
      </c>
      <c r="D71" s="32">
        <v>0</v>
      </c>
      <c r="E71" s="37">
        <v>45.219000000000001</v>
      </c>
    </row>
    <row r="72" spans="1:5" x14ac:dyDescent="0.3">
      <c r="A72" s="33" t="s">
        <v>117</v>
      </c>
      <c r="B72" s="34" t="s">
        <v>18</v>
      </c>
      <c r="C72" s="3" t="s">
        <v>177</v>
      </c>
      <c r="D72" s="32">
        <v>0</v>
      </c>
      <c r="E72" s="37">
        <v>172.16200000000001</v>
      </c>
    </row>
    <row r="73" spans="1:5" x14ac:dyDescent="0.3">
      <c r="A73" s="33" t="s">
        <v>118</v>
      </c>
      <c r="B73" s="34" t="s">
        <v>18</v>
      </c>
      <c r="C73" s="3" t="s">
        <v>178</v>
      </c>
      <c r="D73" s="32">
        <v>0</v>
      </c>
      <c r="E73" s="37">
        <v>199.673</v>
      </c>
    </row>
    <row r="74" spans="1:5" x14ac:dyDescent="0.3">
      <c r="A74" s="33" t="s">
        <v>119</v>
      </c>
      <c r="B74" s="34" t="s">
        <v>18</v>
      </c>
      <c r="C74" s="3" t="s">
        <v>179</v>
      </c>
      <c r="D74" s="32">
        <v>0</v>
      </c>
      <c r="E74" s="37">
        <v>208.291</v>
      </c>
    </row>
    <row r="75" spans="1:5" x14ac:dyDescent="0.3">
      <c r="A75" s="33" t="s">
        <v>120</v>
      </c>
      <c r="B75" s="34" t="s">
        <v>18</v>
      </c>
      <c r="C75" s="3" t="s">
        <v>180</v>
      </c>
      <c r="D75" s="32">
        <v>0</v>
      </c>
      <c r="E75" s="37">
        <v>186.22200000000001</v>
      </c>
    </row>
    <row r="76" spans="1:5" x14ac:dyDescent="0.3">
      <c r="A76" s="33" t="s">
        <v>121</v>
      </c>
      <c r="B76" s="34" t="s">
        <v>18</v>
      </c>
      <c r="C76" s="3" t="s">
        <v>181</v>
      </c>
      <c r="D76" s="32">
        <v>0</v>
      </c>
      <c r="E76" s="37">
        <v>194.59899999999999</v>
      </c>
    </row>
    <row r="77" spans="1:5" x14ac:dyDescent="0.3">
      <c r="A77" s="33" t="s">
        <v>122</v>
      </c>
      <c r="B77" s="34" t="s">
        <v>19</v>
      </c>
      <c r="C77" s="3" t="s">
        <v>177</v>
      </c>
      <c r="D77" s="32">
        <v>9.8714468711343303E-2</v>
      </c>
      <c r="E77" s="37">
        <v>112.527432753265</v>
      </c>
    </row>
    <row r="78" spans="1:5" x14ac:dyDescent="0.3">
      <c r="A78" s="33" t="s">
        <v>123</v>
      </c>
      <c r="B78" s="34" t="s">
        <v>19</v>
      </c>
      <c r="C78" s="3" t="s">
        <v>178</v>
      </c>
      <c r="D78" s="32">
        <v>9.8714468711343303E-2</v>
      </c>
      <c r="E78" s="37">
        <v>116.29561663750501</v>
      </c>
    </row>
    <row r="79" spans="1:5" x14ac:dyDescent="0.3">
      <c r="A79" s="33" t="s">
        <v>124</v>
      </c>
      <c r="B79" s="34" t="s">
        <v>19</v>
      </c>
      <c r="C79" s="3" t="s">
        <v>179</v>
      </c>
      <c r="D79" s="32">
        <v>9.8714468711343303E-2</v>
      </c>
      <c r="E79" s="37">
        <v>117.955781425252</v>
      </c>
    </row>
    <row r="80" spans="1:5" x14ac:dyDescent="0.3">
      <c r="A80" s="33" t="s">
        <v>125</v>
      </c>
      <c r="B80" s="34" t="s">
        <v>19</v>
      </c>
      <c r="C80" s="3" t="s">
        <v>180</v>
      </c>
      <c r="D80" s="32">
        <v>9.8714468711343303E-2</v>
      </c>
      <c r="E80" s="37">
        <v>94.121966414052807</v>
      </c>
    </row>
    <row r="81" spans="1:6" x14ac:dyDescent="0.3">
      <c r="A81" s="33" t="s">
        <v>126</v>
      </c>
      <c r="B81" s="34" t="s">
        <v>19</v>
      </c>
      <c r="C81" s="3" t="s">
        <v>181</v>
      </c>
      <c r="D81" s="32">
        <v>9.8714468711343303E-2</v>
      </c>
      <c r="E81" s="37">
        <v>97.128204442325099</v>
      </c>
    </row>
    <row r="82" spans="1:6" x14ac:dyDescent="0.3">
      <c r="A82" s="33" t="str">
        <f t="shared" ref="A82" si="0">B82&amp;RIGHT(C82,2)</f>
        <v>SVE21</v>
      </c>
      <c r="B82" s="3" t="s">
        <v>127</v>
      </c>
      <c r="C82" s="3" t="s">
        <v>177</v>
      </c>
      <c r="D82" s="32">
        <v>2.02</v>
      </c>
      <c r="E82" s="37">
        <v>575.06571742576398</v>
      </c>
    </row>
    <row r="83" spans="1:6" x14ac:dyDescent="0.3">
      <c r="A83" s="33" t="str">
        <f>B83&amp;RIGHT(C83,2)</f>
        <v>SVE22</v>
      </c>
      <c r="B83" s="3" t="s">
        <v>127</v>
      </c>
      <c r="C83" s="3" t="s">
        <v>178</v>
      </c>
      <c r="D83" s="32">
        <v>2.5249999999999999</v>
      </c>
      <c r="E83" s="37">
        <v>631.12859132579104</v>
      </c>
    </row>
    <row r="84" spans="1:6" x14ac:dyDescent="0.3">
      <c r="A84" s="33" t="str">
        <f>B84&amp;RIGHT(C84,2)</f>
        <v>SVE23</v>
      </c>
      <c r="B84" s="3" t="s">
        <v>127</v>
      </c>
      <c r="C84" s="3" t="s">
        <v>179</v>
      </c>
      <c r="D84" s="32">
        <v>2.5249999999999999</v>
      </c>
      <c r="E84" s="37">
        <v>643.43469392974998</v>
      </c>
    </row>
    <row r="85" spans="1:6" x14ac:dyDescent="0.3">
      <c r="A85" s="33" t="str">
        <f>B85&amp;RIGHT(C85,2)</f>
        <v>SVE24</v>
      </c>
      <c r="B85" s="3" t="s">
        <v>127</v>
      </c>
      <c r="C85" s="3" t="s">
        <v>180</v>
      </c>
      <c r="D85" s="32">
        <v>2.02</v>
      </c>
      <c r="E85" s="37">
        <v>635.41164547131598</v>
      </c>
    </row>
    <row r="86" spans="1:6" x14ac:dyDescent="0.3">
      <c r="A86" s="33" t="str">
        <f>B86&amp;RIGHT(C86,2)</f>
        <v>SVE25</v>
      </c>
      <c r="B86" s="3" t="s">
        <v>127</v>
      </c>
      <c r="C86" s="3" t="s">
        <v>181</v>
      </c>
      <c r="D86" s="32">
        <v>1.01</v>
      </c>
      <c r="E86" s="37">
        <v>630.76354224170598</v>
      </c>
    </row>
    <row r="87" spans="1:6" x14ac:dyDescent="0.3">
      <c r="A87" s="33" t="str">
        <f t="shared" ref="A87" si="1">B87&amp;RIGHT(C87,2)</f>
        <v>HDD21</v>
      </c>
      <c r="B87" s="3" t="s">
        <v>128</v>
      </c>
      <c r="C87" s="3" t="s">
        <v>177</v>
      </c>
      <c r="D87" s="32">
        <v>0</v>
      </c>
      <c r="E87" s="37">
        <v>26.872050951823599</v>
      </c>
    </row>
    <row r="88" spans="1:6" x14ac:dyDescent="0.3">
      <c r="A88" s="33" t="str">
        <f>B88&amp;RIGHT(C88,2)</f>
        <v>HDD22</v>
      </c>
      <c r="B88" s="3" t="s">
        <v>128</v>
      </c>
      <c r="C88" s="3" t="s">
        <v>178</v>
      </c>
      <c r="D88" s="32">
        <v>0</v>
      </c>
      <c r="E88" s="37">
        <v>26.692718899269298</v>
      </c>
    </row>
    <row r="89" spans="1:6" x14ac:dyDescent="0.3">
      <c r="A89" s="33" t="str">
        <f>B89&amp;RIGHT(C89,2)</f>
        <v>HDD23</v>
      </c>
      <c r="B89" s="3" t="s">
        <v>128</v>
      </c>
      <c r="C89" s="3" t="s">
        <v>179</v>
      </c>
      <c r="D89" s="32">
        <v>0</v>
      </c>
      <c r="E89" s="37">
        <v>26.203587153191499</v>
      </c>
    </row>
    <row r="90" spans="1:6" x14ac:dyDescent="0.3">
      <c r="A90" s="33" t="str">
        <f>B90&amp;RIGHT(C90,2)</f>
        <v>HDD24</v>
      </c>
      <c r="B90" s="3" t="s">
        <v>128</v>
      </c>
      <c r="C90" s="3" t="s">
        <v>180</v>
      </c>
      <c r="D90" s="32">
        <v>0</v>
      </c>
      <c r="E90" s="37">
        <v>25.616950688549899</v>
      </c>
    </row>
    <row r="91" spans="1:6" x14ac:dyDescent="0.3">
      <c r="A91" s="33" t="str">
        <f>B91&amp;RIGHT(C91,2)</f>
        <v>HDD25</v>
      </c>
      <c r="B91" s="3" t="s">
        <v>128</v>
      </c>
      <c r="C91" s="3" t="s">
        <v>181</v>
      </c>
      <c r="D91" s="32">
        <v>0</v>
      </c>
      <c r="E91" s="37">
        <v>25.9173372120738</v>
      </c>
    </row>
    <row r="93" spans="1:6" s="36" customFormat="1" x14ac:dyDescent="0.3">
      <c r="A93" s="35"/>
      <c r="B93" s="29"/>
      <c r="C93" s="29"/>
      <c r="D93" s="29"/>
      <c r="E93" s="29"/>
      <c r="F93" s="29"/>
    </row>
    <row r="94" spans="1:6" x14ac:dyDescent="0.3">
      <c r="D94" s="29"/>
      <c r="E94" s="29"/>
      <c r="F94" s="29"/>
    </row>
    <row r="95" spans="1:6" x14ac:dyDescent="0.3">
      <c r="D95" s="29"/>
      <c r="E95" s="29"/>
      <c r="F95" s="29"/>
    </row>
    <row r="96" spans="1:6" x14ac:dyDescent="0.3">
      <c r="D96" s="29"/>
      <c r="E96" s="29"/>
      <c r="F96" s="2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52"/>
  <sheetViews>
    <sheetView showGridLines="0" zoomScaleNormal="100" workbookViewId="0">
      <selection activeCell="A17" sqref="A17"/>
    </sheetView>
  </sheetViews>
  <sheetFormatPr defaultColWidth="8.81640625" defaultRowHeight="13" x14ac:dyDescent="0.3"/>
  <cols>
    <col min="1" max="1" width="34.1796875" style="2" customWidth="1"/>
    <col min="2" max="2" width="11.54296875" style="2" customWidth="1"/>
    <col min="3" max="5" width="12.453125" style="2" customWidth="1"/>
    <col min="6" max="6" width="12" style="2" customWidth="1"/>
    <col min="7" max="8" width="12.453125" style="2" customWidth="1"/>
    <col min="9" max="9" width="67.453125" style="2" customWidth="1"/>
    <col min="10" max="10" width="19.54296875" style="2" customWidth="1"/>
    <col min="11" max="11" width="12.453125" style="2" customWidth="1"/>
    <col min="12" max="12" width="50.1796875" style="2" customWidth="1"/>
    <col min="13" max="13" width="11.1796875" style="2" customWidth="1"/>
    <col min="14" max="14" width="12.453125" style="53" customWidth="1"/>
    <col min="15" max="16" width="10.1796875" style="2" customWidth="1"/>
    <col min="17" max="17" width="12" style="2" customWidth="1"/>
    <col min="18" max="18" width="26.453125" style="2" customWidth="1"/>
    <col min="19" max="19" width="10.54296875" style="2" customWidth="1"/>
    <col min="20" max="20" width="50.54296875" style="54" customWidth="1"/>
    <col min="21" max="21" width="20.1796875" style="2" customWidth="1"/>
    <col min="22" max="22" width="15.1796875" style="2" customWidth="1"/>
    <col min="23" max="23" width="4.81640625" style="2" customWidth="1"/>
    <col min="24" max="24" width="15.1796875" style="2" customWidth="1"/>
    <col min="25" max="25" width="14.1796875" style="2" customWidth="1"/>
    <col min="26" max="16384" width="8.81640625" style="2"/>
  </cols>
  <sheetData>
    <row r="1" spans="1:25" s="45" customFormat="1" ht="18.5" x14ac:dyDescent="0.3">
      <c r="A1" s="1" t="s">
        <v>188</v>
      </c>
      <c r="B1" s="1"/>
      <c r="C1" s="1"/>
      <c r="D1" s="1"/>
      <c r="E1" s="1"/>
      <c r="F1" s="1"/>
      <c r="G1" s="1"/>
      <c r="H1" s="1"/>
      <c r="I1" s="1"/>
      <c r="J1" s="1"/>
      <c r="K1" s="1"/>
      <c r="L1" s="1"/>
      <c r="M1" s="1"/>
      <c r="N1" s="43"/>
      <c r="O1" s="1"/>
      <c r="P1" s="1"/>
      <c r="Q1" s="1"/>
      <c r="R1" s="1"/>
      <c r="S1" s="1"/>
      <c r="T1" s="44"/>
      <c r="U1" s="1"/>
      <c r="V1" s="1"/>
      <c r="W1" s="1"/>
      <c r="X1" s="1"/>
      <c r="Y1" s="1"/>
    </row>
    <row r="2" spans="1:25" s="45" customFormat="1" ht="14.5" customHeight="1" x14ac:dyDescent="0.3">
      <c r="A2" s="4"/>
      <c r="B2" s="46"/>
      <c r="C2" s="46"/>
      <c r="D2" s="46"/>
      <c r="E2" s="46"/>
      <c r="F2" s="2"/>
      <c r="G2" s="2"/>
      <c r="H2" s="2"/>
      <c r="I2" s="2"/>
      <c r="J2" s="2"/>
      <c r="K2" s="2"/>
      <c r="L2" s="47"/>
      <c r="M2" s="47"/>
      <c r="N2" s="48"/>
      <c r="R2" s="47"/>
      <c r="T2" s="49"/>
    </row>
    <row r="3" spans="1:25" s="45" customFormat="1" ht="18.5" x14ac:dyDescent="0.3">
      <c r="A3" s="4" t="s">
        <v>41</v>
      </c>
      <c r="B3" s="46"/>
      <c r="C3" s="46"/>
      <c r="D3" s="46"/>
      <c r="E3" s="46"/>
      <c r="F3" s="2"/>
      <c r="G3" s="2"/>
      <c r="H3" s="2"/>
      <c r="I3" s="47"/>
      <c r="J3" s="50"/>
      <c r="N3" s="48"/>
      <c r="T3" s="51"/>
    </row>
    <row r="4" spans="1:25" x14ac:dyDescent="0.3">
      <c r="A4" s="8" t="s">
        <v>24</v>
      </c>
      <c r="B4" s="129" t="s">
        <v>186</v>
      </c>
      <c r="C4" s="129"/>
      <c r="D4" s="52"/>
      <c r="E4" s="52"/>
    </row>
    <row r="5" spans="1:25" x14ac:dyDescent="0.3">
      <c r="A5" s="8" t="s">
        <v>25</v>
      </c>
      <c r="B5" s="130">
        <v>43430</v>
      </c>
      <c r="C5" s="129"/>
      <c r="D5" s="52"/>
      <c r="E5" s="52"/>
    </row>
    <row r="6" spans="1:25" x14ac:dyDescent="0.3">
      <c r="A6" s="8" t="s">
        <v>26</v>
      </c>
      <c r="B6" s="129" t="s">
        <v>189</v>
      </c>
      <c r="C6" s="129"/>
      <c r="D6" s="52"/>
      <c r="E6" s="52"/>
    </row>
    <row r="7" spans="1:25" x14ac:dyDescent="0.3">
      <c r="A7" s="12"/>
      <c r="B7" s="12"/>
      <c r="C7" s="55"/>
      <c r="D7" s="55"/>
      <c r="E7" s="55"/>
    </row>
    <row r="8" spans="1:25" x14ac:dyDescent="0.3">
      <c r="A8" s="59"/>
      <c r="B8" s="12"/>
      <c r="C8" s="12"/>
      <c r="D8" s="12"/>
      <c r="E8" s="12"/>
      <c r="F8" s="12"/>
    </row>
    <row r="9" spans="1:25" x14ac:dyDescent="0.3">
      <c r="A9" s="4" t="s">
        <v>135</v>
      </c>
    </row>
    <row r="10" spans="1:25" x14ac:dyDescent="0.3">
      <c r="A10" s="8" t="s">
        <v>30</v>
      </c>
      <c r="B10" s="60" t="s">
        <v>184</v>
      </c>
      <c r="C10" s="61"/>
      <c r="D10" s="55"/>
      <c r="E10" s="55"/>
    </row>
    <row r="11" spans="1:25" x14ac:dyDescent="0.3">
      <c r="A11" s="8" t="s">
        <v>31</v>
      </c>
      <c r="B11" s="62" t="s">
        <v>133</v>
      </c>
      <c r="C11" s="61"/>
      <c r="D11" s="55"/>
      <c r="E11" s="55"/>
    </row>
    <row r="12" spans="1:25" x14ac:dyDescent="0.3">
      <c r="A12" s="63" t="s">
        <v>29</v>
      </c>
      <c r="B12" s="128" t="s">
        <v>28</v>
      </c>
      <c r="C12" s="128"/>
      <c r="D12" s="64"/>
      <c r="E12" s="64"/>
    </row>
    <row r="13" spans="1:25" x14ac:dyDescent="0.3">
      <c r="A13" s="12"/>
      <c r="B13" s="12"/>
      <c r="C13" s="55"/>
      <c r="D13" s="55"/>
      <c r="E13" s="55"/>
    </row>
    <row r="14" spans="1:25" x14ac:dyDescent="0.3">
      <c r="A14" s="4" t="s">
        <v>32</v>
      </c>
    </row>
    <row r="15" spans="1:25" x14ac:dyDescent="0.3">
      <c r="A15" s="126" t="s">
        <v>20</v>
      </c>
      <c r="B15" s="124" t="s">
        <v>45</v>
      </c>
      <c r="C15" s="65" t="s">
        <v>33</v>
      </c>
      <c r="D15" s="65"/>
      <c r="E15" s="65"/>
      <c r="F15" s="57"/>
      <c r="G15" s="57"/>
      <c r="H15" s="57"/>
      <c r="I15" s="58"/>
      <c r="J15" s="66" t="s">
        <v>34</v>
      </c>
      <c r="K15" s="57"/>
      <c r="L15" s="58"/>
      <c r="M15" s="66" t="s">
        <v>35</v>
      </c>
      <c r="N15" s="67"/>
      <c r="O15" s="57"/>
      <c r="P15" s="57"/>
      <c r="Q15" s="57"/>
      <c r="R15" s="58"/>
      <c r="S15" s="66" t="s">
        <v>36</v>
      </c>
      <c r="T15" s="68"/>
      <c r="U15" s="69" t="s">
        <v>38</v>
      </c>
      <c r="V15" s="58"/>
      <c r="W15" s="12"/>
      <c r="X15" s="66" t="s">
        <v>40</v>
      </c>
      <c r="Y15" s="58"/>
    </row>
    <row r="16" spans="1:25" s="54" customFormat="1" ht="91" x14ac:dyDescent="0.35">
      <c r="A16" s="127"/>
      <c r="B16" s="125"/>
      <c r="C16" s="70" t="s">
        <v>142</v>
      </c>
      <c r="D16" s="71" t="s">
        <v>141</v>
      </c>
      <c r="E16" s="71" t="s">
        <v>137</v>
      </c>
      <c r="F16" s="71" t="s">
        <v>138</v>
      </c>
      <c r="G16" s="71" t="s">
        <v>139</v>
      </c>
      <c r="H16" s="71" t="s">
        <v>46</v>
      </c>
      <c r="I16" s="68" t="s">
        <v>42</v>
      </c>
      <c r="J16" s="70" t="s">
        <v>140</v>
      </c>
      <c r="K16" s="71" t="s">
        <v>47</v>
      </c>
      <c r="L16" s="68" t="s">
        <v>42</v>
      </c>
      <c r="M16" s="72" t="s">
        <v>129</v>
      </c>
      <c r="N16" s="73" t="s">
        <v>48</v>
      </c>
      <c r="O16" s="71" t="s">
        <v>136</v>
      </c>
      <c r="P16" s="71" t="s">
        <v>43</v>
      </c>
      <c r="Q16" s="71" t="s">
        <v>49</v>
      </c>
      <c r="R16" s="68" t="s">
        <v>42</v>
      </c>
      <c r="S16" s="70" t="s">
        <v>37</v>
      </c>
      <c r="T16" s="68" t="s">
        <v>42</v>
      </c>
      <c r="U16" s="70" t="s">
        <v>39</v>
      </c>
      <c r="V16" s="74" t="s">
        <v>50</v>
      </c>
      <c r="W16" s="75"/>
      <c r="X16" s="76" t="s">
        <v>44</v>
      </c>
      <c r="Y16" s="77" t="s">
        <v>51</v>
      </c>
    </row>
    <row r="17" spans="1:27" s="54" customFormat="1" ht="260" x14ac:dyDescent="0.3">
      <c r="A17" s="63" t="s">
        <v>3</v>
      </c>
      <c r="B17" s="78">
        <f>SUMIF(Analysis!$B$6:$B$22,'Gates &amp; Shallow dive'!$A17,Analysis!$H$6:$H$22)</f>
        <v>8.7130532692015432</v>
      </c>
      <c r="C17" s="78">
        <f>B17/2</f>
        <v>4.3565266346007716</v>
      </c>
      <c r="D17" s="78" t="s">
        <v>159</v>
      </c>
      <c r="E17" s="78" t="s">
        <v>23</v>
      </c>
      <c r="F17" s="78">
        <v>0</v>
      </c>
      <c r="G17" s="78"/>
      <c r="H17" s="79">
        <f t="shared" ref="H17:H33" si="0">IFERROR(B17-SUM(C17:G17),"")</f>
        <v>4.3565266346007716</v>
      </c>
      <c r="I17" s="80" t="s">
        <v>199</v>
      </c>
      <c r="J17" s="78"/>
      <c r="K17" s="78">
        <f>IFERROR(H17-J17,"")</f>
        <v>4.3565266346007716</v>
      </c>
      <c r="L17" s="81" t="s">
        <v>200</v>
      </c>
      <c r="M17" s="82">
        <f>SUMIF(Data!$B$7:$B$91,'Gates &amp; Shallow dive'!$A17,Data!$E$7:$E$91)</f>
        <v>2814.0055180862919</v>
      </c>
      <c r="N17" s="83">
        <f>IFERROR(K17/M17,"")</f>
        <v>1.5481585258452142E-3</v>
      </c>
      <c r="O17" s="78" t="s">
        <v>22</v>
      </c>
      <c r="P17" s="79"/>
      <c r="Q17" s="78">
        <f>IFERROR(K17,"")</f>
        <v>4.3565266346007716</v>
      </c>
      <c r="R17" s="56" t="s">
        <v>187</v>
      </c>
      <c r="S17" s="78"/>
      <c r="T17" s="81" t="s">
        <v>204</v>
      </c>
      <c r="U17" s="78" t="s">
        <v>145</v>
      </c>
      <c r="V17" s="122">
        <v>0</v>
      </c>
      <c r="W17" s="84"/>
      <c r="X17" s="85">
        <v>0.85</v>
      </c>
      <c r="Y17" s="86">
        <f>V17*X17</f>
        <v>0</v>
      </c>
    </row>
    <row r="18" spans="1:27" s="95" customFormat="1" x14ac:dyDescent="0.3">
      <c r="A18" s="87" t="s">
        <v>4</v>
      </c>
      <c r="B18" s="78">
        <f>SUMIF(Analysis!$B$6:$B$22,'Gates &amp; Shallow dive'!$A18,Analysis!$H$6:$H$22)</f>
        <v>0</v>
      </c>
      <c r="C18" s="88"/>
      <c r="D18" s="88"/>
      <c r="E18" s="88"/>
      <c r="F18" s="88"/>
      <c r="G18" s="88"/>
      <c r="H18" s="89">
        <f t="shared" si="0"/>
        <v>0</v>
      </c>
      <c r="I18" s="87" t="s">
        <v>143</v>
      </c>
      <c r="J18" s="88"/>
      <c r="K18" s="88">
        <f>IFERROR(H18-J18,"")</f>
        <v>0</v>
      </c>
      <c r="L18" s="87"/>
      <c r="M18" s="82">
        <f>SUMIF(Data!$B$7:$B$91,'Gates &amp; Shallow dive'!$A18,Data!$E$7:$E$91)</f>
        <v>1729.884</v>
      </c>
      <c r="N18" s="91">
        <f t="shared" ref="N18:N35" si="1">IFERROR(K18/M18,"")</f>
        <v>0</v>
      </c>
      <c r="O18" s="88" t="s">
        <v>22</v>
      </c>
      <c r="P18" s="89"/>
      <c r="Q18" s="88">
        <f>IFERROR(K18,"")</f>
        <v>0</v>
      </c>
      <c r="R18" s="90"/>
      <c r="S18" s="88"/>
      <c r="T18" s="87"/>
      <c r="U18" s="88"/>
      <c r="V18" s="88">
        <f t="shared" ref="V18:V34" si="2">IFERROR(Q18,"")</f>
        <v>0</v>
      </c>
      <c r="W18" s="92"/>
      <c r="X18" s="93">
        <v>0.99973495580440364</v>
      </c>
      <c r="Y18" s="94">
        <f t="shared" ref="Y18:Y32" si="3">V18*X18</f>
        <v>0</v>
      </c>
      <c r="AA18" s="96"/>
    </row>
    <row r="19" spans="1:27" s="95" customFormat="1" x14ac:dyDescent="0.3">
      <c r="A19" s="87" t="s">
        <v>5</v>
      </c>
      <c r="B19" s="78">
        <f>SUMIF(Analysis!$B$6:$B$22,'Gates &amp; Shallow dive'!$A19,Analysis!$H$6:$H$22)</f>
        <v>0</v>
      </c>
      <c r="C19" s="88"/>
      <c r="D19" s="88"/>
      <c r="E19" s="88"/>
      <c r="F19" s="88"/>
      <c r="G19" s="88"/>
      <c r="H19" s="89">
        <f t="shared" si="0"/>
        <v>0</v>
      </c>
      <c r="I19" s="87" t="s">
        <v>143</v>
      </c>
      <c r="J19" s="88"/>
      <c r="K19" s="88">
        <f t="shared" ref="K19:K33" si="4">IFERROR(H19-J19,"")</f>
        <v>0</v>
      </c>
      <c r="L19" s="87"/>
      <c r="M19" s="82">
        <f>SUMIF(Data!$B$7:$B$91,'Gates &amp; Shallow dive'!$A19,Data!$E$7:$E$91)</f>
        <v>2477.5035104607214</v>
      </c>
      <c r="N19" s="91">
        <f t="shared" si="1"/>
        <v>0</v>
      </c>
      <c r="O19" s="88" t="s">
        <v>22</v>
      </c>
      <c r="P19" s="89"/>
      <c r="Q19" s="88">
        <f t="shared" ref="Q19:Q33" si="5">IFERROR(K19,"")</f>
        <v>0</v>
      </c>
      <c r="R19" s="90"/>
      <c r="S19" s="88"/>
      <c r="T19" s="87"/>
      <c r="U19" s="88"/>
      <c r="V19" s="88">
        <f t="shared" si="2"/>
        <v>0</v>
      </c>
      <c r="W19" s="92"/>
      <c r="X19" s="93">
        <v>1</v>
      </c>
      <c r="Y19" s="94">
        <f t="shared" si="3"/>
        <v>0</v>
      </c>
      <c r="AA19" s="96"/>
    </row>
    <row r="20" spans="1:27" s="95" customFormat="1" x14ac:dyDescent="0.3">
      <c r="A20" s="87" t="s">
        <v>6</v>
      </c>
      <c r="B20" s="78">
        <f>SUMIF(Analysis!$B$6:$B$22,'Gates &amp; Shallow dive'!$A20,Analysis!$H$6:$H$22)</f>
        <v>0</v>
      </c>
      <c r="C20" s="88"/>
      <c r="D20" s="88"/>
      <c r="E20" s="88"/>
      <c r="F20" s="88"/>
      <c r="G20" s="88"/>
      <c r="H20" s="89">
        <f t="shared" si="0"/>
        <v>0</v>
      </c>
      <c r="I20" s="87" t="s">
        <v>143</v>
      </c>
      <c r="J20" s="88"/>
      <c r="K20" s="88">
        <f t="shared" si="4"/>
        <v>0</v>
      </c>
      <c r="L20" s="87"/>
      <c r="M20" s="82">
        <f>SUMIF(Data!$B$7:$B$91,'Gates &amp; Shallow dive'!$A20,Data!$E$7:$E$91)</f>
        <v>1226.604</v>
      </c>
      <c r="N20" s="91">
        <f t="shared" si="1"/>
        <v>0</v>
      </c>
      <c r="O20" s="88" t="s">
        <v>22</v>
      </c>
      <c r="P20" s="89"/>
      <c r="Q20" s="88">
        <f>IFERROR(K20,"")</f>
        <v>0</v>
      </c>
      <c r="R20" s="90"/>
      <c r="S20" s="88"/>
      <c r="T20" s="87"/>
      <c r="U20" s="88"/>
      <c r="V20" s="88">
        <f t="shared" si="2"/>
        <v>0</v>
      </c>
      <c r="W20" s="92"/>
      <c r="X20" s="93">
        <v>0.9</v>
      </c>
      <c r="Y20" s="94">
        <f>V20*X20</f>
        <v>0</v>
      </c>
      <c r="AA20" s="96"/>
    </row>
    <row r="21" spans="1:27" s="95" customFormat="1" ht="18.75" customHeight="1" x14ac:dyDescent="0.3">
      <c r="A21" s="87" t="s">
        <v>7</v>
      </c>
      <c r="B21" s="78">
        <f>SUMIF(Analysis!$B$6:$B$22,'Gates &amp; Shallow dive'!$A21,Analysis!$H$6:$H$22)</f>
        <v>0</v>
      </c>
      <c r="C21" s="88"/>
      <c r="D21" s="88"/>
      <c r="E21" s="88"/>
      <c r="F21" s="88"/>
      <c r="G21" s="88"/>
      <c r="H21" s="89"/>
      <c r="I21" s="97"/>
      <c r="J21" s="88"/>
      <c r="K21" s="88"/>
      <c r="L21" s="97"/>
      <c r="M21" s="82">
        <f>SUMIF(Data!$B$7:$B$91,'Gates &amp; Shallow dive'!$A21,Data!$E$7:$E$91)</f>
        <v>0</v>
      </c>
      <c r="N21" s="91" t="str">
        <f t="shared" si="1"/>
        <v/>
      </c>
      <c r="O21" s="88"/>
      <c r="P21" s="89"/>
      <c r="Q21" s="88"/>
      <c r="R21" s="90"/>
      <c r="S21" s="88"/>
      <c r="T21" s="97"/>
      <c r="U21" s="88"/>
      <c r="V21" s="88"/>
      <c r="W21" s="92"/>
      <c r="X21" s="93" t="e">
        <v>#N/A</v>
      </c>
      <c r="Y21" s="94"/>
      <c r="AA21" s="96"/>
    </row>
    <row r="22" spans="1:27" s="95" customFormat="1" x14ac:dyDescent="0.3">
      <c r="A22" s="87" t="s">
        <v>8</v>
      </c>
      <c r="B22" s="78">
        <f>SUMIF(Analysis!$B$6:$B$22,'Gates &amp; Shallow dive'!$A22,Analysis!$H$6:$H$22)</f>
        <v>0</v>
      </c>
      <c r="C22" s="88"/>
      <c r="D22" s="88"/>
      <c r="E22" s="88"/>
      <c r="F22" s="88"/>
      <c r="G22" s="88"/>
      <c r="H22" s="89">
        <f t="shared" si="0"/>
        <v>0</v>
      </c>
      <c r="I22" s="87" t="s">
        <v>143</v>
      </c>
      <c r="J22" s="88"/>
      <c r="K22" s="88">
        <f t="shared" si="4"/>
        <v>0</v>
      </c>
      <c r="L22" s="87"/>
      <c r="M22" s="82">
        <f>SUMIF(Data!$B$7:$B$91,'Gates &amp; Shallow dive'!$A22,Data!$E$7:$E$91)</f>
        <v>894.25199999999995</v>
      </c>
      <c r="N22" s="91">
        <f t="shared" si="1"/>
        <v>0</v>
      </c>
      <c r="O22" s="88" t="s">
        <v>22</v>
      </c>
      <c r="P22" s="89"/>
      <c r="Q22" s="88">
        <f t="shared" si="5"/>
        <v>0</v>
      </c>
      <c r="R22" s="90"/>
      <c r="S22" s="88"/>
      <c r="T22" s="87"/>
      <c r="U22" s="88"/>
      <c r="V22" s="88">
        <f t="shared" si="2"/>
        <v>0</v>
      </c>
      <c r="W22" s="92"/>
      <c r="X22" s="93">
        <v>1</v>
      </c>
      <c r="Y22" s="94">
        <f t="shared" si="3"/>
        <v>0</v>
      </c>
      <c r="AA22" s="96"/>
    </row>
    <row r="23" spans="1:27" s="95" customFormat="1" x14ac:dyDescent="0.3">
      <c r="A23" s="87" t="s">
        <v>9</v>
      </c>
      <c r="B23" s="78">
        <f>SUMIF(Analysis!$B$6:$B$22,'Gates &amp; Shallow dive'!$A23,Analysis!$H$6:$H$22)</f>
        <v>0</v>
      </c>
      <c r="C23" s="88"/>
      <c r="D23" s="88"/>
      <c r="E23" s="88"/>
      <c r="F23" s="88"/>
      <c r="G23" s="88"/>
      <c r="H23" s="89">
        <f t="shared" si="0"/>
        <v>0</v>
      </c>
      <c r="I23" s="87" t="s">
        <v>143</v>
      </c>
      <c r="J23" s="88"/>
      <c r="K23" s="88">
        <f t="shared" si="4"/>
        <v>0</v>
      </c>
      <c r="L23" s="87"/>
      <c r="M23" s="82">
        <f>SUMIF(Data!$B$7:$B$91,'Gates &amp; Shallow dive'!$A23,Data!$E$7:$E$91)</f>
        <v>5658.2039244564403</v>
      </c>
      <c r="N23" s="91">
        <f t="shared" si="1"/>
        <v>0</v>
      </c>
      <c r="O23" s="88" t="s">
        <v>22</v>
      </c>
      <c r="P23" s="89"/>
      <c r="Q23" s="88">
        <f t="shared" si="5"/>
        <v>0</v>
      </c>
      <c r="R23" s="90"/>
      <c r="S23" s="88"/>
      <c r="T23" s="87"/>
      <c r="U23" s="88"/>
      <c r="V23" s="88">
        <f t="shared" si="2"/>
        <v>0</v>
      </c>
      <c r="W23" s="92"/>
      <c r="X23" s="93">
        <v>0.87</v>
      </c>
      <c r="Y23" s="94">
        <f t="shared" si="3"/>
        <v>0</v>
      </c>
      <c r="AA23" s="96"/>
    </row>
    <row r="24" spans="1:27" ht="312" x14ac:dyDescent="0.3">
      <c r="A24" s="63" t="s">
        <v>10</v>
      </c>
      <c r="B24" s="78">
        <f>SUMIF(Analysis!$B$6:$B$22,'Gates &amp; Shallow dive'!$A24,Analysis!$H$6:$H$22)</f>
        <v>1.3279999999999998</v>
      </c>
      <c r="C24" s="78">
        <v>1.3</v>
      </c>
      <c r="D24" s="78" t="s">
        <v>160</v>
      </c>
      <c r="E24" s="78"/>
      <c r="F24" s="78"/>
      <c r="G24" s="78"/>
      <c r="H24" s="98">
        <f t="shared" si="0"/>
        <v>2.7999999999999803E-2</v>
      </c>
      <c r="I24" s="81" t="s">
        <v>201</v>
      </c>
      <c r="J24" s="78">
        <v>0</v>
      </c>
      <c r="K24" s="78">
        <f>IFERROR(H24-J24,"")</f>
        <v>2.7999999999999803E-2</v>
      </c>
      <c r="L24" s="81" t="s">
        <v>190</v>
      </c>
      <c r="M24" s="82">
        <f>SUMIF(Data!$B$7:$B$91,'Gates &amp; Shallow dive'!$A24,Data!$E$7:$E$91)</f>
        <v>1646.3919999999998</v>
      </c>
      <c r="N24" s="83">
        <f t="shared" si="1"/>
        <v>1.7006885359015234E-5</v>
      </c>
      <c r="O24" s="78" t="s">
        <v>22</v>
      </c>
      <c r="P24" s="98"/>
      <c r="Q24" s="78">
        <v>0</v>
      </c>
      <c r="R24" s="56" t="s">
        <v>144</v>
      </c>
      <c r="S24" s="78" t="s">
        <v>22</v>
      </c>
      <c r="T24" s="81" t="s">
        <v>194</v>
      </c>
      <c r="U24" s="78" t="s">
        <v>145</v>
      </c>
      <c r="V24" s="78">
        <f t="shared" si="2"/>
        <v>0</v>
      </c>
      <c r="W24" s="84"/>
      <c r="X24" s="85">
        <v>1</v>
      </c>
      <c r="Y24" s="86">
        <f t="shared" si="3"/>
        <v>0</v>
      </c>
      <c r="AA24" s="54"/>
    </row>
    <row r="25" spans="1:27" s="95" customFormat="1" x14ac:dyDescent="0.3">
      <c r="A25" s="87" t="s">
        <v>11</v>
      </c>
      <c r="B25" s="78">
        <f>SUMIF(Analysis!$B$6:$B$22,'Gates &amp; Shallow dive'!$A25,Analysis!$H$6:$H$22)</f>
        <v>0</v>
      </c>
      <c r="C25" s="88"/>
      <c r="D25" s="88"/>
      <c r="E25" s="88"/>
      <c r="F25" s="88"/>
      <c r="G25" s="88"/>
      <c r="H25" s="89">
        <f t="shared" si="0"/>
        <v>0</v>
      </c>
      <c r="I25" s="87"/>
      <c r="J25" s="88"/>
      <c r="K25" s="88">
        <f t="shared" si="4"/>
        <v>0</v>
      </c>
      <c r="L25" s="87"/>
      <c r="M25" s="82">
        <f>SUMIF(Data!$B$7:$B$91,'Gates &amp; Shallow dive'!$A25,Data!$E$7:$E$91)</f>
        <v>660.34856778321205</v>
      </c>
      <c r="N25" s="91">
        <f t="shared" si="1"/>
        <v>0</v>
      </c>
      <c r="O25" s="88" t="s">
        <v>22</v>
      </c>
      <c r="P25" s="89"/>
      <c r="Q25" s="88">
        <f t="shared" si="5"/>
        <v>0</v>
      </c>
      <c r="R25" s="90"/>
      <c r="S25" s="88"/>
      <c r="T25" s="87"/>
      <c r="U25" s="88"/>
      <c r="V25" s="88">
        <f t="shared" si="2"/>
        <v>0</v>
      </c>
      <c r="W25" s="92"/>
      <c r="X25" s="93">
        <v>1</v>
      </c>
      <c r="Y25" s="94">
        <f>V25*X25</f>
        <v>0</v>
      </c>
      <c r="AA25" s="96"/>
    </row>
    <row r="26" spans="1:27" s="95" customFormat="1" x14ac:dyDescent="0.3">
      <c r="A26" s="87" t="s">
        <v>12</v>
      </c>
      <c r="B26" s="78">
        <f>SUMIF(Analysis!$B$6:$B$22,'Gates &amp; Shallow dive'!$A26,Analysis!$H$6:$H$22)</f>
        <v>0</v>
      </c>
      <c r="C26" s="88"/>
      <c r="D26" s="88"/>
      <c r="E26" s="88"/>
      <c r="F26" s="88"/>
      <c r="G26" s="88"/>
      <c r="H26" s="89">
        <f t="shared" si="0"/>
        <v>0</v>
      </c>
      <c r="I26" s="87" t="s">
        <v>143</v>
      </c>
      <c r="J26" s="88"/>
      <c r="K26" s="88">
        <f t="shared" si="4"/>
        <v>0</v>
      </c>
      <c r="L26" s="87"/>
      <c r="M26" s="82">
        <f>SUMIF(Data!$B$7:$B$91,'Gates &amp; Shallow dive'!$A26,Data!$E$7:$E$91)</f>
        <v>2024.423</v>
      </c>
      <c r="N26" s="91">
        <f t="shared" si="1"/>
        <v>0</v>
      </c>
      <c r="O26" s="88" t="s">
        <v>22</v>
      </c>
      <c r="P26" s="89"/>
      <c r="Q26" s="88">
        <f t="shared" si="5"/>
        <v>0</v>
      </c>
      <c r="R26" s="90"/>
      <c r="S26" s="88"/>
      <c r="T26" s="87"/>
      <c r="U26" s="88"/>
      <c r="V26" s="88">
        <f t="shared" si="2"/>
        <v>0</v>
      </c>
      <c r="W26" s="92"/>
      <c r="X26" s="93">
        <v>0.89653452783761778</v>
      </c>
      <c r="Y26" s="94">
        <f t="shared" si="3"/>
        <v>0</v>
      </c>
      <c r="AA26" s="96"/>
    </row>
    <row r="27" spans="1:27" ht="221" x14ac:dyDescent="0.3">
      <c r="A27" s="63" t="s">
        <v>13</v>
      </c>
      <c r="B27" s="78">
        <f>SUMIF(Analysis!$B$6:$B$22,'Gates &amp; Shallow dive'!$A27,Analysis!$H$6:$H$22)</f>
        <v>2.5000000000000004</v>
      </c>
      <c r="C27" s="78"/>
      <c r="D27" s="78"/>
      <c r="E27" s="78"/>
      <c r="F27" s="78"/>
      <c r="G27" s="78"/>
      <c r="H27" s="98">
        <f t="shared" si="0"/>
        <v>2.5000000000000004</v>
      </c>
      <c r="I27" s="81" t="s">
        <v>202</v>
      </c>
      <c r="J27" s="78">
        <v>0</v>
      </c>
      <c r="K27" s="78">
        <f t="shared" si="4"/>
        <v>2.5000000000000004</v>
      </c>
      <c r="L27" s="81" t="s">
        <v>165</v>
      </c>
      <c r="M27" s="82">
        <f>SUMIF(Data!$B$7:$B$91,'Gates &amp; Shallow dive'!$A27,Data!$E$7:$E$91)</f>
        <v>1368.4611030444821</v>
      </c>
      <c r="N27" s="83">
        <f t="shared" si="1"/>
        <v>1.8268696088168882E-3</v>
      </c>
      <c r="O27" s="78" t="s">
        <v>22</v>
      </c>
      <c r="P27" s="98"/>
      <c r="Q27" s="78">
        <f t="shared" si="5"/>
        <v>2.5000000000000004</v>
      </c>
      <c r="R27" s="56" t="s">
        <v>187</v>
      </c>
      <c r="S27" s="78"/>
      <c r="T27" s="81" t="s">
        <v>203</v>
      </c>
      <c r="U27" s="78" t="s">
        <v>145</v>
      </c>
      <c r="V27" s="122">
        <v>0</v>
      </c>
      <c r="W27" s="84"/>
      <c r="X27" s="85">
        <v>0.93929464135811624</v>
      </c>
      <c r="Y27" s="86">
        <f t="shared" si="3"/>
        <v>0</v>
      </c>
      <c r="AA27" s="54"/>
    </row>
    <row r="28" spans="1:27" s="95" customFormat="1" x14ac:dyDescent="0.3">
      <c r="A28" s="87" t="s">
        <v>14</v>
      </c>
      <c r="B28" s="78">
        <f>SUMIF(Analysis!$B$6:$B$22,'Gates &amp; Shallow dive'!$A28,Analysis!$H$6:$H$22)</f>
        <v>0</v>
      </c>
      <c r="C28" s="88"/>
      <c r="D28" s="88"/>
      <c r="E28" s="88"/>
      <c r="F28" s="88"/>
      <c r="G28" s="88"/>
      <c r="H28" s="89">
        <f t="shared" si="0"/>
        <v>0</v>
      </c>
      <c r="I28" s="87" t="s">
        <v>143</v>
      </c>
      <c r="J28" s="88"/>
      <c r="K28" s="88">
        <f t="shared" si="4"/>
        <v>0</v>
      </c>
      <c r="L28" s="87"/>
      <c r="M28" s="82">
        <f>SUMIF(Data!$B$7:$B$91,'Gates &amp; Shallow dive'!$A28,Data!$E$7:$E$91)</f>
        <v>457.197</v>
      </c>
      <c r="N28" s="91">
        <f t="shared" si="1"/>
        <v>0</v>
      </c>
      <c r="O28" s="88" t="s">
        <v>22</v>
      </c>
      <c r="P28" s="89"/>
      <c r="Q28" s="88">
        <f t="shared" si="5"/>
        <v>0</v>
      </c>
      <c r="R28" s="90"/>
      <c r="S28" s="88"/>
      <c r="T28" s="87"/>
      <c r="U28" s="88"/>
      <c r="V28" s="88">
        <f t="shared" si="2"/>
        <v>0</v>
      </c>
      <c r="W28" s="92"/>
      <c r="X28" s="93">
        <v>0.92804171358844489</v>
      </c>
      <c r="Y28" s="94">
        <f t="shared" si="3"/>
        <v>0</v>
      </c>
      <c r="AA28" s="96"/>
    </row>
    <row r="29" spans="1:27" s="95" customFormat="1" ht="15.75" customHeight="1" x14ac:dyDescent="0.3">
      <c r="A29" s="87" t="s">
        <v>15</v>
      </c>
      <c r="B29" s="78">
        <f>SUMIF(Analysis!$B$6:$B$22,'Gates &amp; Shallow dive'!$A29,Analysis!$H$6:$H$22)</f>
        <v>0</v>
      </c>
      <c r="C29" s="88"/>
      <c r="D29" s="88"/>
      <c r="E29" s="88"/>
      <c r="F29" s="88"/>
      <c r="G29" s="88"/>
      <c r="H29" s="89"/>
      <c r="I29" s="97"/>
      <c r="J29" s="88"/>
      <c r="K29" s="88"/>
      <c r="L29" s="97"/>
      <c r="M29" s="82">
        <f>SUMIF(Data!$B$7:$B$91,'Gates &amp; Shallow dive'!$A29,Data!$E$7:$E$91)</f>
        <v>0</v>
      </c>
      <c r="N29" s="91" t="str">
        <f t="shared" si="1"/>
        <v/>
      </c>
      <c r="O29" s="88"/>
      <c r="P29" s="89"/>
      <c r="Q29" s="88"/>
      <c r="R29" s="90"/>
      <c r="S29" s="88"/>
      <c r="T29" s="97"/>
      <c r="U29" s="88"/>
      <c r="V29" s="88"/>
      <c r="W29" s="92"/>
      <c r="X29" s="93" t="e">
        <v>#N/A</v>
      </c>
      <c r="Y29" s="94"/>
      <c r="AA29" s="96"/>
    </row>
    <row r="30" spans="1:27" s="95" customFormat="1" x14ac:dyDescent="0.3">
      <c r="A30" s="87" t="s">
        <v>16</v>
      </c>
      <c r="B30" s="78">
        <f>SUMIF(Analysis!$B$6:$B$22,'Gates &amp; Shallow dive'!$A30,Analysis!$H$6:$H$22)</f>
        <v>0</v>
      </c>
      <c r="C30" s="88"/>
      <c r="D30" s="88"/>
      <c r="E30" s="88"/>
      <c r="F30" s="88"/>
      <c r="G30" s="88"/>
      <c r="H30" s="89">
        <f t="shared" si="0"/>
        <v>0</v>
      </c>
      <c r="I30" s="87" t="s">
        <v>143</v>
      </c>
      <c r="J30" s="88"/>
      <c r="K30" s="88">
        <f t="shared" si="4"/>
        <v>0</v>
      </c>
      <c r="L30" s="87"/>
      <c r="M30" s="82">
        <f>SUMIF(Data!$B$7:$B$91,'Gates &amp; Shallow dive'!$A30,Data!$E$7:$E$91)</f>
        <v>223.94399999999999</v>
      </c>
      <c r="N30" s="91">
        <f t="shared" si="1"/>
        <v>0</v>
      </c>
      <c r="O30" s="88" t="s">
        <v>22</v>
      </c>
      <c r="P30" s="89"/>
      <c r="Q30" s="88">
        <f t="shared" si="5"/>
        <v>0</v>
      </c>
      <c r="R30" s="90"/>
      <c r="S30" s="88"/>
      <c r="T30" s="87"/>
      <c r="U30" s="88"/>
      <c r="V30" s="88">
        <f t="shared" si="2"/>
        <v>0</v>
      </c>
      <c r="W30" s="92"/>
      <c r="X30" s="93">
        <v>1</v>
      </c>
      <c r="Y30" s="94">
        <f t="shared" si="3"/>
        <v>0</v>
      </c>
      <c r="AA30" s="96"/>
    </row>
    <row r="31" spans="1:27" s="95" customFormat="1" x14ac:dyDescent="0.3">
      <c r="A31" s="87" t="s">
        <v>17</v>
      </c>
      <c r="B31" s="78">
        <f>SUMIF(Analysis!$B$6:$B$22,'Gates &amp; Shallow dive'!$A31,Analysis!$H$6:$H$22)</f>
        <v>0</v>
      </c>
      <c r="C31" s="88"/>
      <c r="D31" s="88"/>
      <c r="E31" s="88"/>
      <c r="F31" s="88"/>
      <c r="G31" s="88"/>
      <c r="H31" s="89">
        <f t="shared" si="0"/>
        <v>0</v>
      </c>
      <c r="I31" s="87" t="s">
        <v>143</v>
      </c>
      <c r="J31" s="88"/>
      <c r="K31" s="88">
        <f t="shared" si="4"/>
        <v>0</v>
      </c>
      <c r="L31" s="87"/>
      <c r="M31" s="82">
        <f>SUMIF(Data!$B$7:$B$91,'Gates &amp; Shallow dive'!$A31,Data!$E$7:$E$91)</f>
        <v>253.309</v>
      </c>
      <c r="N31" s="91">
        <f t="shared" si="1"/>
        <v>0</v>
      </c>
      <c r="O31" s="88" t="s">
        <v>22</v>
      </c>
      <c r="P31" s="89"/>
      <c r="Q31" s="88">
        <f t="shared" si="5"/>
        <v>0</v>
      </c>
      <c r="R31" s="90"/>
      <c r="S31" s="88"/>
      <c r="T31" s="87"/>
      <c r="U31" s="88"/>
      <c r="V31" s="88">
        <f t="shared" si="2"/>
        <v>0</v>
      </c>
      <c r="W31" s="92"/>
      <c r="X31" s="93">
        <v>0.90859173863826326</v>
      </c>
      <c r="Y31" s="94">
        <f t="shared" si="3"/>
        <v>0</v>
      </c>
      <c r="AA31" s="96"/>
    </row>
    <row r="32" spans="1:27" s="95" customFormat="1" x14ac:dyDescent="0.3">
      <c r="A32" s="87" t="s">
        <v>18</v>
      </c>
      <c r="B32" s="78">
        <f>SUMIF(Analysis!$B$6:$B$22,'Gates &amp; Shallow dive'!$A32,Analysis!$H$6:$H$22)</f>
        <v>0</v>
      </c>
      <c r="C32" s="88"/>
      <c r="D32" s="88"/>
      <c r="E32" s="88"/>
      <c r="F32" s="88"/>
      <c r="G32" s="88"/>
      <c r="H32" s="89">
        <f t="shared" si="0"/>
        <v>0</v>
      </c>
      <c r="I32" s="87" t="s">
        <v>143</v>
      </c>
      <c r="J32" s="88"/>
      <c r="K32" s="88">
        <f t="shared" si="4"/>
        <v>0</v>
      </c>
      <c r="L32" s="87"/>
      <c r="M32" s="82">
        <f>SUMIF(Data!$B$7:$B$91,'Gates &amp; Shallow dive'!$A32,Data!$E$7:$E$91)</f>
        <v>960.94699999999989</v>
      </c>
      <c r="N32" s="91">
        <f t="shared" si="1"/>
        <v>0</v>
      </c>
      <c r="O32" s="88" t="s">
        <v>22</v>
      </c>
      <c r="P32" s="89"/>
      <c r="Q32" s="88">
        <f t="shared" si="5"/>
        <v>0</v>
      </c>
      <c r="R32" s="90"/>
      <c r="S32" s="88"/>
      <c r="T32" s="87"/>
      <c r="U32" s="88"/>
      <c r="V32" s="88">
        <f>IFERROR(Q32,"")</f>
        <v>0</v>
      </c>
      <c r="W32" s="92"/>
      <c r="X32" s="93">
        <v>0.99143764427090231</v>
      </c>
      <c r="Y32" s="94">
        <f t="shared" si="3"/>
        <v>0</v>
      </c>
      <c r="AA32" s="96"/>
    </row>
    <row r="33" spans="1:27" ht="255" customHeight="1" x14ac:dyDescent="0.3">
      <c r="A33" s="63" t="s">
        <v>19</v>
      </c>
      <c r="B33" s="78">
        <f>SUMIF(Analysis!$B$6:$B$22,'Gates &amp; Shallow dive'!$A33,Analysis!$H$6:$H$22)</f>
        <v>0.49357234355671653</v>
      </c>
      <c r="C33" s="78">
        <f>B33</f>
        <v>0.49357234355671653</v>
      </c>
      <c r="D33" s="78" t="s">
        <v>146</v>
      </c>
      <c r="E33" s="78" t="s">
        <v>23</v>
      </c>
      <c r="F33" s="78"/>
      <c r="G33" s="78">
        <v>0</v>
      </c>
      <c r="H33" s="98">
        <f t="shared" si="0"/>
        <v>0</v>
      </c>
      <c r="I33" s="81" t="s">
        <v>198</v>
      </c>
      <c r="J33" s="78">
        <v>0</v>
      </c>
      <c r="K33" s="78">
        <f t="shared" si="4"/>
        <v>0</v>
      </c>
      <c r="L33" s="81" t="s">
        <v>191</v>
      </c>
      <c r="M33" s="82">
        <f>SUMIF(Data!$B$7:$B$91,'Gates &amp; Shallow dive'!$A33,Data!$E$7:$E$91)</f>
        <v>538.02900167239989</v>
      </c>
      <c r="N33" s="83">
        <f t="shared" si="1"/>
        <v>0</v>
      </c>
      <c r="O33" s="78" t="s">
        <v>22</v>
      </c>
      <c r="P33" s="98"/>
      <c r="Q33" s="78">
        <f t="shared" si="5"/>
        <v>0</v>
      </c>
      <c r="R33" s="56"/>
      <c r="S33" s="78"/>
      <c r="T33" s="81" t="s">
        <v>195</v>
      </c>
      <c r="U33" s="78" t="s">
        <v>145</v>
      </c>
      <c r="V33" s="78">
        <f t="shared" si="2"/>
        <v>0</v>
      </c>
      <c r="W33" s="84"/>
      <c r="X33" s="85">
        <v>0.93122139920002289</v>
      </c>
      <c r="Y33" s="86">
        <f>V33*X33</f>
        <v>0</v>
      </c>
      <c r="AA33" s="54"/>
    </row>
    <row r="34" spans="1:27" ht="260" x14ac:dyDescent="0.3">
      <c r="A34" s="123" t="s">
        <v>127</v>
      </c>
      <c r="B34" s="78">
        <f>SUMIF(Analysis!$B$6:$B$22,'Gates &amp; Shallow dive'!$A34,Analysis!$H$6:$H$22)</f>
        <v>10.1</v>
      </c>
      <c r="C34" s="78">
        <f>B34</f>
        <v>10.1</v>
      </c>
      <c r="D34" s="78" t="s">
        <v>164</v>
      </c>
      <c r="E34" s="78"/>
      <c r="F34" s="78">
        <v>0</v>
      </c>
      <c r="G34" s="78"/>
      <c r="H34" s="98">
        <f>IFERROR(B34-SUM(C34:G34),"")</f>
        <v>0</v>
      </c>
      <c r="I34" s="81" t="s">
        <v>193</v>
      </c>
      <c r="J34" s="78">
        <v>0</v>
      </c>
      <c r="K34" s="78">
        <f>IFERROR(H34-J34,"")</f>
        <v>0</v>
      </c>
      <c r="L34" s="99" t="s">
        <v>192</v>
      </c>
      <c r="M34" s="82">
        <f>SUMIF(Data!$B$7:$B$91,'Gates &amp; Shallow dive'!$A34,Data!$E$7:$E$91)</f>
        <v>3115.8041903943272</v>
      </c>
      <c r="N34" s="83">
        <f t="shared" si="1"/>
        <v>0</v>
      </c>
      <c r="O34" s="78" t="s">
        <v>22</v>
      </c>
      <c r="P34" s="98"/>
      <c r="Q34" s="78">
        <f>IFERROR(K34,"")</f>
        <v>0</v>
      </c>
      <c r="R34" s="56"/>
      <c r="S34" s="78" t="s">
        <v>21</v>
      </c>
      <c r="T34" s="81" t="s">
        <v>196</v>
      </c>
      <c r="U34" s="78" t="s">
        <v>145</v>
      </c>
      <c r="V34" s="78">
        <f t="shared" si="2"/>
        <v>0</v>
      </c>
      <c r="W34" s="84"/>
      <c r="X34" s="85">
        <v>1</v>
      </c>
      <c r="Y34" s="86">
        <f>V34*X34</f>
        <v>0</v>
      </c>
      <c r="AA34" s="54"/>
    </row>
    <row r="35" spans="1:27" s="95" customFormat="1" x14ac:dyDescent="0.3">
      <c r="A35" s="87" t="s">
        <v>128</v>
      </c>
      <c r="B35" s="78">
        <f>SUMIF(Analysis!$B$6:$B$22,'Gates &amp; Shallow dive'!$A35,Analysis!$H$6:$H$22)</f>
        <v>0</v>
      </c>
      <c r="C35" s="88"/>
      <c r="D35" s="88"/>
      <c r="E35" s="88"/>
      <c r="F35" s="88"/>
      <c r="G35" s="88"/>
      <c r="H35" s="89">
        <f>IFERROR(B35-SUM(C35:G35),"")</f>
        <v>0</v>
      </c>
      <c r="I35" s="87" t="s">
        <v>143</v>
      </c>
      <c r="J35" s="88"/>
      <c r="K35" s="88">
        <f>IFERROR(H35-J35,"")</f>
        <v>0</v>
      </c>
      <c r="L35" s="90"/>
      <c r="M35" s="82">
        <f>SUMIF(Data!$B$7:$B$91,'Gates &amp; Shallow dive'!$A35,Data!$E$7:$E$91)</f>
        <v>131.30264490490808</v>
      </c>
      <c r="N35" s="91">
        <f t="shared" si="1"/>
        <v>0</v>
      </c>
      <c r="O35" s="88" t="s">
        <v>22</v>
      </c>
      <c r="P35" s="89"/>
      <c r="Q35" s="88">
        <f>IFERROR(K35,"")</f>
        <v>0</v>
      </c>
      <c r="R35" s="90"/>
      <c r="S35" s="88"/>
      <c r="T35" s="87"/>
      <c r="U35" s="88"/>
      <c r="V35" s="88">
        <f>IFERROR(Q35,"")</f>
        <v>0</v>
      </c>
      <c r="W35" s="92"/>
      <c r="X35" s="93">
        <v>1</v>
      </c>
      <c r="Y35" s="94">
        <f>V35*X35</f>
        <v>0</v>
      </c>
      <c r="AA35" s="96"/>
    </row>
    <row r="36" spans="1:27" x14ac:dyDescent="0.3">
      <c r="A36" s="84"/>
      <c r="B36" s="84"/>
      <c r="C36" s="113"/>
      <c r="D36" s="84"/>
      <c r="E36" s="84"/>
    </row>
    <row r="37" spans="1:27" x14ac:dyDescent="0.3">
      <c r="A37" s="84"/>
      <c r="B37" s="84"/>
      <c r="C37" s="84"/>
      <c r="D37" s="84"/>
      <c r="E37" s="84"/>
    </row>
    <row r="38" spans="1:27" ht="14.5" x14ac:dyDescent="0.35">
      <c r="A38" s="84"/>
      <c r="B38" s="84"/>
      <c r="C38" s="84"/>
      <c r="D38" s="84"/>
      <c r="E38" s="84"/>
      <c r="F38" s="41"/>
      <c r="G38" s="41"/>
      <c r="H38" s="41"/>
      <c r="I38" s="41"/>
      <c r="J38" s="41"/>
    </row>
    <row r="39" spans="1:27" x14ac:dyDescent="0.3">
      <c r="A39" s="84"/>
      <c r="B39" s="84"/>
      <c r="C39" s="84"/>
      <c r="D39" s="84"/>
      <c r="E39" s="84"/>
    </row>
    <row r="40" spans="1:27" x14ac:dyDescent="0.3">
      <c r="A40" s="84"/>
      <c r="B40" s="84"/>
      <c r="C40" s="84"/>
      <c r="D40" s="84"/>
      <c r="E40" s="84"/>
    </row>
    <row r="41" spans="1:27" x14ac:dyDescent="0.3">
      <c r="A41" s="84"/>
      <c r="B41" s="84"/>
      <c r="C41" s="84"/>
      <c r="D41" s="84"/>
      <c r="E41" s="84"/>
    </row>
    <row r="52" spans="22:23" x14ac:dyDescent="0.3">
      <c r="V52" s="47"/>
      <c r="W52" s="47"/>
    </row>
  </sheetData>
  <mergeCells count="6">
    <mergeCell ref="B15:B16"/>
    <mergeCell ref="A15:A16"/>
    <mergeCell ref="B12:C12"/>
    <mergeCell ref="B4:C4"/>
    <mergeCell ref="B5:C5"/>
    <mergeCell ref="B6:C6"/>
  </mergeCells>
  <dataValidations count="4">
    <dataValidation type="list" allowBlank="1" showInputMessage="1" showErrorMessage="1" sqref="B12">
      <formula1>"Wholesale water, Wholesale wastewater"</formula1>
    </dataValidation>
    <dataValidation type="list" allowBlank="1" showInputMessage="1" showErrorMessage="1" sqref="B36:B41">
      <formula1>"Pass,Marginal pass, Partial pass, Fail, ,Not assessed, N/A"</formula1>
    </dataValidation>
    <dataValidation type="list" allowBlank="1" showInputMessage="1" showErrorMessage="1" sqref="S17:S20 O17:P20 S22:S28 S30:S35 O22:P28 O30:P35">
      <formula1>"Yes,No"</formula1>
    </dataValidation>
    <dataValidation type="list" allowBlank="1" showInputMessage="1" showErrorMessage="1" sqref="U17:U20 U22:U28 U30:U35">
      <formula1>"Reject/re-allocate (whole amount), Shallow dive (whole or part), Deep dive (whole or part)"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30"/>
  <sheetViews>
    <sheetView showGridLines="0" zoomScale="90" zoomScaleNormal="90" workbookViewId="0">
      <selection activeCell="C5" sqref="C5"/>
    </sheetView>
  </sheetViews>
  <sheetFormatPr defaultColWidth="9" defaultRowHeight="13" x14ac:dyDescent="0.3"/>
  <cols>
    <col min="1" max="1" width="2.81640625" style="2" customWidth="1"/>
    <col min="2" max="8" width="9" style="2"/>
    <col min="9" max="10" width="10" style="2" customWidth="1"/>
    <col min="11" max="16384" width="9" style="2"/>
  </cols>
  <sheetData>
    <row r="1" spans="1:18" ht="18.5" x14ac:dyDescent="0.45">
      <c r="A1" s="100" t="s">
        <v>172</v>
      </c>
    </row>
    <row r="2" spans="1:18" ht="15.5" x14ac:dyDescent="0.3">
      <c r="A2" s="101" t="s">
        <v>173</v>
      </c>
    </row>
    <row r="4" spans="1:18" x14ac:dyDescent="0.3">
      <c r="B4" s="112" t="str">
        <f>Data!D6</f>
        <v>Addressing low pressure - capex</v>
      </c>
      <c r="Q4" s="115"/>
      <c r="R4" s="115"/>
    </row>
    <row r="5" spans="1:18" ht="78" x14ac:dyDescent="0.3">
      <c r="C5" s="102">
        <v>2021</v>
      </c>
      <c r="D5" s="102">
        <v>2022</v>
      </c>
      <c r="E5" s="102">
        <v>2023</v>
      </c>
      <c r="F5" s="102">
        <v>2024</v>
      </c>
      <c r="G5" s="102">
        <v>2025</v>
      </c>
      <c r="H5" s="103" t="s">
        <v>171</v>
      </c>
      <c r="I5" s="103" t="s">
        <v>185</v>
      </c>
      <c r="J5" s="103" t="s">
        <v>50</v>
      </c>
      <c r="L5" s="103" t="s">
        <v>174</v>
      </c>
      <c r="M5" s="103" t="s">
        <v>147</v>
      </c>
      <c r="N5" s="103" t="s">
        <v>197</v>
      </c>
      <c r="O5" s="114" t="s">
        <v>175</v>
      </c>
      <c r="P5" s="103" t="s">
        <v>176</v>
      </c>
      <c r="Q5" s="115"/>
      <c r="R5" s="115"/>
    </row>
    <row r="6" spans="1:18" x14ac:dyDescent="0.3">
      <c r="B6" s="21" t="s">
        <v>3</v>
      </c>
      <c r="C6" s="104">
        <f>SUMIFS(Data!$D$7:$D$91,Data!$B$7:$B$91,$B6,Data!$C$7:$C$91,C$5)</f>
        <v>0.94126948108188002</v>
      </c>
      <c r="D6" s="104">
        <f>SUMIFS(Data!$D$7:$D$91,Data!$B$7:$B$91,$B6,Data!$C$7:$C$91,D$5)</f>
        <v>2.6981367334325101</v>
      </c>
      <c r="E6" s="104">
        <f>SUMIFS(Data!$D$7:$D$91,Data!$B$7:$B$91,$B6,Data!$C$7:$C$91,E$5)</f>
        <v>3.3890142044909699</v>
      </c>
      <c r="F6" s="104">
        <f>SUMIFS(Data!$D$7:$D$91,Data!$B$7:$B$91,$B6,Data!$C$7:$C$91,F$5)</f>
        <v>1.2307759115444701</v>
      </c>
      <c r="G6" s="104">
        <f>SUMIFS(Data!$D$7:$D$91,Data!$B$7:$B$91,$B6,Data!$C$7:$C$91,G$5)</f>
        <v>0.45385693865171201</v>
      </c>
      <c r="H6" s="105">
        <f t="shared" ref="H6:H23" si="0">SUM(C6:G6)</f>
        <v>8.7130532692015432</v>
      </c>
      <c r="I6" s="120">
        <f>Allowance!F13</f>
        <v>-4.3565266346007716</v>
      </c>
      <c r="J6" s="105">
        <v>0</v>
      </c>
      <c r="L6" s="106">
        <f>SUMIFS(Data!$E$7:$E$31,Data!$B$7:$B$31,$B6)</f>
        <v>2814.0055180862919</v>
      </c>
      <c r="M6" s="107">
        <f>IFERROR(H6/L6,"")</f>
        <v>3.0963170516904283E-3</v>
      </c>
      <c r="N6" s="104">
        <v>0.15</v>
      </c>
      <c r="O6" s="117">
        <f>J6*(1-N6)</f>
        <v>0</v>
      </c>
      <c r="P6" s="108">
        <f>O6</f>
        <v>0</v>
      </c>
      <c r="Q6" s="116"/>
      <c r="R6" s="115"/>
    </row>
    <row r="7" spans="1:18" x14ac:dyDescent="0.3">
      <c r="B7" s="21" t="s">
        <v>128</v>
      </c>
      <c r="C7" s="104">
        <f>SUMIFS(Data!$D$7:$D$91,Data!$B$7:$B$91,$B7,Data!$C$7:$C$91,C$5)</f>
        <v>0</v>
      </c>
      <c r="D7" s="104">
        <f>SUMIFS(Data!$D$7:$D$91,Data!$B$7:$B$91,$B7,Data!$C$7:$C$91,D$5)</f>
        <v>0</v>
      </c>
      <c r="E7" s="104">
        <f>SUMIFS(Data!$D$7:$D$91,Data!$B$7:$B$91,$B7,Data!$C$7:$C$91,E$5)</f>
        <v>0</v>
      </c>
      <c r="F7" s="104">
        <f>SUMIFS(Data!$D$7:$D$91,Data!$B$7:$B$91,$B7,Data!$C$7:$C$91,F$5)</f>
        <v>0</v>
      </c>
      <c r="G7" s="104">
        <f>SUMIFS(Data!$D$7:$D$91,Data!$B$7:$B$91,$B7,Data!$C$7:$C$91,G$5)</f>
        <v>0</v>
      </c>
      <c r="H7" s="105">
        <f t="shared" si="0"/>
        <v>0</v>
      </c>
      <c r="I7" s="104">
        <f>Allowance!F14</f>
        <v>0</v>
      </c>
      <c r="J7" s="105">
        <v>0</v>
      </c>
      <c r="L7" s="106">
        <f>SUMIFS(Data!$E$7:$E$31,Data!$B$7:$B$31,$B7)</f>
        <v>0</v>
      </c>
      <c r="M7" s="107" t="str">
        <f t="shared" ref="M7:M22" si="1">IFERROR(H7/L7,"")</f>
        <v/>
      </c>
      <c r="N7" s="104">
        <v>0</v>
      </c>
      <c r="O7" s="117">
        <f t="shared" ref="O7:O22" si="2">J7*(1-N7)</f>
        <v>0</v>
      </c>
      <c r="P7" s="108">
        <f t="shared" ref="P7:P21" si="3">O7</f>
        <v>0</v>
      </c>
      <c r="Q7" s="116"/>
      <c r="R7" s="115"/>
    </row>
    <row r="8" spans="1:18" x14ac:dyDescent="0.3">
      <c r="B8" s="21" t="s">
        <v>4</v>
      </c>
      <c r="C8" s="104">
        <f>SUMIFS(Data!$D$7:$D$91,Data!$B$7:$B$91,$B8,Data!$C$7:$C$91,C$5)</f>
        <v>0</v>
      </c>
      <c r="D8" s="104">
        <f>SUMIFS(Data!$D$7:$D$91,Data!$B$7:$B$91,$B8,Data!$C$7:$C$91,D$5)</f>
        <v>0</v>
      </c>
      <c r="E8" s="104">
        <f>SUMIFS(Data!$D$7:$D$91,Data!$B$7:$B$91,$B8,Data!$C$7:$C$91,E$5)</f>
        <v>0</v>
      </c>
      <c r="F8" s="104">
        <f>SUMIFS(Data!$D$7:$D$91,Data!$B$7:$B$91,$B8,Data!$C$7:$C$91,F$5)</f>
        <v>0</v>
      </c>
      <c r="G8" s="104">
        <f>SUMIFS(Data!$D$7:$D$91,Data!$B$7:$B$91,$B8,Data!$C$7:$C$91,G$5)</f>
        <v>0</v>
      </c>
      <c r="H8" s="105">
        <f t="shared" si="0"/>
        <v>0</v>
      </c>
      <c r="I8" s="104">
        <f>Allowance!F15</f>
        <v>0</v>
      </c>
      <c r="J8" s="105">
        <v>0</v>
      </c>
      <c r="L8" s="106">
        <f>SUMIFS(Data!$E$7:$E$31,Data!$B$7:$B$31,$B8)</f>
        <v>1729.884</v>
      </c>
      <c r="M8" s="107">
        <f t="shared" si="1"/>
        <v>0</v>
      </c>
      <c r="N8" s="104">
        <v>2.650441955963285E-4</v>
      </c>
      <c r="O8" s="117">
        <f t="shared" si="2"/>
        <v>0</v>
      </c>
      <c r="P8" s="108">
        <f t="shared" si="3"/>
        <v>0</v>
      </c>
      <c r="Q8" s="116"/>
      <c r="R8" s="115"/>
    </row>
    <row r="9" spans="1:18" x14ac:dyDescent="0.3">
      <c r="B9" s="21" t="s">
        <v>5</v>
      </c>
      <c r="C9" s="104">
        <f>SUMIFS(Data!$D$7:$D$91,Data!$B$7:$B$91,$B9,Data!$C$7:$C$91,C$5)</f>
        <v>0</v>
      </c>
      <c r="D9" s="104">
        <f>SUMIFS(Data!$D$7:$D$91,Data!$B$7:$B$91,$B9,Data!$C$7:$C$91,D$5)</f>
        <v>0</v>
      </c>
      <c r="E9" s="104">
        <f>SUMIFS(Data!$D$7:$D$91,Data!$B$7:$B$91,$B9,Data!$C$7:$C$91,E$5)</f>
        <v>0</v>
      </c>
      <c r="F9" s="104">
        <f>SUMIFS(Data!$D$7:$D$91,Data!$B$7:$B$91,$B9,Data!$C$7:$C$91,F$5)</f>
        <v>0</v>
      </c>
      <c r="G9" s="104">
        <f>SUMIFS(Data!$D$7:$D$91,Data!$B$7:$B$91,$B9,Data!$C$7:$C$91,G$5)</f>
        <v>0</v>
      </c>
      <c r="H9" s="105">
        <f t="shared" si="0"/>
        <v>0</v>
      </c>
      <c r="I9" s="104">
        <f>Allowance!F16</f>
        <v>0</v>
      </c>
      <c r="J9" s="105">
        <v>0</v>
      </c>
      <c r="L9" s="106">
        <f>SUMIFS(Data!$E$7:$E$31,Data!$B$7:$B$31,$B9)</f>
        <v>2477.5035104607214</v>
      </c>
      <c r="M9" s="107">
        <f t="shared" si="1"/>
        <v>0</v>
      </c>
      <c r="N9" s="104">
        <v>0</v>
      </c>
      <c r="O9" s="117">
        <f t="shared" si="2"/>
        <v>0</v>
      </c>
      <c r="P9" s="108">
        <f t="shared" si="3"/>
        <v>0</v>
      </c>
      <c r="Q9" s="116"/>
      <c r="R9" s="115"/>
    </row>
    <row r="10" spans="1:18" x14ac:dyDescent="0.3">
      <c r="B10" s="21" t="s">
        <v>6</v>
      </c>
      <c r="C10" s="104">
        <f>SUMIFS(Data!$D$7:$D$91,Data!$B$7:$B$91,$B10,Data!$C$7:$C$91,C$5)</f>
        <v>0</v>
      </c>
      <c r="D10" s="104">
        <f>SUMIFS(Data!$D$7:$D$91,Data!$B$7:$B$91,$B10,Data!$C$7:$C$91,D$5)</f>
        <v>0</v>
      </c>
      <c r="E10" s="104">
        <f>SUMIFS(Data!$D$7:$D$91,Data!$B$7:$B$91,$B10,Data!$C$7:$C$91,E$5)</f>
        <v>0</v>
      </c>
      <c r="F10" s="104">
        <f>SUMIFS(Data!$D$7:$D$91,Data!$B$7:$B$91,$B10,Data!$C$7:$C$91,F$5)</f>
        <v>0</v>
      </c>
      <c r="G10" s="104">
        <f>SUMIFS(Data!$D$7:$D$91,Data!$B$7:$B$91,$B10,Data!$C$7:$C$91,G$5)</f>
        <v>0</v>
      </c>
      <c r="H10" s="105">
        <f t="shared" si="0"/>
        <v>0</v>
      </c>
      <c r="I10" s="104">
        <f>Allowance!F17</f>
        <v>0</v>
      </c>
      <c r="J10" s="105">
        <v>0</v>
      </c>
      <c r="L10" s="106">
        <f>SUMIFS(Data!$E$7:$E$31,Data!$B$7:$B$31,$B10)</f>
        <v>1226.604</v>
      </c>
      <c r="M10" s="107">
        <f t="shared" si="1"/>
        <v>0</v>
      </c>
      <c r="N10" s="104">
        <v>0.1</v>
      </c>
      <c r="O10" s="117">
        <f t="shared" si="2"/>
        <v>0</v>
      </c>
      <c r="P10" s="108">
        <f t="shared" si="3"/>
        <v>0</v>
      </c>
      <c r="Q10" s="116"/>
      <c r="R10" s="115"/>
    </row>
    <row r="11" spans="1:18" x14ac:dyDescent="0.3">
      <c r="B11" s="21" t="s">
        <v>127</v>
      </c>
      <c r="C11" s="104">
        <f>SUMIFS(Data!$D$7:$D$91,Data!$B$7:$B$91,$B11,Data!$C$7:$C$91,C$5)</f>
        <v>2.02</v>
      </c>
      <c r="D11" s="104">
        <f>SUMIFS(Data!$D$7:$D$91,Data!$B$7:$B$91,$B11,Data!$C$7:$C$91,D$5)</f>
        <v>2.5249999999999999</v>
      </c>
      <c r="E11" s="104">
        <f>SUMIFS(Data!$D$7:$D$91,Data!$B$7:$B$91,$B11,Data!$C$7:$C$91,E$5)</f>
        <v>2.5249999999999999</v>
      </c>
      <c r="F11" s="104">
        <f>SUMIFS(Data!$D$7:$D$91,Data!$B$7:$B$91,$B11,Data!$C$7:$C$91,F$5)</f>
        <v>2.02</v>
      </c>
      <c r="G11" s="104">
        <f>SUMIFS(Data!$D$7:$D$91,Data!$B$7:$B$91,$B11,Data!$C$7:$C$91,G$5)</f>
        <v>1.01</v>
      </c>
      <c r="H11" s="105">
        <f t="shared" si="0"/>
        <v>10.1</v>
      </c>
      <c r="I11" s="120">
        <f>Allowance!F18</f>
        <v>-10.1</v>
      </c>
      <c r="J11" s="105">
        <v>0</v>
      </c>
      <c r="L11" s="106">
        <f>SUMIFS(Data!$E$7:$E$31,Data!$B$7:$B$31,$B11)</f>
        <v>0</v>
      </c>
      <c r="M11" s="107" t="str">
        <f t="shared" si="1"/>
        <v/>
      </c>
      <c r="N11" s="104">
        <v>0</v>
      </c>
      <c r="O11" s="117">
        <f t="shared" si="2"/>
        <v>0</v>
      </c>
      <c r="P11" s="108">
        <f t="shared" si="3"/>
        <v>0</v>
      </c>
      <c r="Q11" s="116"/>
      <c r="R11" s="115"/>
    </row>
    <row r="12" spans="1:18" x14ac:dyDescent="0.3">
      <c r="B12" s="21" t="s">
        <v>8</v>
      </c>
      <c r="C12" s="104">
        <f>SUMIFS(Data!$D$7:$D$91,Data!$B$7:$B$91,$B12,Data!$C$7:$C$91,C$5)</f>
        <v>0</v>
      </c>
      <c r="D12" s="104">
        <f>SUMIFS(Data!$D$7:$D$91,Data!$B$7:$B$91,$B12,Data!$C$7:$C$91,D$5)</f>
        <v>0</v>
      </c>
      <c r="E12" s="104">
        <f>SUMIFS(Data!$D$7:$D$91,Data!$B$7:$B$91,$B12,Data!$C$7:$C$91,E$5)</f>
        <v>0</v>
      </c>
      <c r="F12" s="104">
        <f>SUMIFS(Data!$D$7:$D$91,Data!$B$7:$B$91,$B12,Data!$C$7:$C$91,F$5)</f>
        <v>0</v>
      </c>
      <c r="G12" s="104">
        <f>SUMIFS(Data!$D$7:$D$91,Data!$B$7:$B$91,$B12,Data!$C$7:$C$91,G$5)</f>
        <v>0</v>
      </c>
      <c r="H12" s="105">
        <f t="shared" si="0"/>
        <v>0</v>
      </c>
      <c r="I12" s="104">
        <f>Allowance!F19</f>
        <v>0</v>
      </c>
      <c r="J12" s="105">
        <v>0</v>
      </c>
      <c r="L12" s="106">
        <f>SUMIFS(Data!$E$7:$E$31,Data!$B$7:$B$31,$B12)</f>
        <v>894.25199999999995</v>
      </c>
      <c r="M12" s="107">
        <f t="shared" si="1"/>
        <v>0</v>
      </c>
      <c r="N12" s="104">
        <v>0</v>
      </c>
      <c r="O12" s="117">
        <f t="shared" si="2"/>
        <v>0</v>
      </c>
      <c r="P12" s="108">
        <f t="shared" si="3"/>
        <v>0</v>
      </c>
      <c r="Q12" s="116"/>
      <c r="R12" s="115"/>
    </row>
    <row r="13" spans="1:18" x14ac:dyDescent="0.3">
      <c r="B13" s="21" t="s">
        <v>9</v>
      </c>
      <c r="C13" s="104">
        <f>SUMIFS(Data!$D$7:$D$91,Data!$B$7:$B$91,$B13,Data!$C$7:$C$91,C$5)</f>
        <v>0</v>
      </c>
      <c r="D13" s="104">
        <f>SUMIFS(Data!$D$7:$D$91,Data!$B$7:$B$91,$B13,Data!$C$7:$C$91,D$5)</f>
        <v>0</v>
      </c>
      <c r="E13" s="104">
        <f>SUMIFS(Data!$D$7:$D$91,Data!$B$7:$B$91,$B13,Data!$C$7:$C$91,E$5)</f>
        <v>0</v>
      </c>
      <c r="F13" s="104">
        <f>SUMIFS(Data!$D$7:$D$91,Data!$B$7:$B$91,$B13,Data!$C$7:$C$91,F$5)</f>
        <v>0</v>
      </c>
      <c r="G13" s="104">
        <f>SUMIFS(Data!$D$7:$D$91,Data!$B$7:$B$91,$B13,Data!$C$7:$C$91,G$5)</f>
        <v>0</v>
      </c>
      <c r="H13" s="105">
        <f t="shared" si="0"/>
        <v>0</v>
      </c>
      <c r="I13" s="104">
        <f>Allowance!F20</f>
        <v>0</v>
      </c>
      <c r="J13" s="105">
        <v>0</v>
      </c>
      <c r="L13" s="106">
        <f>SUMIFS(Data!$E$7:$E$31,Data!$B$7:$B$31,$B13)</f>
        <v>0</v>
      </c>
      <c r="M13" s="107" t="str">
        <f t="shared" si="1"/>
        <v/>
      </c>
      <c r="N13" s="104">
        <v>0.13</v>
      </c>
      <c r="O13" s="117">
        <f t="shared" si="2"/>
        <v>0</v>
      </c>
      <c r="P13" s="108">
        <f t="shared" si="3"/>
        <v>0</v>
      </c>
      <c r="Q13" s="116"/>
      <c r="R13" s="115"/>
    </row>
    <row r="14" spans="1:18" x14ac:dyDescent="0.3">
      <c r="B14" s="21" t="s">
        <v>10</v>
      </c>
      <c r="C14" s="104">
        <f>SUMIFS(Data!$D$7:$D$91,Data!$B$7:$B$91,$B14,Data!$C$7:$C$91,C$5)</f>
        <v>0.27200000000000002</v>
      </c>
      <c r="D14" s="104">
        <f>SUMIFS(Data!$D$7:$D$91,Data!$B$7:$B$91,$B14,Data!$C$7:$C$91,D$5)</f>
        <v>0.26900000000000002</v>
      </c>
      <c r="E14" s="104">
        <f>SUMIFS(Data!$D$7:$D$91,Data!$B$7:$B$91,$B14,Data!$C$7:$C$91,E$5)</f>
        <v>0.26600000000000001</v>
      </c>
      <c r="F14" s="104">
        <f>SUMIFS(Data!$D$7:$D$91,Data!$B$7:$B$91,$B14,Data!$C$7:$C$91,F$5)</f>
        <v>0.26200000000000001</v>
      </c>
      <c r="G14" s="104">
        <f>SUMIFS(Data!$D$7:$D$91,Data!$B$7:$B$91,$B14,Data!$C$7:$C$91,G$5)</f>
        <v>0.25900000000000001</v>
      </c>
      <c r="H14" s="105">
        <f t="shared" si="0"/>
        <v>1.3279999999999998</v>
      </c>
      <c r="I14" s="120">
        <f>Allowance!F21</f>
        <v>-1.3000000000000003</v>
      </c>
      <c r="J14" s="105">
        <v>0</v>
      </c>
      <c r="L14" s="106">
        <f>SUMIFS(Data!$E$7:$E$31,Data!$B$7:$B$31,$B14)</f>
        <v>0</v>
      </c>
      <c r="M14" s="107" t="str">
        <f t="shared" si="1"/>
        <v/>
      </c>
      <c r="N14" s="104">
        <v>0</v>
      </c>
      <c r="O14" s="117">
        <f t="shared" si="2"/>
        <v>0</v>
      </c>
      <c r="P14" s="108">
        <f t="shared" si="3"/>
        <v>0</v>
      </c>
      <c r="Q14" s="116"/>
      <c r="R14" s="115"/>
    </row>
    <row r="15" spans="1:18" x14ac:dyDescent="0.3">
      <c r="B15" s="21" t="s">
        <v>11</v>
      </c>
      <c r="C15" s="104">
        <f>SUMIFS(Data!$D$7:$D$91,Data!$B$7:$B$91,$B15,Data!$C$7:$C$91,C$5)</f>
        <v>0</v>
      </c>
      <c r="D15" s="104">
        <f>SUMIFS(Data!$D$7:$D$91,Data!$B$7:$B$91,$B15,Data!$C$7:$C$91,D$5)</f>
        <v>0</v>
      </c>
      <c r="E15" s="104">
        <f>SUMIFS(Data!$D$7:$D$91,Data!$B$7:$B$91,$B15,Data!$C$7:$C$91,E$5)</f>
        <v>0</v>
      </c>
      <c r="F15" s="104">
        <f>SUMIFS(Data!$D$7:$D$91,Data!$B$7:$B$91,$B15,Data!$C$7:$C$91,F$5)</f>
        <v>0</v>
      </c>
      <c r="G15" s="104">
        <f>SUMIFS(Data!$D$7:$D$91,Data!$B$7:$B$91,$B15,Data!$C$7:$C$91,G$5)</f>
        <v>0</v>
      </c>
      <c r="H15" s="105">
        <f t="shared" si="0"/>
        <v>0</v>
      </c>
      <c r="I15" s="104">
        <f>Allowance!F22</f>
        <v>0</v>
      </c>
      <c r="J15" s="105">
        <v>0</v>
      </c>
      <c r="L15" s="106">
        <f>SUMIFS(Data!$E$7:$E$31,Data!$B$7:$B$31,$B15)</f>
        <v>0</v>
      </c>
      <c r="M15" s="107" t="str">
        <f t="shared" si="1"/>
        <v/>
      </c>
      <c r="N15" s="104">
        <v>0</v>
      </c>
      <c r="O15" s="117">
        <f t="shared" si="2"/>
        <v>0</v>
      </c>
      <c r="P15" s="108">
        <f t="shared" si="3"/>
        <v>0</v>
      </c>
      <c r="Q15" s="116"/>
      <c r="R15" s="115"/>
    </row>
    <row r="16" spans="1:18" x14ac:dyDescent="0.3">
      <c r="B16" s="21" t="s">
        <v>12</v>
      </c>
      <c r="C16" s="104">
        <f>SUMIFS(Data!$D$7:$D$91,Data!$B$7:$B$91,$B16,Data!$C$7:$C$91,C$5)</f>
        <v>0</v>
      </c>
      <c r="D16" s="104">
        <f>SUMIFS(Data!$D$7:$D$91,Data!$B$7:$B$91,$B16,Data!$C$7:$C$91,D$5)</f>
        <v>0</v>
      </c>
      <c r="E16" s="104">
        <f>SUMIFS(Data!$D$7:$D$91,Data!$B$7:$B$91,$B16,Data!$C$7:$C$91,E$5)</f>
        <v>0</v>
      </c>
      <c r="F16" s="104">
        <f>SUMIFS(Data!$D$7:$D$91,Data!$B$7:$B$91,$B16,Data!$C$7:$C$91,F$5)</f>
        <v>0</v>
      </c>
      <c r="G16" s="104">
        <f>SUMIFS(Data!$D$7:$D$91,Data!$B$7:$B$91,$B16,Data!$C$7:$C$91,G$5)</f>
        <v>0</v>
      </c>
      <c r="H16" s="105">
        <f t="shared" si="0"/>
        <v>0</v>
      </c>
      <c r="I16" s="104">
        <f>Allowance!F23</f>
        <v>0</v>
      </c>
      <c r="J16" s="105">
        <v>0</v>
      </c>
      <c r="L16" s="106">
        <f>SUMIFS(Data!$E$7:$E$31,Data!$B$7:$B$31,$B16)</f>
        <v>0</v>
      </c>
      <c r="M16" s="107" t="str">
        <f t="shared" si="1"/>
        <v/>
      </c>
      <c r="N16" s="104">
        <v>0.10346547216238228</v>
      </c>
      <c r="O16" s="117">
        <f t="shared" si="2"/>
        <v>0</v>
      </c>
      <c r="P16" s="108">
        <f t="shared" si="3"/>
        <v>0</v>
      </c>
      <c r="Q16" s="116"/>
      <c r="R16" s="115"/>
    </row>
    <row r="17" spans="2:18" x14ac:dyDescent="0.3">
      <c r="B17" s="21" t="s">
        <v>13</v>
      </c>
      <c r="C17" s="104">
        <f>SUMIFS(Data!$D$7:$D$91,Data!$B$7:$B$91,$B17,Data!$C$7:$C$91,C$5)</f>
        <v>1</v>
      </c>
      <c r="D17" s="104">
        <f>SUMIFS(Data!$D$7:$D$91,Data!$B$7:$B$91,$B17,Data!$C$7:$C$91,D$5)</f>
        <v>1</v>
      </c>
      <c r="E17" s="104">
        <f>SUMIFS(Data!$D$7:$D$91,Data!$B$7:$B$91,$B17,Data!$C$7:$C$91,E$5)</f>
        <v>0.2</v>
      </c>
      <c r="F17" s="104">
        <f>SUMIFS(Data!$D$7:$D$91,Data!$B$7:$B$91,$B17,Data!$C$7:$C$91,F$5)</f>
        <v>0.2</v>
      </c>
      <c r="G17" s="104">
        <f>SUMIFS(Data!$D$7:$D$91,Data!$B$7:$B$91,$B17,Data!$C$7:$C$91,G$5)</f>
        <v>0.1</v>
      </c>
      <c r="H17" s="105">
        <f t="shared" si="0"/>
        <v>2.5000000000000004</v>
      </c>
      <c r="I17" s="104">
        <f>Allowance!F24</f>
        <v>0</v>
      </c>
      <c r="J17" s="105">
        <v>0</v>
      </c>
      <c r="L17" s="106">
        <f>SUMIFS(Data!$E$7:$E$31,Data!$B$7:$B$31,$B17)</f>
        <v>0</v>
      </c>
      <c r="M17" s="107" t="str">
        <f t="shared" si="1"/>
        <v/>
      </c>
      <c r="N17" s="104">
        <v>6.0705358641883776E-2</v>
      </c>
      <c r="O17" s="117">
        <f t="shared" si="2"/>
        <v>0</v>
      </c>
      <c r="P17" s="108">
        <f t="shared" si="3"/>
        <v>0</v>
      </c>
      <c r="Q17" s="116"/>
      <c r="R17" s="115"/>
    </row>
    <row r="18" spans="2:18" x14ac:dyDescent="0.3">
      <c r="B18" s="21" t="s">
        <v>14</v>
      </c>
      <c r="C18" s="104">
        <f>SUMIFS(Data!$D$7:$D$91,Data!$B$7:$B$91,$B18,Data!$C$7:$C$91,C$5)</f>
        <v>0</v>
      </c>
      <c r="D18" s="104">
        <f>SUMIFS(Data!$D$7:$D$91,Data!$B$7:$B$91,$B18,Data!$C$7:$C$91,D$5)</f>
        <v>0</v>
      </c>
      <c r="E18" s="104">
        <f>SUMIFS(Data!$D$7:$D$91,Data!$B$7:$B$91,$B18,Data!$C$7:$C$91,E$5)</f>
        <v>0</v>
      </c>
      <c r="F18" s="104">
        <f>SUMIFS(Data!$D$7:$D$91,Data!$B$7:$B$91,$B18,Data!$C$7:$C$91,F$5)</f>
        <v>0</v>
      </c>
      <c r="G18" s="104">
        <f>SUMIFS(Data!$D$7:$D$91,Data!$B$7:$B$91,$B18,Data!$C$7:$C$91,G$5)</f>
        <v>0</v>
      </c>
      <c r="H18" s="105">
        <f t="shared" si="0"/>
        <v>0</v>
      </c>
      <c r="I18" s="104">
        <f>Allowance!F25</f>
        <v>0</v>
      </c>
      <c r="J18" s="105">
        <v>0</v>
      </c>
      <c r="L18" s="106">
        <f>SUMIFS(Data!$E$7:$E$31,Data!$B$7:$B$31,$B18)</f>
        <v>0</v>
      </c>
      <c r="M18" s="107" t="str">
        <f t="shared" si="1"/>
        <v/>
      </c>
      <c r="N18" s="104">
        <v>7.195828641155512E-2</v>
      </c>
      <c r="O18" s="117">
        <f t="shared" si="2"/>
        <v>0</v>
      </c>
      <c r="P18" s="108">
        <f t="shared" si="3"/>
        <v>0</v>
      </c>
      <c r="Q18" s="116"/>
      <c r="R18" s="115"/>
    </row>
    <row r="19" spans="2:18" x14ac:dyDescent="0.3">
      <c r="B19" s="21" t="s">
        <v>16</v>
      </c>
      <c r="C19" s="104">
        <f>SUMIFS(Data!$D$7:$D$91,Data!$B$7:$B$91,$B19,Data!$C$7:$C$91,C$5)</f>
        <v>0</v>
      </c>
      <c r="D19" s="104">
        <f>SUMIFS(Data!$D$7:$D$91,Data!$B$7:$B$91,$B19,Data!$C$7:$C$91,D$5)</f>
        <v>0</v>
      </c>
      <c r="E19" s="104">
        <f>SUMIFS(Data!$D$7:$D$91,Data!$B$7:$B$91,$B19,Data!$C$7:$C$91,E$5)</f>
        <v>0</v>
      </c>
      <c r="F19" s="104">
        <f>SUMIFS(Data!$D$7:$D$91,Data!$B$7:$B$91,$B19,Data!$C$7:$C$91,F$5)</f>
        <v>0</v>
      </c>
      <c r="G19" s="104">
        <f>SUMIFS(Data!$D$7:$D$91,Data!$B$7:$B$91,$B19,Data!$C$7:$C$91,G$5)</f>
        <v>0</v>
      </c>
      <c r="H19" s="105">
        <f t="shared" si="0"/>
        <v>0</v>
      </c>
      <c r="I19" s="104">
        <f>Allowance!F26</f>
        <v>0</v>
      </c>
      <c r="J19" s="105">
        <v>0</v>
      </c>
      <c r="L19" s="106">
        <f>SUMIFS(Data!$E$7:$E$31,Data!$B$7:$B$31,$B19)</f>
        <v>0</v>
      </c>
      <c r="M19" s="107" t="str">
        <f t="shared" si="1"/>
        <v/>
      </c>
      <c r="N19" s="104">
        <v>0</v>
      </c>
      <c r="O19" s="117">
        <f t="shared" si="2"/>
        <v>0</v>
      </c>
      <c r="P19" s="108">
        <f t="shared" si="3"/>
        <v>0</v>
      </c>
      <c r="Q19" s="116"/>
      <c r="R19" s="115"/>
    </row>
    <row r="20" spans="2:18" x14ac:dyDescent="0.3">
      <c r="B20" s="21" t="s">
        <v>17</v>
      </c>
      <c r="C20" s="104">
        <f>SUMIFS(Data!$D$7:$D$91,Data!$B$7:$B$91,$B20,Data!$C$7:$C$91,C$5)</f>
        <v>0</v>
      </c>
      <c r="D20" s="104">
        <f>SUMIFS(Data!$D$7:$D$91,Data!$B$7:$B$91,$B20,Data!$C$7:$C$91,D$5)</f>
        <v>0</v>
      </c>
      <c r="E20" s="104">
        <f>SUMIFS(Data!$D$7:$D$91,Data!$B$7:$B$91,$B20,Data!$C$7:$C$91,E$5)</f>
        <v>0</v>
      </c>
      <c r="F20" s="104">
        <f>SUMIFS(Data!$D$7:$D$91,Data!$B$7:$B$91,$B20,Data!$C$7:$C$91,F$5)</f>
        <v>0</v>
      </c>
      <c r="G20" s="104">
        <f>SUMIFS(Data!$D$7:$D$91,Data!$B$7:$B$91,$B20,Data!$C$7:$C$91,G$5)</f>
        <v>0</v>
      </c>
      <c r="H20" s="105">
        <f t="shared" si="0"/>
        <v>0</v>
      </c>
      <c r="I20" s="104">
        <f>Allowance!F27</f>
        <v>0</v>
      </c>
      <c r="J20" s="105">
        <v>0</v>
      </c>
      <c r="L20" s="106">
        <f>SUMIFS(Data!$E$7:$E$31,Data!$B$7:$B$31,$B20)</f>
        <v>0</v>
      </c>
      <c r="M20" s="107" t="str">
        <f t="shared" si="1"/>
        <v/>
      </c>
      <c r="N20" s="104">
        <v>9.1408261361736784E-2</v>
      </c>
      <c r="O20" s="117">
        <f t="shared" si="2"/>
        <v>0</v>
      </c>
      <c r="P20" s="108">
        <f t="shared" si="3"/>
        <v>0</v>
      </c>
      <c r="Q20" s="116"/>
      <c r="R20" s="115"/>
    </row>
    <row r="21" spans="2:18" x14ac:dyDescent="0.3">
      <c r="B21" s="21" t="s">
        <v>18</v>
      </c>
      <c r="C21" s="104">
        <f>SUMIFS(Data!$D$7:$D$91,Data!$B$7:$B$91,$B21,Data!$C$7:$C$91,C$5)</f>
        <v>0</v>
      </c>
      <c r="D21" s="104">
        <f>SUMIFS(Data!$D$7:$D$91,Data!$B$7:$B$91,$B21,Data!$C$7:$C$91,D$5)</f>
        <v>0</v>
      </c>
      <c r="E21" s="104">
        <f>SUMIFS(Data!$D$7:$D$91,Data!$B$7:$B$91,$B21,Data!$C$7:$C$91,E$5)</f>
        <v>0</v>
      </c>
      <c r="F21" s="104">
        <f>SUMIFS(Data!$D$7:$D$91,Data!$B$7:$B$91,$B21,Data!$C$7:$C$91,F$5)</f>
        <v>0</v>
      </c>
      <c r="G21" s="104">
        <f>SUMIFS(Data!$D$7:$D$91,Data!$B$7:$B$91,$B21,Data!$C$7:$C$91,G$5)</f>
        <v>0</v>
      </c>
      <c r="H21" s="105">
        <f t="shared" si="0"/>
        <v>0</v>
      </c>
      <c r="I21" s="104">
        <f>Allowance!F28</f>
        <v>0</v>
      </c>
      <c r="J21" s="105">
        <v>0</v>
      </c>
      <c r="L21" s="106">
        <f>SUMIFS(Data!$E$7:$E$31,Data!$B$7:$B$31,$B21)</f>
        <v>0</v>
      </c>
      <c r="M21" s="107" t="str">
        <f t="shared" si="1"/>
        <v/>
      </c>
      <c r="N21" s="104">
        <v>8.5623557290976458E-3</v>
      </c>
      <c r="O21" s="117">
        <f t="shared" si="2"/>
        <v>0</v>
      </c>
      <c r="P21" s="108">
        <f t="shared" si="3"/>
        <v>0</v>
      </c>
      <c r="Q21" s="116"/>
      <c r="R21" s="115"/>
    </row>
    <row r="22" spans="2:18" x14ac:dyDescent="0.3">
      <c r="B22" s="21" t="s">
        <v>19</v>
      </c>
      <c r="C22" s="104">
        <f>SUMIFS(Data!$D$7:$D$91,Data!$B$7:$B$91,$B22,Data!$C$7:$C$91,C$5)</f>
        <v>9.8714468711343303E-2</v>
      </c>
      <c r="D22" s="104">
        <f>SUMIFS(Data!$D$7:$D$91,Data!$B$7:$B$91,$B22,Data!$C$7:$C$91,D$5)</f>
        <v>9.8714468711343303E-2</v>
      </c>
      <c r="E22" s="104">
        <f>SUMIFS(Data!$D$7:$D$91,Data!$B$7:$B$91,$B22,Data!$C$7:$C$91,E$5)</f>
        <v>9.8714468711343303E-2</v>
      </c>
      <c r="F22" s="104">
        <f>SUMIFS(Data!$D$7:$D$91,Data!$B$7:$B$91,$B22,Data!$C$7:$C$91,F$5)</f>
        <v>9.8714468711343303E-2</v>
      </c>
      <c r="G22" s="104">
        <f>SUMIFS(Data!$D$7:$D$91,Data!$B$7:$B$91,$B22,Data!$C$7:$C$91,G$5)</f>
        <v>9.8714468711343303E-2</v>
      </c>
      <c r="H22" s="105">
        <f t="shared" si="0"/>
        <v>0.49357234355671653</v>
      </c>
      <c r="I22" s="120">
        <f>Allowance!F29</f>
        <v>-0.49357234355671653</v>
      </c>
      <c r="J22" s="105">
        <v>0</v>
      </c>
      <c r="L22" s="106">
        <f>SUMIFS(Data!$E$7:$E$31,Data!$B$7:$B$31,$B22)</f>
        <v>0</v>
      </c>
      <c r="M22" s="107" t="str">
        <f t="shared" si="1"/>
        <v/>
      </c>
      <c r="N22" s="104">
        <v>6.8778600799977052E-2</v>
      </c>
      <c r="O22" s="117">
        <f t="shared" si="2"/>
        <v>0</v>
      </c>
      <c r="P22" s="108">
        <f>O22</f>
        <v>0</v>
      </c>
      <c r="Q22" s="116"/>
      <c r="R22" s="115"/>
    </row>
    <row r="23" spans="2:18" x14ac:dyDescent="0.3">
      <c r="B23" s="25" t="s">
        <v>158</v>
      </c>
      <c r="C23" s="105">
        <f>SUM(C6:C22)</f>
        <v>4.3319839497932238</v>
      </c>
      <c r="D23" s="105">
        <f>SUM(D6:D22)</f>
        <v>6.5908512021438534</v>
      </c>
      <c r="E23" s="105">
        <f>SUM(E6:E22)</f>
        <v>6.4787286732023137</v>
      </c>
      <c r="F23" s="105">
        <f>SUM(F6:F22)</f>
        <v>3.8114903802558135</v>
      </c>
      <c r="G23" s="105">
        <f>SUM(G6:G22)</f>
        <v>1.9215714073630554</v>
      </c>
      <c r="H23" s="105">
        <f t="shared" si="0"/>
        <v>23.134625612758256</v>
      </c>
      <c r="I23" s="121">
        <f>SUM(I6:I22)</f>
        <v>-16.250098978157489</v>
      </c>
      <c r="J23" s="105">
        <f>SUM(J6:J22)</f>
        <v>0</v>
      </c>
      <c r="L23" s="109">
        <f>SUM(L6:L22)</f>
        <v>9142.2490285470139</v>
      </c>
      <c r="M23" s="110">
        <f t="shared" ref="M23" si="4">H23/L23</f>
        <v>2.5305179874798339E-3</v>
      </c>
      <c r="Q23" s="116"/>
      <c r="R23" s="115"/>
    </row>
    <row r="24" spans="2:18" x14ac:dyDescent="0.3">
      <c r="Q24" s="116"/>
      <c r="R24" s="115"/>
    </row>
    <row r="25" spans="2:18" x14ac:dyDescent="0.3">
      <c r="Q25" s="115"/>
      <c r="R25" s="115"/>
    </row>
    <row r="26" spans="2:18" x14ac:dyDescent="0.3">
      <c r="Q26" s="115"/>
      <c r="R26" s="115"/>
    </row>
    <row r="27" spans="2:18" x14ac:dyDescent="0.3">
      <c r="Q27" s="115"/>
      <c r="R27" s="115"/>
    </row>
    <row r="28" spans="2:18" x14ac:dyDescent="0.3">
      <c r="Q28" s="115"/>
      <c r="R28" s="115"/>
    </row>
    <row r="29" spans="2:18" x14ac:dyDescent="0.3">
      <c r="Q29" s="115"/>
      <c r="R29" s="115"/>
    </row>
    <row r="30" spans="2:18" x14ac:dyDescent="0.3">
      <c r="Q30" s="115"/>
      <c r="R30" s="11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1"/>
  <sheetViews>
    <sheetView showGridLines="0" zoomScale="80" zoomScaleNormal="80" workbookViewId="0">
      <selection activeCell="M12" sqref="M12"/>
    </sheetView>
  </sheetViews>
  <sheetFormatPr defaultColWidth="9.1796875" defaultRowHeight="13" x14ac:dyDescent="0.3"/>
  <cols>
    <col min="1" max="1" width="2.81640625" style="2" customWidth="1"/>
    <col min="2" max="2" width="14.453125" style="2" customWidth="1"/>
    <col min="3" max="5" width="19.1796875" style="2" customWidth="1"/>
    <col min="6" max="7" width="12.81640625" style="2" customWidth="1"/>
    <col min="8" max="8" width="14.453125" style="2" customWidth="1"/>
    <col min="9" max="9" width="11.54296875" style="2" bestFit="1" customWidth="1"/>
    <col min="10" max="10" width="11.54296875" style="2" customWidth="1"/>
    <col min="11" max="11" width="11.1796875" style="2" bestFit="1" customWidth="1"/>
    <col min="12" max="12" width="12.81640625" style="2" customWidth="1"/>
    <col min="13" max="13" width="31.453125" style="2" bestFit="1" customWidth="1"/>
    <col min="14" max="16384" width="9.1796875" style="2"/>
  </cols>
  <sheetData>
    <row r="1" spans="1:12" ht="15.5" x14ac:dyDescent="0.35">
      <c r="A1" s="28" t="s">
        <v>148</v>
      </c>
      <c r="B1" s="19"/>
      <c r="C1" s="19"/>
      <c r="D1" s="19"/>
      <c r="E1" s="19"/>
      <c r="F1" s="19"/>
      <c r="G1" s="19"/>
      <c r="H1" s="19"/>
      <c r="I1" s="19"/>
      <c r="J1" s="19"/>
      <c r="K1" s="19"/>
    </row>
    <row r="3" spans="1:12" x14ac:dyDescent="0.3">
      <c r="B3" s="8" t="s">
        <v>24</v>
      </c>
      <c r="C3" s="9" t="s">
        <v>186</v>
      </c>
      <c r="D3" s="10"/>
      <c r="E3" s="10"/>
      <c r="F3" s="10"/>
      <c r="G3" s="10"/>
      <c r="H3" s="10"/>
    </row>
    <row r="4" spans="1:12" x14ac:dyDescent="0.3">
      <c r="B4" s="8" t="s">
        <v>149</v>
      </c>
      <c r="C4" s="9" t="s">
        <v>189</v>
      </c>
      <c r="D4" s="10"/>
      <c r="E4" s="10"/>
      <c r="F4" s="10"/>
      <c r="G4" s="10"/>
      <c r="H4" s="10"/>
    </row>
    <row r="5" spans="1:12" x14ac:dyDescent="0.3">
      <c r="B5" s="8" t="s">
        <v>150</v>
      </c>
      <c r="C5" s="11" t="s">
        <v>132</v>
      </c>
      <c r="D5" s="12"/>
      <c r="E5" s="12"/>
      <c r="F5" s="12"/>
      <c r="G5" s="12"/>
      <c r="H5" s="13"/>
      <c r="I5" s="14"/>
      <c r="J5" s="14"/>
    </row>
    <row r="6" spans="1:12" x14ac:dyDescent="0.3">
      <c r="B6" s="8" t="s">
        <v>151</v>
      </c>
      <c r="C6" s="11" t="s">
        <v>133</v>
      </c>
      <c r="D6" s="12"/>
      <c r="E6" s="12"/>
      <c r="F6" s="12"/>
      <c r="G6" s="12"/>
      <c r="H6" s="15"/>
    </row>
    <row r="7" spans="1:12" x14ac:dyDescent="0.3">
      <c r="B7" s="16" t="s">
        <v>27</v>
      </c>
      <c r="C7" s="17" t="s">
        <v>28</v>
      </c>
      <c r="D7" s="10"/>
      <c r="E7" s="10"/>
      <c r="F7" s="10"/>
      <c r="G7" s="10"/>
      <c r="H7" s="10"/>
    </row>
    <row r="10" spans="1:12" ht="12.75" customHeight="1" x14ac:dyDescent="0.3">
      <c r="A10" s="4" t="s">
        <v>152</v>
      </c>
    </row>
    <row r="11" spans="1:12" ht="12.75" customHeight="1" x14ac:dyDescent="0.3">
      <c r="A11" s="14"/>
      <c r="B11" s="14"/>
      <c r="C11" s="14"/>
      <c r="D11" s="14"/>
      <c r="E11" s="14"/>
      <c r="F11" s="14"/>
      <c r="G11" s="14"/>
      <c r="H11" s="14"/>
      <c r="I11" s="18"/>
      <c r="J11" s="14"/>
    </row>
    <row r="12" spans="1:12" ht="52" x14ac:dyDescent="0.3">
      <c r="B12" s="5" t="s">
        <v>20</v>
      </c>
      <c r="C12" s="5" t="s">
        <v>153</v>
      </c>
      <c r="D12" s="5" t="s">
        <v>161</v>
      </c>
      <c r="E12" s="5" t="s">
        <v>162</v>
      </c>
      <c r="F12" s="5" t="s">
        <v>163</v>
      </c>
      <c r="G12" s="5" t="s">
        <v>182</v>
      </c>
      <c r="H12" s="6" t="s">
        <v>183</v>
      </c>
      <c r="I12" s="7" t="s">
        <v>154</v>
      </c>
      <c r="J12" s="5" t="s">
        <v>155</v>
      </c>
      <c r="K12" s="5" t="s">
        <v>156</v>
      </c>
      <c r="L12" s="5" t="s">
        <v>157</v>
      </c>
    </row>
    <row r="13" spans="1:12" x14ac:dyDescent="0.3">
      <c r="A13" s="20">
        <v>1</v>
      </c>
      <c r="B13" s="21" t="s">
        <v>3</v>
      </c>
      <c r="C13" s="22">
        <f>Analysis!H6</f>
        <v>8.7130532692015432</v>
      </c>
      <c r="D13" s="118">
        <v>4.3565266346007716</v>
      </c>
      <c r="E13" s="118">
        <v>0</v>
      </c>
      <c r="F13" s="119">
        <f>E13-D13</f>
        <v>-4.3565266346007716</v>
      </c>
      <c r="G13" s="22">
        <f>C13+F13</f>
        <v>4.3565266346007716</v>
      </c>
      <c r="H13" s="22">
        <f>Analysis!P6</f>
        <v>0</v>
      </c>
      <c r="I13" s="23">
        <f>MIN(G13,H13)</f>
        <v>0</v>
      </c>
      <c r="J13" s="24">
        <v>0</v>
      </c>
      <c r="K13" s="22">
        <f>$I13*$J13</f>
        <v>0</v>
      </c>
      <c r="L13" s="22">
        <f>$I13*(1-$J13)</f>
        <v>0</v>
      </c>
    </row>
    <row r="14" spans="1:12" x14ac:dyDescent="0.3">
      <c r="A14" s="20">
        <v>2</v>
      </c>
      <c r="B14" s="21" t="s">
        <v>128</v>
      </c>
      <c r="C14" s="22">
        <f>Analysis!H7</f>
        <v>0</v>
      </c>
      <c r="D14" s="118">
        <v>0</v>
      </c>
      <c r="E14" s="118">
        <v>0</v>
      </c>
      <c r="F14" s="119">
        <f t="shared" ref="F14:F29" si="0">E14-D14</f>
        <v>0</v>
      </c>
      <c r="G14" s="22">
        <f t="shared" ref="G14" si="1">C14+F14</f>
        <v>0</v>
      </c>
      <c r="H14" s="22">
        <f>Analysis!P7</f>
        <v>0</v>
      </c>
      <c r="I14" s="23">
        <f t="shared" ref="I14" si="2">MIN(G14,H14)</f>
        <v>0</v>
      </c>
      <c r="J14" s="24">
        <v>0</v>
      </c>
      <c r="K14" s="22">
        <f t="shared" ref="K14:K29" si="3">$I14*$J14</f>
        <v>0</v>
      </c>
      <c r="L14" s="22">
        <f t="shared" ref="L14:L29" si="4">$I14*(1-$J14)</f>
        <v>0</v>
      </c>
    </row>
    <row r="15" spans="1:12" x14ac:dyDescent="0.3">
      <c r="A15" s="20">
        <v>3</v>
      </c>
      <c r="B15" s="21" t="s">
        <v>4</v>
      </c>
      <c r="C15" s="22">
        <f>Analysis!H8</f>
        <v>0</v>
      </c>
      <c r="D15" s="118">
        <v>0</v>
      </c>
      <c r="E15" s="118">
        <v>0</v>
      </c>
      <c r="F15" s="119">
        <f t="shared" si="0"/>
        <v>0</v>
      </c>
      <c r="G15" s="22">
        <f t="shared" ref="G15:G29" si="5">C15+F15</f>
        <v>0</v>
      </c>
      <c r="H15" s="22">
        <f>Analysis!P8</f>
        <v>0</v>
      </c>
      <c r="I15" s="23">
        <f t="shared" ref="I15:I30" si="6">MIN(G15,H15)</f>
        <v>0</v>
      </c>
      <c r="J15" s="24">
        <v>0</v>
      </c>
      <c r="K15" s="22">
        <f t="shared" si="3"/>
        <v>0</v>
      </c>
      <c r="L15" s="22">
        <f t="shared" si="4"/>
        <v>0</v>
      </c>
    </row>
    <row r="16" spans="1:12" x14ac:dyDescent="0.3">
      <c r="A16" s="20">
        <v>4</v>
      </c>
      <c r="B16" s="21" t="s">
        <v>5</v>
      </c>
      <c r="C16" s="22">
        <f>Analysis!H9</f>
        <v>0</v>
      </c>
      <c r="D16" s="118">
        <v>0</v>
      </c>
      <c r="E16" s="118">
        <v>0</v>
      </c>
      <c r="F16" s="119">
        <f t="shared" si="0"/>
        <v>0</v>
      </c>
      <c r="G16" s="22">
        <f t="shared" si="5"/>
        <v>0</v>
      </c>
      <c r="H16" s="22">
        <f>Analysis!P9</f>
        <v>0</v>
      </c>
      <c r="I16" s="23">
        <f t="shared" si="6"/>
        <v>0</v>
      </c>
      <c r="J16" s="24">
        <v>0</v>
      </c>
      <c r="K16" s="22">
        <f t="shared" si="3"/>
        <v>0</v>
      </c>
      <c r="L16" s="22">
        <f t="shared" si="4"/>
        <v>0</v>
      </c>
    </row>
    <row r="17" spans="1:12" x14ac:dyDescent="0.3">
      <c r="A17" s="20">
        <v>5</v>
      </c>
      <c r="B17" s="21" t="s">
        <v>6</v>
      </c>
      <c r="C17" s="22">
        <f>Analysis!H10</f>
        <v>0</v>
      </c>
      <c r="D17" s="118">
        <v>0</v>
      </c>
      <c r="E17" s="118">
        <v>0</v>
      </c>
      <c r="F17" s="119">
        <f t="shared" si="0"/>
        <v>0</v>
      </c>
      <c r="G17" s="22">
        <f t="shared" si="5"/>
        <v>0</v>
      </c>
      <c r="H17" s="22">
        <f>Analysis!P10</f>
        <v>0</v>
      </c>
      <c r="I17" s="23">
        <f t="shared" si="6"/>
        <v>0</v>
      </c>
      <c r="J17" s="24">
        <v>0</v>
      </c>
      <c r="K17" s="22">
        <f t="shared" si="3"/>
        <v>0</v>
      </c>
      <c r="L17" s="22">
        <f t="shared" si="4"/>
        <v>0</v>
      </c>
    </row>
    <row r="18" spans="1:12" x14ac:dyDescent="0.3">
      <c r="A18" s="20">
        <v>6</v>
      </c>
      <c r="B18" s="21" t="s">
        <v>127</v>
      </c>
      <c r="C18" s="22">
        <f>Analysis!H11</f>
        <v>10.1</v>
      </c>
      <c r="D18" s="118">
        <v>10.1</v>
      </c>
      <c r="E18" s="118">
        <v>0</v>
      </c>
      <c r="F18" s="119">
        <f t="shared" si="0"/>
        <v>-10.1</v>
      </c>
      <c r="G18" s="22">
        <f t="shared" ref="G18" si="7">C18+F18</f>
        <v>0</v>
      </c>
      <c r="H18" s="22">
        <f>Analysis!P11</f>
        <v>0</v>
      </c>
      <c r="I18" s="23">
        <f t="shared" ref="I18" si="8">MIN(G18,H18)</f>
        <v>0</v>
      </c>
      <c r="J18" s="24">
        <v>0</v>
      </c>
      <c r="K18" s="22">
        <f t="shared" si="3"/>
        <v>0</v>
      </c>
      <c r="L18" s="22">
        <f t="shared" si="4"/>
        <v>0</v>
      </c>
    </row>
    <row r="19" spans="1:12" x14ac:dyDescent="0.3">
      <c r="A19" s="20">
        <v>7</v>
      </c>
      <c r="B19" s="21" t="s">
        <v>8</v>
      </c>
      <c r="C19" s="22">
        <f>Analysis!H12</f>
        <v>0</v>
      </c>
      <c r="D19" s="118">
        <v>0</v>
      </c>
      <c r="E19" s="118">
        <v>0</v>
      </c>
      <c r="F19" s="119">
        <f t="shared" si="0"/>
        <v>0</v>
      </c>
      <c r="G19" s="22">
        <f t="shared" si="5"/>
        <v>0</v>
      </c>
      <c r="H19" s="22">
        <f>Analysis!P12</f>
        <v>0</v>
      </c>
      <c r="I19" s="23">
        <f t="shared" si="6"/>
        <v>0</v>
      </c>
      <c r="J19" s="24">
        <v>0</v>
      </c>
      <c r="K19" s="22">
        <f t="shared" si="3"/>
        <v>0</v>
      </c>
      <c r="L19" s="22">
        <f t="shared" si="4"/>
        <v>0</v>
      </c>
    </row>
    <row r="20" spans="1:12" x14ac:dyDescent="0.3">
      <c r="A20" s="20">
        <v>8</v>
      </c>
      <c r="B20" s="21" t="s">
        <v>9</v>
      </c>
      <c r="C20" s="22">
        <f>Analysis!H13</f>
        <v>0</v>
      </c>
      <c r="D20" s="118">
        <v>0</v>
      </c>
      <c r="E20" s="118">
        <v>0</v>
      </c>
      <c r="F20" s="119">
        <f t="shared" si="0"/>
        <v>0</v>
      </c>
      <c r="G20" s="22">
        <f t="shared" si="5"/>
        <v>0</v>
      </c>
      <c r="H20" s="22">
        <f>Analysis!P13</f>
        <v>0</v>
      </c>
      <c r="I20" s="23">
        <f t="shared" si="6"/>
        <v>0</v>
      </c>
      <c r="J20" s="24">
        <v>0</v>
      </c>
      <c r="K20" s="22">
        <f t="shared" si="3"/>
        <v>0</v>
      </c>
      <c r="L20" s="22">
        <f t="shared" si="4"/>
        <v>0</v>
      </c>
    </row>
    <row r="21" spans="1:12" x14ac:dyDescent="0.3">
      <c r="A21" s="20">
        <v>9</v>
      </c>
      <c r="B21" s="21" t="s">
        <v>10</v>
      </c>
      <c r="C21" s="22">
        <f>Analysis!H14</f>
        <v>1.3279999999999998</v>
      </c>
      <c r="D21" s="118">
        <v>1.3000000000000003</v>
      </c>
      <c r="E21" s="118">
        <v>0</v>
      </c>
      <c r="F21" s="119">
        <f t="shared" si="0"/>
        <v>-1.3000000000000003</v>
      </c>
      <c r="G21" s="22">
        <f t="shared" si="5"/>
        <v>2.7999999999999581E-2</v>
      </c>
      <c r="H21" s="22">
        <f>Analysis!P14</f>
        <v>0</v>
      </c>
      <c r="I21" s="23">
        <f t="shared" si="6"/>
        <v>0</v>
      </c>
      <c r="J21" s="24">
        <v>0</v>
      </c>
      <c r="K21" s="22">
        <f t="shared" si="3"/>
        <v>0</v>
      </c>
      <c r="L21" s="22">
        <f t="shared" si="4"/>
        <v>0</v>
      </c>
    </row>
    <row r="22" spans="1:12" x14ac:dyDescent="0.3">
      <c r="A22" s="20">
        <v>10</v>
      </c>
      <c r="B22" s="21" t="s">
        <v>11</v>
      </c>
      <c r="C22" s="22">
        <f>Analysis!H15</f>
        <v>0</v>
      </c>
      <c r="D22" s="118">
        <v>0</v>
      </c>
      <c r="E22" s="118">
        <v>0</v>
      </c>
      <c r="F22" s="119">
        <f t="shared" si="0"/>
        <v>0</v>
      </c>
      <c r="G22" s="22">
        <f t="shared" si="5"/>
        <v>0</v>
      </c>
      <c r="H22" s="22">
        <f>Analysis!P15</f>
        <v>0</v>
      </c>
      <c r="I22" s="23">
        <f t="shared" si="6"/>
        <v>0</v>
      </c>
      <c r="J22" s="24">
        <v>0</v>
      </c>
      <c r="K22" s="22">
        <f t="shared" si="3"/>
        <v>0</v>
      </c>
      <c r="L22" s="22">
        <f t="shared" si="4"/>
        <v>0</v>
      </c>
    </row>
    <row r="23" spans="1:12" x14ac:dyDescent="0.3">
      <c r="A23" s="20">
        <v>11</v>
      </c>
      <c r="B23" s="21" t="s">
        <v>12</v>
      </c>
      <c r="C23" s="22">
        <f>Analysis!H16</f>
        <v>0</v>
      </c>
      <c r="D23" s="118">
        <v>0</v>
      </c>
      <c r="E23" s="118">
        <v>0</v>
      </c>
      <c r="F23" s="119">
        <f t="shared" si="0"/>
        <v>0</v>
      </c>
      <c r="G23" s="22">
        <f t="shared" si="5"/>
        <v>0</v>
      </c>
      <c r="H23" s="22">
        <f>Analysis!P16</f>
        <v>0</v>
      </c>
      <c r="I23" s="23">
        <f t="shared" si="6"/>
        <v>0</v>
      </c>
      <c r="J23" s="24">
        <v>0</v>
      </c>
      <c r="K23" s="22">
        <f t="shared" si="3"/>
        <v>0</v>
      </c>
      <c r="L23" s="22">
        <f t="shared" si="4"/>
        <v>0</v>
      </c>
    </row>
    <row r="24" spans="1:12" x14ac:dyDescent="0.3">
      <c r="A24" s="20">
        <v>12</v>
      </c>
      <c r="B24" s="21" t="s">
        <v>13</v>
      </c>
      <c r="C24" s="22">
        <f>Analysis!H17</f>
        <v>2.5000000000000004</v>
      </c>
      <c r="D24" s="118">
        <v>0</v>
      </c>
      <c r="E24" s="118">
        <v>0</v>
      </c>
      <c r="F24" s="119">
        <f t="shared" si="0"/>
        <v>0</v>
      </c>
      <c r="G24" s="22">
        <f t="shared" si="5"/>
        <v>2.5000000000000004</v>
      </c>
      <c r="H24" s="22">
        <f>Analysis!P17</f>
        <v>0</v>
      </c>
      <c r="I24" s="23">
        <f t="shared" si="6"/>
        <v>0</v>
      </c>
      <c r="J24" s="24">
        <v>0</v>
      </c>
      <c r="K24" s="22">
        <f t="shared" si="3"/>
        <v>0</v>
      </c>
      <c r="L24" s="22">
        <f t="shared" si="4"/>
        <v>0</v>
      </c>
    </row>
    <row r="25" spans="1:12" x14ac:dyDescent="0.3">
      <c r="A25" s="20">
        <v>13</v>
      </c>
      <c r="B25" s="21" t="s">
        <v>14</v>
      </c>
      <c r="C25" s="22">
        <f>Analysis!H18</f>
        <v>0</v>
      </c>
      <c r="D25" s="118">
        <v>0</v>
      </c>
      <c r="E25" s="118">
        <v>0</v>
      </c>
      <c r="F25" s="119">
        <f t="shared" si="0"/>
        <v>0</v>
      </c>
      <c r="G25" s="22">
        <f t="shared" si="5"/>
        <v>0</v>
      </c>
      <c r="H25" s="22">
        <f>Analysis!P18</f>
        <v>0</v>
      </c>
      <c r="I25" s="23">
        <f t="shared" si="6"/>
        <v>0</v>
      </c>
      <c r="J25" s="24">
        <v>0</v>
      </c>
      <c r="K25" s="22">
        <f t="shared" si="3"/>
        <v>0</v>
      </c>
      <c r="L25" s="22">
        <f t="shared" si="4"/>
        <v>0</v>
      </c>
    </row>
    <row r="26" spans="1:12" x14ac:dyDescent="0.3">
      <c r="A26" s="20">
        <v>14</v>
      </c>
      <c r="B26" s="21" t="s">
        <v>16</v>
      </c>
      <c r="C26" s="22">
        <f>Analysis!H19</f>
        <v>0</v>
      </c>
      <c r="D26" s="118">
        <v>0</v>
      </c>
      <c r="E26" s="118">
        <v>0</v>
      </c>
      <c r="F26" s="119">
        <f t="shared" si="0"/>
        <v>0</v>
      </c>
      <c r="G26" s="22">
        <f t="shared" si="5"/>
        <v>0</v>
      </c>
      <c r="H26" s="22">
        <f>Analysis!P19</f>
        <v>0</v>
      </c>
      <c r="I26" s="23">
        <f t="shared" si="6"/>
        <v>0</v>
      </c>
      <c r="J26" s="24">
        <v>0</v>
      </c>
      <c r="K26" s="22">
        <f t="shared" si="3"/>
        <v>0</v>
      </c>
      <c r="L26" s="22">
        <f t="shared" si="4"/>
        <v>0</v>
      </c>
    </row>
    <row r="27" spans="1:12" x14ac:dyDescent="0.3">
      <c r="A27" s="20">
        <v>15</v>
      </c>
      <c r="B27" s="21" t="s">
        <v>17</v>
      </c>
      <c r="C27" s="22">
        <f>Analysis!H20</f>
        <v>0</v>
      </c>
      <c r="D27" s="118">
        <v>0</v>
      </c>
      <c r="E27" s="118">
        <v>0</v>
      </c>
      <c r="F27" s="119">
        <f t="shared" si="0"/>
        <v>0</v>
      </c>
      <c r="G27" s="22">
        <f t="shared" si="5"/>
        <v>0</v>
      </c>
      <c r="H27" s="22">
        <f>Analysis!P20</f>
        <v>0</v>
      </c>
      <c r="I27" s="23">
        <f t="shared" si="6"/>
        <v>0</v>
      </c>
      <c r="J27" s="24">
        <v>0</v>
      </c>
      <c r="K27" s="22">
        <f t="shared" si="3"/>
        <v>0</v>
      </c>
      <c r="L27" s="22">
        <f t="shared" si="4"/>
        <v>0</v>
      </c>
    </row>
    <row r="28" spans="1:12" x14ac:dyDescent="0.3">
      <c r="A28" s="20">
        <v>16</v>
      </c>
      <c r="B28" s="21" t="s">
        <v>18</v>
      </c>
      <c r="C28" s="22">
        <f>Analysis!H21</f>
        <v>0</v>
      </c>
      <c r="D28" s="118">
        <v>0</v>
      </c>
      <c r="E28" s="118">
        <v>0</v>
      </c>
      <c r="F28" s="119">
        <f t="shared" si="0"/>
        <v>0</v>
      </c>
      <c r="G28" s="22">
        <f t="shared" si="5"/>
        <v>0</v>
      </c>
      <c r="H28" s="22">
        <f>Analysis!P21</f>
        <v>0</v>
      </c>
      <c r="I28" s="23">
        <f t="shared" si="6"/>
        <v>0</v>
      </c>
      <c r="J28" s="24">
        <v>0</v>
      </c>
      <c r="K28" s="22">
        <f t="shared" si="3"/>
        <v>0</v>
      </c>
      <c r="L28" s="22">
        <f t="shared" si="4"/>
        <v>0</v>
      </c>
    </row>
    <row r="29" spans="1:12" x14ac:dyDescent="0.3">
      <c r="A29" s="20">
        <v>17</v>
      </c>
      <c r="B29" s="21" t="s">
        <v>19</v>
      </c>
      <c r="C29" s="22">
        <f>Analysis!H22</f>
        <v>0.49357234355671653</v>
      </c>
      <c r="D29" s="118">
        <v>0.49357234355671653</v>
      </c>
      <c r="E29" s="118">
        <v>0</v>
      </c>
      <c r="F29" s="119">
        <f t="shared" si="0"/>
        <v>-0.49357234355671653</v>
      </c>
      <c r="G29" s="22">
        <f t="shared" si="5"/>
        <v>0</v>
      </c>
      <c r="H29" s="22">
        <f>Analysis!P22</f>
        <v>0</v>
      </c>
      <c r="I29" s="23">
        <f t="shared" si="6"/>
        <v>0</v>
      </c>
      <c r="J29" s="24">
        <v>0</v>
      </c>
      <c r="K29" s="22">
        <f t="shared" si="3"/>
        <v>0</v>
      </c>
      <c r="L29" s="22">
        <f t="shared" si="4"/>
        <v>0</v>
      </c>
    </row>
    <row r="30" spans="1:12" x14ac:dyDescent="0.3">
      <c r="B30" s="25" t="s">
        <v>158</v>
      </c>
      <c r="C30" s="26">
        <f t="shared" ref="C30:H30" si="9">SUM(C13:C29)</f>
        <v>23.13462561275826</v>
      </c>
      <c r="D30" s="26">
        <f t="shared" si="9"/>
        <v>16.250098978157489</v>
      </c>
      <c r="E30" s="26">
        <f t="shared" si="9"/>
        <v>0</v>
      </c>
      <c r="F30" s="26">
        <f t="shared" si="9"/>
        <v>-16.250098978157489</v>
      </c>
      <c r="G30" s="26">
        <f t="shared" si="9"/>
        <v>6.8845266346007712</v>
      </c>
      <c r="H30" s="26">
        <f t="shared" si="9"/>
        <v>0</v>
      </c>
      <c r="I30" s="27">
        <f t="shared" si="6"/>
        <v>0</v>
      </c>
      <c r="J30" s="26">
        <f>SUM(J13:J29)</f>
        <v>0</v>
      </c>
      <c r="K30" s="26">
        <f>SUM(K13:K29)</f>
        <v>0</v>
      </c>
      <c r="L30" s="26">
        <f>SUM(L13:L29)</f>
        <v>0</v>
      </c>
    </row>
    <row r="31" spans="1:12" x14ac:dyDescent="0.3">
      <c r="C31" s="111"/>
      <c r="D31" s="111"/>
      <c r="E31" s="111"/>
      <c r="F31" s="111"/>
      <c r="G31" s="111"/>
      <c r="H31" s="111"/>
      <c r="I31" s="111"/>
      <c r="J31" s="111"/>
      <c r="K31" s="111"/>
      <c r="L31" s="111"/>
    </row>
  </sheetData>
  <conditionalFormatting sqref="F13:F29">
    <cfRule type="cellIs" dxfId="1" priority="1" operator="lessThan">
      <formula>0</formula>
    </cfRule>
    <cfRule type="cellIs" dxfId="0" priority="2" operator="greaterThan">
      <formula>0</formula>
    </cfRule>
  </conditionalFormatting>
  <dataValidations count="1">
    <dataValidation type="list" allowBlank="1" showInputMessage="1" showErrorMessage="1" sqref="C7:H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Cover</vt:lpstr>
      <vt:lpstr>Data</vt:lpstr>
      <vt:lpstr>Gates &amp; Shallow dive</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2019-01-24T13:09:49Z</dcterms:created>
  <dcterms:modified xsi:type="dcterms:W3CDTF">2019-01-25T15:28:47Z</dcterms:modified>
  <cp:category/>
  <cp:contentStatus/>
</cp:coreProperties>
</file>