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showInkAnnotation="0" codeName="ThisWorkbook" defaultThemeVersion="124226"/>
  <bookViews>
    <workbookView xWindow="0" yWindow="0" windowWidth="13170" windowHeight="8160" tabRatio="984"/>
  </bookViews>
  <sheets>
    <sheet name="Cover" sheetId="22" r:id="rId1"/>
    <sheet name="Data" sheetId="41" r:id="rId2"/>
    <sheet name="Gates &amp; Shallow dive" sheetId="75" r:id="rId3"/>
    <sheet name="Deep dive_ANH" sheetId="78" r:id="rId4"/>
    <sheet name="Deep dive_NES" sheetId="92" r:id="rId5"/>
    <sheet name="Deep dive_SRN" sheetId="79" r:id="rId6"/>
    <sheet name="Deep dive_SVE" sheetId="87" r:id="rId7"/>
    <sheet name="Deep dive_SWB" sheetId="86" r:id="rId8"/>
    <sheet name="Deep dive_WSX" sheetId="80" r:id="rId9"/>
    <sheet name="Deep dive_YKY" sheetId="81" r:id="rId10"/>
    <sheet name="Deep dive_BRL" sheetId="82" r:id="rId11"/>
    <sheet name="Deep dive_PRT" sheetId="83" r:id="rId12"/>
    <sheet name="Deep dive_SEW" sheetId="84" r:id="rId13"/>
    <sheet name="Deep dive_SSC" sheetId="85" r:id="rId14"/>
    <sheet name="Analysis" sheetId="94" r:id="rId15"/>
    <sheet name="Allowance" sheetId="9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'[2]#REF'!#REF!</definedName>
    <definedName name="_Key2" hidden="1">#REF!</definedName>
    <definedName name="_net1" hidden="1">{"NET",#N/A,FALSE,"401C11"}</definedName>
    <definedName name="_Order1" hidden="1">255</definedName>
    <definedName name="_Order2" hidden="1">255</definedName>
    <definedName name="_Sort" hidden="1">#REF!</definedName>
    <definedName name="a" hidden="1">{"CHARGE",#N/A,FALSE,"401C11"}</definedName>
    <definedName name="aa" hidden="1">{"CHARGE",#N/A,FALSE,"401C11"}</definedName>
    <definedName name="aaa" hidden="1">{"CHARGE",#N/A,FALSE,"401C11"}</definedName>
    <definedName name="aaaa" hidden="1">{"CHARGE",#N/A,FALSE,"401C11"}</definedName>
    <definedName name="abc" hidden="1">{"NET",#N/A,FALSE,"401C11"}</definedName>
    <definedName name="adbr" hidden="1">{"CHARGE",#N/A,FALSE,"401C11"}</definedName>
    <definedName name="amp.totex">'[6]Exp''ture &amp; materiality'!$AE$182:$AE$200</definedName>
    <definedName name="amp.totex.compnames">'[6]Exp''ture &amp; materiality'!$A$182:$A$200</definedName>
    <definedName name="AVON">#REF!</definedName>
    <definedName name="b" hidden="1">{"CHARGE",#N/A,FALSE,"401C11"}</definedName>
    <definedName name="BEDS">#REF!</definedName>
    <definedName name="BERKS">#REF!</definedName>
    <definedName name="BMGHIndex" hidden="1">"O"</definedName>
    <definedName name="BUCKS">#REF!</definedName>
    <definedName name="CAMBS">#REF!</definedName>
    <definedName name="change1" hidden="1">{"CHARGE",#N/A,FALSE,"401C11"}</definedName>
    <definedName name="charge" hidden="1">{"CHARGE",#N/A,FALSE,"401C11"}</definedName>
    <definedName name="CHESHIRE">#REF!</definedName>
    <definedName name="CHK_TOL">[7]InpActive!$F$1891</definedName>
    <definedName name="CHK_TOL_TAX">[7]InpActive!$F$1893</definedName>
    <definedName name="CLEVELAND">#REF!</definedName>
    <definedName name="CLWYD">#REF!</definedName>
    <definedName name="Codes">#REF!</definedName>
    <definedName name="CORNWALL">#REF!</definedName>
    <definedName name="CUMBRIA">#REF!</definedName>
    <definedName name="da" hidden="1">#REF!</definedName>
    <definedName name="_xlnm.Database">#REF!</definedName>
    <definedName name="DERBYSHIRE">#REF!</definedName>
    <definedName name="DEVON">#REF!</definedName>
    <definedName name="dnonames">#REF!</definedName>
    <definedName name="dog" hidden="1">{"NET",#N/A,FALSE,"401C11"}</definedName>
    <definedName name="DORSET">#REF!</definedName>
    <definedName name="DURHAM">#REF!</definedName>
    <definedName name="DYFED">#REF!</definedName>
    <definedName name="E_SUSSEX">#REF!</definedName>
    <definedName name="eff_update">#REF!</definedName>
    <definedName name="el3.bp.capex">'[6]Exp''ture &amp; materiality'!$AG$66:$AG$84</definedName>
    <definedName name="el3.compnames">'[6]Exp''ture &amp; materiality'!$A$66:$A$84</definedName>
    <definedName name="ESSEX">#REF!</definedName>
    <definedName name="EV__LASTREFTIME__" hidden="1">40339.4799074074</definedName>
    <definedName name="Expired" hidden="1">FALSE</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fe">#REF!</definedName>
    <definedName name="Foutput" hidden="1">#REF!</definedName>
    <definedName name="fsdfffd" hidden="1">#REF!</definedName>
    <definedName name="fsdfsd" hidden="1">#REF!</definedName>
    <definedName name="fsfds" hidden="1">#REF!</definedName>
    <definedName name="fsfsd" hidden="1">#REF!</definedName>
    <definedName name="General">#REF!</definedName>
    <definedName name="General1">#REF!</definedName>
    <definedName name="General2">#REF!</definedName>
    <definedName name="GEOG9703">#REF!</definedName>
    <definedName name="gfff" hidden="1">{"CHARGE",#N/A,FALSE,"401C11"}</definedName>
    <definedName name="GLOS">#REF!</definedName>
    <definedName name="gross" hidden="1">{"GROSS",#N/A,FALSE,"401C11"}</definedName>
    <definedName name="gross1" hidden="1">{"GROSS",#N/A,FALSE,"401C11"}</definedName>
    <definedName name="GTR_MAN">#REF!</definedName>
    <definedName name="GWENT">#REF!</definedName>
    <definedName name="GWYNEDD">#REF!</definedName>
    <definedName name="HANTS">#REF!</definedName>
    <definedName name="hasdfjklhklj" hidden="1">{"NET",#N/A,FALSE,"401C11"}</definedName>
    <definedName name="help" hidden="1">{"CHARGE",#N/A,FALSE,"401C11"}</definedName>
    <definedName name="HEREFORD_W">#REF!</definedName>
    <definedName name="HERTS">#REF!</definedName>
    <definedName name="hghghhj" hidden="1">{"CHARGE",#N/A,FALSE,"401C11"}</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#REF!</definedName>
    <definedName name="LANCS">#REF!</definedName>
    <definedName name="LEICS">#REF!</definedName>
    <definedName name="LINCS">#REF!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#REF!</definedName>
    <definedName name="MERSEYSIDE">#REF!</definedName>
    <definedName name="MFF_2014_15">#REF!</definedName>
    <definedName name="N_YORKS">#REF!</definedName>
    <definedName name="New" hidden="1">#REF!</definedName>
    <definedName name="NORFOLK">#REF!</definedName>
    <definedName name="NORTHANTS">#REF!</definedName>
    <definedName name="NORTHUMBERLAND">#REF!</definedName>
    <definedName name="NOTTS">#REF!</definedName>
    <definedName name="ODS_Care_Trust_List">#REF!</definedName>
    <definedName name="ODS_List">#REF!</definedName>
    <definedName name="OISIII" hidden="1">#REF!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#REF!</definedName>
    <definedName name="POWYS">#REF!</definedName>
    <definedName name="qfx" hidden="1">{"NET",#N/A,FALSE,"401C11"}</definedName>
    <definedName name="qwefqefa" hidden="1">#REF!</definedName>
    <definedName name="real" hidden="1">#REF!</definedName>
    <definedName name="rge">#REF!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#REF!</definedName>
    <definedName name="rytry" hidden="1">{"NET",#N/A,FALSE,"401C11"}</definedName>
    <definedName name="S_GLAM">#REF!</definedName>
    <definedName name="S_YORKS">#REF!</definedName>
    <definedName name="SAPBEXrevision" hidden="1">1</definedName>
    <definedName name="SAPBEXsysID" hidden="1">"BWB"</definedName>
    <definedName name="SAPBEXwbID" hidden="1">"49ZLUKBQR0WG29D9LLI3IBIIT"</definedName>
    <definedName name="SHROPS">#REF!</definedName>
    <definedName name="SOMERSET">#REF!</definedName>
    <definedName name="sort" hidden="1">#REF!</definedName>
    <definedName name="STAFFS">#REF!</definedName>
    <definedName name="SUFFOLK">#REF!</definedName>
    <definedName name="SURREY">#REF!</definedName>
    <definedName name="Table3.4" hidden="1">{"CHARGE",#N/A,FALSE,"401C11"}</definedName>
    <definedName name="Test23" hidden="1">{"NET",#N/A,FALSE,"401C11"}</definedName>
    <definedName name="time">'[8]Catch up efficiency'!$C$6:$H$6</definedName>
    <definedName name="trdhtr" hidden="1">#REF!</definedName>
    <definedName name="TRK_TOL">[7]InpActive!$F$1895</definedName>
    <definedName name="TYNE_WEAR">#REF!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ert" hidden="1">{"GROSS",#N/A,FALSE,"401C11"}</definedName>
    <definedName name="WILTS">#REF!</definedName>
    <definedName name="wombat" hidden="1">#REF!</definedName>
    <definedName name="wotsthis" hidden="1">{"P&amp;L phased",#N/A,FALSE,"P and L";"Interest phased",#N/A,FALSE,"Interest";"Cshf phased",#N/A,FALSE,"Cashflow";"BSheet phased",#N/A,FALSE,"B Sheet";"Capex phased",#N/A,FALSE,"Capex"}</definedName>
    <definedName name="wrn.CHARGE." hidden="1">{"CHARGE",#N/A,FALSE,"401C11"}</definedName>
    <definedName name="wrn.GROSS." hidden="1">{"GROSS",#N/A,FALSE,"401C11"}</definedName>
    <definedName name="wrn.NET." hidden="1">{"NET",#N/A,FALSE,"401C11"}</definedName>
    <definedName name="wrn.papersdraft" hidden="1">{"bal",#N/A,FALSE,"working papers";"income",#N/A,FALSE,"working papers"}</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hidden="1">{"P&amp;L phased",#N/A,FALSE,"P and L";"Interest phased",#N/A,FALSE,"Interest";"Cshf phased",#N/A,FALSE,"Cashflow";"BSheet phased",#N/A,FALSE,"B Sheet";"Capex phased",#N/A,FALSE,"Capex"}</definedName>
    <definedName name="wrn.wpapers." hidden="1">{"bal",#N/A,FALSE,"working papers";"income",#N/A,FALSE,"working papers"}</definedName>
    <definedName name="xxx" hidden="1">{"CHARGE",#N/A,FALSE,"401C11"}</definedName>
    <definedName name="yhnry">#REF!</definedName>
    <definedName name="yyy" hidden="1">{"GROSS",#N/A,FALSE,"401C11"}</definedName>
    <definedName name="zzz" hidden="1">{"NET",#N/A,FALSE,"401C11"}</definedName>
  </definedNames>
  <calcPr calcId="152511"/>
</workbook>
</file>

<file path=xl/calcChain.xml><?xml version="1.0" encoding="utf-8"?>
<calcChain xmlns="http://schemas.openxmlformats.org/spreadsheetml/2006/main">
  <c r="Q17" i="81" l="1"/>
  <c r="C37" i="79" l="1"/>
  <c r="Z24" i="75" l="1"/>
  <c r="AE29" i="75"/>
  <c r="Z32" i="75"/>
  <c r="K30" i="87" l="1"/>
  <c r="K29" i="87"/>
  <c r="K32" i="87" s="1"/>
  <c r="C37" i="87" s="1"/>
  <c r="G20" i="91" l="1"/>
  <c r="G28" i="91"/>
  <c r="G14" i="91"/>
  <c r="G16" i="91"/>
  <c r="G17" i="91"/>
  <c r="G19" i="91"/>
  <c r="G21" i="91"/>
  <c r="G23" i="91"/>
  <c r="G25" i="91"/>
  <c r="G27" i="91"/>
  <c r="G15" i="91"/>
  <c r="G22" i="91"/>
  <c r="G24" i="91"/>
  <c r="G26" i="91"/>
  <c r="G18" i="91"/>
  <c r="G29" i="91"/>
  <c r="G13" i="91"/>
  <c r="N35" i="79"/>
  <c r="N36" i="79" s="1"/>
  <c r="N34" i="79"/>
  <c r="N33" i="79"/>
  <c r="P29" i="79"/>
  <c r="N29" i="79"/>
  <c r="M29" i="79"/>
  <c r="C37" i="81" l="1"/>
  <c r="L21" i="81"/>
  <c r="Q19" i="81"/>
  <c r="M19" i="81"/>
  <c r="M18" i="81"/>
  <c r="M17" i="81"/>
  <c r="Q16" i="81"/>
  <c r="M16" i="81"/>
  <c r="Q15" i="81"/>
  <c r="Q21" i="81" s="1"/>
  <c r="M15" i="81"/>
  <c r="A9" i="41" l="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A66" i="41"/>
  <c r="A67" i="41"/>
  <c r="A68" i="41"/>
  <c r="A69" i="41"/>
  <c r="A70" i="41"/>
  <c r="A71" i="41"/>
  <c r="A72" i="41"/>
  <c r="A73" i="41"/>
  <c r="A74" i="41"/>
  <c r="A75" i="41"/>
  <c r="A76" i="41"/>
  <c r="A77" i="41"/>
  <c r="A78" i="41"/>
  <c r="A79" i="41"/>
  <c r="A80" i="41"/>
  <c r="A81" i="41"/>
  <c r="A82" i="41"/>
  <c r="A83" i="41"/>
  <c r="A84" i="41"/>
  <c r="A85" i="41"/>
  <c r="A86" i="41"/>
  <c r="A87" i="41"/>
  <c r="A88" i="41"/>
  <c r="A89" i="41"/>
  <c r="A90" i="41"/>
  <c r="A91" i="41"/>
  <c r="A92" i="41"/>
  <c r="A93" i="41"/>
  <c r="A94" i="41"/>
  <c r="A95" i="41"/>
  <c r="A96" i="41"/>
  <c r="A97" i="41"/>
  <c r="A98" i="41"/>
  <c r="A99" i="41"/>
  <c r="A100" i="41"/>
  <c r="A101" i="41"/>
  <c r="A102" i="41"/>
  <c r="A103" i="41"/>
  <c r="A104" i="41"/>
  <c r="A105" i="41"/>
  <c r="A106" i="41"/>
  <c r="A107" i="41"/>
  <c r="A108" i="41"/>
  <c r="A109" i="41"/>
  <c r="A110" i="41"/>
  <c r="A111" i="41"/>
  <c r="A112" i="41"/>
  <c r="A8" i="41"/>
  <c r="C9" i="80" l="1"/>
  <c r="C9" i="85"/>
  <c r="C9" i="86"/>
  <c r="C9" i="82"/>
  <c r="C9" i="92"/>
  <c r="B4" i="94" l="1"/>
  <c r="C37" i="85" l="1"/>
  <c r="G23" i="94" l="1"/>
  <c r="F23" i="94"/>
  <c r="E23" i="94"/>
  <c r="D23" i="94"/>
  <c r="G22" i="94"/>
  <c r="F22" i="94"/>
  <c r="E22" i="94"/>
  <c r="D22" i="94"/>
  <c r="G21" i="94"/>
  <c r="F21" i="94"/>
  <c r="E21" i="94"/>
  <c r="D21" i="94"/>
  <c r="G20" i="94"/>
  <c r="F20" i="94"/>
  <c r="E20" i="94"/>
  <c r="D20" i="94"/>
  <c r="G19" i="94"/>
  <c r="F19" i="94"/>
  <c r="E19" i="94"/>
  <c r="D19" i="94"/>
  <c r="G18" i="94"/>
  <c r="F18" i="94"/>
  <c r="E18" i="94"/>
  <c r="D18" i="94"/>
  <c r="G17" i="94"/>
  <c r="F17" i="94"/>
  <c r="E17" i="94"/>
  <c r="D17" i="94"/>
  <c r="G16" i="94"/>
  <c r="F16" i="94"/>
  <c r="E16" i="94"/>
  <c r="D16" i="94"/>
  <c r="G15" i="94"/>
  <c r="F15" i="94"/>
  <c r="E15" i="94"/>
  <c r="D15" i="94"/>
  <c r="G14" i="94"/>
  <c r="F14" i="94"/>
  <c r="E14" i="94"/>
  <c r="D14" i="94"/>
  <c r="G13" i="94"/>
  <c r="F13" i="94"/>
  <c r="E13" i="94"/>
  <c r="D13" i="94"/>
  <c r="G11" i="94"/>
  <c r="F11" i="94"/>
  <c r="E11" i="94"/>
  <c r="D11" i="94"/>
  <c r="G10" i="94"/>
  <c r="F10" i="94"/>
  <c r="E10" i="94"/>
  <c r="D10" i="94"/>
  <c r="G9" i="94"/>
  <c r="F9" i="94"/>
  <c r="E9" i="94"/>
  <c r="D9" i="94"/>
  <c r="G7" i="94"/>
  <c r="F7" i="94"/>
  <c r="E7" i="94"/>
  <c r="D7" i="94"/>
  <c r="C11" i="94" l="1"/>
  <c r="C23" i="75"/>
  <c r="I23" i="75" s="1"/>
  <c r="L23" i="75" s="1"/>
  <c r="C14" i="94"/>
  <c r="C26" i="75"/>
  <c r="I26" i="75" s="1"/>
  <c r="L26" i="75" s="1"/>
  <c r="C20" i="94"/>
  <c r="C33" i="75"/>
  <c r="I33" i="75" s="1"/>
  <c r="L33" i="75" s="1"/>
  <c r="C7" i="94"/>
  <c r="H7" i="94" s="1"/>
  <c r="C20" i="75"/>
  <c r="C15" i="94"/>
  <c r="C27" i="75"/>
  <c r="I27" i="75" s="1"/>
  <c r="L27" i="75" s="1"/>
  <c r="C19" i="94"/>
  <c r="H19" i="94" s="1"/>
  <c r="I19" i="94" s="1"/>
  <c r="C31" i="75"/>
  <c r="I31" i="75" s="1"/>
  <c r="L31" i="75" s="1"/>
  <c r="C21" i="94"/>
  <c r="C34" i="75"/>
  <c r="I34" i="75" s="1"/>
  <c r="L34" i="75" s="1"/>
  <c r="C18" i="94"/>
  <c r="C30" i="75"/>
  <c r="I30" i="75" s="1"/>
  <c r="L30" i="75" s="1"/>
  <c r="C16" i="94"/>
  <c r="C28" i="75"/>
  <c r="I28" i="75" s="1"/>
  <c r="L28" i="75" s="1"/>
  <c r="C22" i="94"/>
  <c r="H22" i="94" s="1"/>
  <c r="I22" i="94" s="1"/>
  <c r="C35" i="75"/>
  <c r="I35" i="75" s="1"/>
  <c r="L35" i="75" s="1"/>
  <c r="C24" i="75"/>
  <c r="C21" i="75"/>
  <c r="I21" i="75" s="1"/>
  <c r="L21" i="75" s="1"/>
  <c r="C10" i="94"/>
  <c r="H10" i="94" s="1"/>
  <c r="I10" i="94" s="1"/>
  <c r="C22" i="75"/>
  <c r="I22" i="75" s="1"/>
  <c r="L22" i="75" s="1"/>
  <c r="C13" i="94"/>
  <c r="H13" i="94" s="1"/>
  <c r="I13" i="94" s="1"/>
  <c r="C25" i="75"/>
  <c r="I25" i="75" s="1"/>
  <c r="L25" i="75" s="1"/>
  <c r="C17" i="94"/>
  <c r="H17" i="94" s="1"/>
  <c r="I17" i="94" s="1"/>
  <c r="C29" i="75"/>
  <c r="I29" i="75" s="1"/>
  <c r="L29" i="75" s="1"/>
  <c r="C32" i="75"/>
  <c r="C23" i="94"/>
  <c r="H23" i="94" s="1"/>
  <c r="I23" i="94" s="1"/>
  <c r="C36" i="75"/>
  <c r="I36" i="75" s="1"/>
  <c r="L36" i="75" s="1"/>
  <c r="C9" i="94"/>
  <c r="H9" i="94" s="1"/>
  <c r="H20" i="94"/>
  <c r="H11" i="94"/>
  <c r="H14" i="94"/>
  <c r="H18" i="94"/>
  <c r="H15" i="94"/>
  <c r="I15" i="94" s="1"/>
  <c r="H21" i="94"/>
  <c r="I21" i="94" s="1"/>
  <c r="H16" i="94"/>
  <c r="I16" i="94" s="1"/>
  <c r="D15" i="91" l="1"/>
  <c r="I9" i="94"/>
  <c r="D13" i="91"/>
  <c r="I7" i="94"/>
  <c r="I18" i="94"/>
  <c r="D20" i="91"/>
  <c r="I14" i="94"/>
  <c r="D17" i="91"/>
  <c r="I11" i="94"/>
  <c r="D26" i="91"/>
  <c r="I20" i="94"/>
  <c r="R29" i="75"/>
  <c r="W29" i="75" s="1"/>
  <c r="Z29" i="75" s="1"/>
  <c r="R36" i="75"/>
  <c r="W36" i="75" s="1"/>
  <c r="Z36" i="75" s="1"/>
  <c r="R35" i="75"/>
  <c r="W35" i="75" s="1"/>
  <c r="Z35" i="75" s="1"/>
  <c r="R30" i="75"/>
  <c r="W30" i="75" s="1"/>
  <c r="Z30" i="75" s="1"/>
  <c r="R26" i="75"/>
  <c r="W26" i="75" s="1"/>
  <c r="Z26" i="75" s="1"/>
  <c r="R25" i="75"/>
  <c r="W25" i="75" s="1"/>
  <c r="Z25" i="75" s="1"/>
  <c r="R21" i="75"/>
  <c r="W21" i="75" s="1"/>
  <c r="Z21" i="75" s="1"/>
  <c r="R28" i="75"/>
  <c r="W28" i="75" s="1"/>
  <c r="Z28" i="75" s="1"/>
  <c r="R34" i="75"/>
  <c r="W34" i="75" s="1"/>
  <c r="Z34" i="75" s="1"/>
  <c r="R27" i="75"/>
  <c r="W27" i="75" s="1"/>
  <c r="Z27" i="75" s="1"/>
  <c r="R33" i="75"/>
  <c r="W33" i="75" s="1"/>
  <c r="Z33" i="75" s="1"/>
  <c r="R23" i="75"/>
  <c r="W23" i="75" s="1"/>
  <c r="Z23" i="75" s="1"/>
  <c r="R22" i="75"/>
  <c r="W22" i="75" s="1"/>
  <c r="Z22" i="75" s="1"/>
  <c r="R31" i="75"/>
  <c r="W31" i="75" s="1"/>
  <c r="Z31" i="75" s="1"/>
  <c r="I20" i="75"/>
  <c r="L20" i="75" s="1"/>
  <c r="D24" i="91"/>
  <c r="D16" i="91"/>
  <c r="D19" i="91"/>
  <c r="D25" i="91"/>
  <c r="D23" i="91"/>
  <c r="D27" i="91"/>
  <c r="P21" i="94"/>
  <c r="I27" i="91" s="1"/>
  <c r="D28" i="91"/>
  <c r="D21" i="91"/>
  <c r="D29" i="91"/>
  <c r="D22" i="91"/>
  <c r="R20" i="75" l="1"/>
  <c r="W20" i="75" s="1"/>
  <c r="Z20" i="75" s="1"/>
  <c r="E30" i="91" l="1"/>
  <c r="C9" i="87" l="1"/>
  <c r="O9" i="94" l="1"/>
  <c r="P9" i="94" s="1"/>
  <c r="I15" i="91" s="1"/>
  <c r="O16" i="94" l="1"/>
  <c r="O12" i="94"/>
  <c r="O13" i="94"/>
  <c r="O23" i="94"/>
  <c r="C9" i="81" l="1"/>
  <c r="C37" i="82" l="1"/>
  <c r="O19" i="94" l="1"/>
  <c r="P19" i="94" s="1"/>
  <c r="I25" i="91" s="1"/>
  <c r="P16" i="94" l="1"/>
  <c r="I22" i="91" s="1"/>
  <c r="P23" i="94" l="1"/>
  <c r="I29" i="91" s="1"/>
  <c r="P13" i="94" l="1"/>
  <c r="I19" i="91" s="1"/>
  <c r="O17" i="94" l="1"/>
  <c r="P17" i="94" s="1"/>
  <c r="I23" i="91" s="1"/>
  <c r="C9" i="83" l="1"/>
  <c r="O20" i="94" l="1"/>
  <c r="P20" i="94" s="1"/>
  <c r="I26" i="91" s="1"/>
  <c r="C9" i="79" l="1"/>
  <c r="O11" i="94" l="1"/>
  <c r="D12" i="94" l="1"/>
  <c r="C8" i="94" l="1"/>
  <c r="C12" i="94"/>
  <c r="D8" i="94"/>
  <c r="D24" i="94" s="1"/>
  <c r="E12" i="94"/>
  <c r="C24" i="94" l="1"/>
  <c r="E8" i="94"/>
  <c r="E24" i="94" s="1"/>
  <c r="F12" i="94"/>
  <c r="G12" i="94"/>
  <c r="C37" i="75" l="1"/>
  <c r="I37" i="75" s="1"/>
  <c r="L37" i="75" s="1"/>
  <c r="H12" i="94"/>
  <c r="P12" i="94"/>
  <c r="I18" i="91" s="1"/>
  <c r="G8" i="94"/>
  <c r="G24" i="94" s="1"/>
  <c r="F8" i="94"/>
  <c r="F24" i="94" s="1"/>
  <c r="D18" i="91" l="1"/>
  <c r="I12" i="94"/>
  <c r="C38" i="75"/>
  <c r="I38" i="75" s="1"/>
  <c r="L38" i="75" s="1"/>
  <c r="R37" i="75"/>
  <c r="W37" i="75" s="1"/>
  <c r="Z37" i="75" s="1"/>
  <c r="H24" i="94"/>
  <c r="H8" i="94"/>
  <c r="I8" i="94" s="1"/>
  <c r="R38" i="75" l="1"/>
  <c r="W38" i="75" s="1"/>
  <c r="Z38" i="75" s="1"/>
  <c r="D14" i="91"/>
  <c r="P8" i="94"/>
  <c r="I14" i="91" s="1"/>
  <c r="N20" i="75" l="1"/>
  <c r="O20" i="75" s="1"/>
  <c r="K10" i="94"/>
  <c r="K9" i="94"/>
  <c r="K13" i="94" l="1"/>
  <c r="L13" i="94" s="1"/>
  <c r="K14" i="94"/>
  <c r="L14" i="94" s="1"/>
  <c r="K8" i="94"/>
  <c r="L8" i="94" s="1"/>
  <c r="N33" i="75"/>
  <c r="O33" i="75" s="1"/>
  <c r="K20" i="94"/>
  <c r="L20" i="94" s="1"/>
  <c r="K23" i="94"/>
  <c r="L23" i="94" s="1"/>
  <c r="K22" i="94"/>
  <c r="L22" i="94" s="1"/>
  <c r="K15" i="94"/>
  <c r="L15" i="94" s="1"/>
  <c r="K18" i="94"/>
  <c r="L18" i="94" s="1"/>
  <c r="K21" i="94"/>
  <c r="L21" i="94" s="1"/>
  <c r="K17" i="94"/>
  <c r="L17" i="94" s="1"/>
  <c r="K19" i="94"/>
  <c r="L19" i="94" s="1"/>
  <c r="K16" i="94"/>
  <c r="L16" i="94" s="1"/>
  <c r="K12" i="94"/>
  <c r="L12" i="94" s="1"/>
  <c r="K11" i="94"/>
  <c r="L11" i="94" s="1"/>
  <c r="K7" i="94"/>
  <c r="N25" i="75"/>
  <c r="O25" i="75" s="1"/>
  <c r="N26" i="75"/>
  <c r="O26" i="75" s="1"/>
  <c r="N22" i="75"/>
  <c r="O22" i="75" s="1"/>
  <c r="N36" i="75"/>
  <c r="O36" i="75" s="1"/>
  <c r="N27" i="75"/>
  <c r="O27" i="75" s="1"/>
  <c r="N32" i="75"/>
  <c r="N38" i="75"/>
  <c r="O38" i="75" s="1"/>
  <c r="N30" i="75"/>
  <c r="O30" i="75" s="1"/>
  <c r="N34" i="75"/>
  <c r="O34" i="75" s="1"/>
  <c r="N29" i="75"/>
  <c r="O29" i="75" s="1"/>
  <c r="N35" i="75"/>
  <c r="O35" i="75" s="1"/>
  <c r="N21" i="75"/>
  <c r="O21" i="75" s="1"/>
  <c r="N24" i="75"/>
  <c r="N31" i="75"/>
  <c r="O31" i="75" s="1"/>
  <c r="N28" i="75"/>
  <c r="O28" i="75" s="1"/>
  <c r="N37" i="75"/>
  <c r="O37" i="75" s="1"/>
  <c r="N23" i="75"/>
  <c r="O23" i="75" s="1"/>
  <c r="H18" i="91"/>
  <c r="H27" i="91"/>
  <c r="H16" i="91"/>
  <c r="H23" i="91"/>
  <c r="H20" i="91"/>
  <c r="H24" i="91"/>
  <c r="H29" i="91"/>
  <c r="H17" i="91"/>
  <c r="H25" i="91"/>
  <c r="H22" i="91"/>
  <c r="H26" i="91"/>
  <c r="H28" i="91"/>
  <c r="H14" i="91" l="1"/>
  <c r="H13" i="91"/>
  <c r="C8" i="79" l="1"/>
  <c r="P11" i="94" s="1"/>
  <c r="I17" i="91" s="1"/>
  <c r="N14" i="94"/>
  <c r="P14" i="94" s="1"/>
  <c r="I20" i="91" s="1"/>
  <c r="D30" i="91"/>
  <c r="C8" i="78"/>
  <c r="C8" i="80"/>
  <c r="C8" i="83"/>
  <c r="N18" i="94" l="1"/>
  <c r="P18" i="94" s="1"/>
  <c r="I24" i="91" s="1"/>
  <c r="N10" i="94"/>
  <c r="P10" i="94" s="1"/>
  <c r="I16" i="91" s="1"/>
  <c r="J14" i="91"/>
  <c r="J18" i="91"/>
  <c r="C26" i="78"/>
  <c r="C9" i="78" s="1"/>
  <c r="C8" i="82"/>
  <c r="C8" i="84"/>
  <c r="C37" i="84" s="1"/>
  <c r="C9" i="84" s="1"/>
  <c r="C8" i="87"/>
  <c r="C8" i="85"/>
  <c r="C8" i="81"/>
  <c r="O22" i="94" l="1"/>
  <c r="P22" i="94" s="1"/>
  <c r="I28" i="91" s="1"/>
  <c r="O7" i="94"/>
  <c r="P7" i="94" s="1"/>
  <c r="M14" i="91"/>
  <c r="L14" i="91"/>
  <c r="M18" i="91"/>
  <c r="L18" i="91"/>
  <c r="I13" i="91" l="1"/>
  <c r="L10" i="94"/>
  <c r="L9" i="94" l="1"/>
  <c r="K24" i="94" l="1"/>
  <c r="L24" i="94" s="1"/>
  <c r="L7" i="94"/>
  <c r="J24" i="91" l="1"/>
  <c r="J26" i="91"/>
  <c r="J17" i="91"/>
  <c r="J23" i="91"/>
  <c r="M24" i="91" l="1"/>
  <c r="L24" i="91"/>
  <c r="L23" i="91"/>
  <c r="M23" i="91"/>
  <c r="L17" i="91"/>
  <c r="M17" i="91"/>
  <c r="M26" i="91"/>
  <c r="L26" i="91"/>
  <c r="J20" i="91"/>
  <c r="J29" i="91"/>
  <c r="J16" i="91"/>
  <c r="J22" i="91"/>
  <c r="J27" i="91"/>
  <c r="J25" i="91"/>
  <c r="J28" i="91"/>
  <c r="M28" i="91" l="1"/>
  <c r="L28" i="91"/>
  <c r="M16" i="91"/>
  <c r="L16" i="91"/>
  <c r="L27" i="91"/>
  <c r="M27" i="91"/>
  <c r="M20" i="91"/>
  <c r="L20" i="91"/>
  <c r="M22" i="91"/>
  <c r="L22" i="91"/>
  <c r="L25" i="91"/>
  <c r="M25" i="91"/>
  <c r="L29" i="91"/>
  <c r="M29" i="91"/>
  <c r="J13" i="91" l="1"/>
  <c r="M13" i="91" l="1"/>
  <c r="L13" i="91"/>
  <c r="H19" i="91" l="1"/>
  <c r="J19" i="91" l="1"/>
  <c r="L19" i="91" l="1"/>
  <c r="M19" i="91"/>
  <c r="C8" i="86" l="1"/>
  <c r="N15" i="94" l="1"/>
  <c r="P15" i="94" s="1"/>
  <c r="I21" i="91" l="1"/>
  <c r="I30" i="91" s="1"/>
  <c r="P24" i="94"/>
  <c r="H21" i="91"/>
  <c r="J21" i="91" l="1"/>
  <c r="M21" i="91" l="1"/>
  <c r="L21" i="91"/>
  <c r="H15" i="91" l="1"/>
  <c r="G30" i="91"/>
  <c r="J15" i="91" l="1"/>
  <c r="J30" i="91" s="1"/>
  <c r="H30" i="91"/>
  <c r="F30" i="91"/>
  <c r="C39" i="75" s="1"/>
  <c r="M15" i="91" l="1"/>
  <c r="M30" i="91" s="1"/>
  <c r="L15" i="91"/>
  <c r="L30" i="91" s="1"/>
  <c r="C8" i="92" l="1"/>
</calcChain>
</file>

<file path=xl/sharedStrings.xml><?xml version="1.0" encoding="utf-8"?>
<sst xmlns="http://schemas.openxmlformats.org/spreadsheetml/2006/main" count="1014" uniqueCount="418">
  <si>
    <t>ANH</t>
  </si>
  <si>
    <t>NES</t>
  </si>
  <si>
    <t>NWT</t>
  </si>
  <si>
    <t>SRN</t>
  </si>
  <si>
    <t>SVT</t>
  </si>
  <si>
    <t>SWT</t>
  </si>
  <si>
    <t>SWB</t>
  </si>
  <si>
    <t>TMS</t>
  </si>
  <si>
    <t>WSH</t>
  </si>
  <si>
    <t>WSX</t>
  </si>
  <si>
    <t>YKY</t>
  </si>
  <si>
    <t>AFW</t>
  </si>
  <si>
    <t>BRL</t>
  </si>
  <si>
    <t>DVW</t>
  </si>
  <si>
    <t>PRT</t>
  </si>
  <si>
    <t>SES</t>
  </si>
  <si>
    <t>SEW</t>
  </si>
  <si>
    <t>SSC</t>
  </si>
  <si>
    <t>Company</t>
  </si>
  <si>
    <t>Yes</t>
  </si>
  <si>
    <t>No</t>
  </si>
  <si>
    <t>W3010CAW</t>
  </si>
  <si>
    <t>Assessor's name</t>
  </si>
  <si>
    <t>Date completed</t>
  </si>
  <si>
    <t>Date of plenary meeting</t>
  </si>
  <si>
    <t>Peer review (initials, date and QA log ref.)</t>
  </si>
  <si>
    <t>Control</t>
  </si>
  <si>
    <t>Assessment</t>
  </si>
  <si>
    <t>Assessment gates</t>
  </si>
  <si>
    <t>References</t>
  </si>
  <si>
    <t>Need for investment</t>
  </si>
  <si>
    <t>N/A</t>
  </si>
  <si>
    <t>Need for adjustment</t>
  </si>
  <si>
    <t>Management control</t>
  </si>
  <si>
    <t>Best option for customers</t>
  </si>
  <si>
    <t>Robustness and efficiency of costs</t>
  </si>
  <si>
    <t>Customer protection</t>
  </si>
  <si>
    <t>Affordability</t>
  </si>
  <si>
    <t>Board assurance</t>
  </si>
  <si>
    <t>Wholesale water</t>
  </si>
  <si>
    <t>Wholesale level</t>
  </si>
  <si>
    <t>Enhancement line BoN code</t>
  </si>
  <si>
    <t>Enhancement line description</t>
  </si>
  <si>
    <t>Pass</t>
  </si>
  <si>
    <t>Ofwat view of allowance for AMP7 (£m)</t>
  </si>
  <si>
    <t>Gates</t>
  </si>
  <si>
    <t>Gate 1. Misallocation</t>
  </si>
  <si>
    <t>Gate 2. Need for investment</t>
  </si>
  <si>
    <t>Gate 3. Materiality</t>
  </si>
  <si>
    <t>Gate 4. Unit cost benchmarking</t>
  </si>
  <si>
    <t>Outlier unit costs?</t>
  </si>
  <si>
    <t>Summary of Gates 1 to 4</t>
  </si>
  <si>
    <t>Decision of Gates 1 to 4</t>
  </si>
  <si>
    <t>Shallow dive</t>
  </si>
  <si>
    <t>The assessor and QA</t>
  </si>
  <si>
    <t>Evidence and references</t>
  </si>
  <si>
    <t>Carry the assessment through Gate 4?</t>
  </si>
  <si>
    <t>Totex efficiency challenge (%)</t>
  </si>
  <si>
    <t>Capex requested by the company AMP7 (£m)</t>
  </si>
  <si>
    <t>Capex to carry through Gate 2 AMP7 (£m)</t>
  </si>
  <si>
    <t>Capex to carry through Gate 3 AMP7 (£m)</t>
  </si>
  <si>
    <t>Materiality of capex carried through Gate 3 AMP7 (%)</t>
  </si>
  <si>
    <t>Capex to carry through Gate 4 and beyond AMP7 (£m)</t>
  </si>
  <si>
    <t>Capex to carry through shallow/deep dive AMP7 (£m)</t>
  </si>
  <si>
    <t>Ofwat shallow dive capex allowance AMP7 (£m)</t>
  </si>
  <si>
    <t>The unit</t>
  </si>
  <si>
    <t>Unit of pound figures:</t>
  </si>
  <si>
    <t>£m, 207-18 prices</t>
  </si>
  <si>
    <t>BWH</t>
  </si>
  <si>
    <t>SVE</t>
  </si>
  <si>
    <t>HDD</t>
  </si>
  <si>
    <t>Company's totex for AMP7 (£m)</t>
  </si>
  <si>
    <t>Fail</t>
  </si>
  <si>
    <t>Partial pass</t>
  </si>
  <si>
    <t>Capex carried through deep dive AMP7  (£m)</t>
  </si>
  <si>
    <t>realW3026TECAW</t>
  </si>
  <si>
    <t>realW3010CAW</t>
  </si>
  <si>
    <t>Cover sheet</t>
  </si>
  <si>
    <t>The enhancement line</t>
  </si>
  <si>
    <t>Is the amount material?</t>
  </si>
  <si>
    <t>BoN code of line to re-allocate capex to</t>
  </si>
  <si>
    <t>Capex excluded because is requested by the company via CACs AMP7 (£m)</t>
  </si>
  <si>
    <t>Capex excluded because is covered by 
ODIs AMP7 (£m)</t>
  </si>
  <si>
    <t>Capex excluded because NOT supported by need (regulatory body, customers, etc.)
 AMP7 (£m)</t>
  </si>
  <si>
    <t>Description of line to re-allocate capex to</t>
  </si>
  <si>
    <t>Capex to re-allocate to other line AMP7 (£m)</t>
  </si>
  <si>
    <t>N.A. No costs to this line</t>
  </si>
  <si>
    <t>Shallow dive (whole or part)</t>
  </si>
  <si>
    <t>[Table Commentary P77] Letters of support from DWI identified</t>
  </si>
  <si>
    <t>Deep dive (whole or part)</t>
  </si>
  <si>
    <t>[TA.11.WN02 p3] DWI have  confirmed that they will issue Notices to ensure SRN reduce Nitrate. Customer support indicated.</t>
  </si>
  <si>
    <t>?</t>
  </si>
  <si>
    <t>BP P119, BP App A3 P45</t>
  </si>
  <si>
    <t>App29 P49  BP P137
App29 P65</t>
  </si>
  <si>
    <t>BP P151
App29 P 64</t>
  </si>
  <si>
    <t>[BP table Commentary P264] identifies that spend is supported by the DWI - Section 28 notices</t>
  </si>
  <si>
    <t>With £22.2m removed as covered in CACs line remains material</t>
  </si>
  <si>
    <t>DWI Support Letters
BP P50</t>
  </si>
  <si>
    <t>Table commentary P80</t>
  </si>
  <si>
    <t xml:space="preserve">Schemes covered by DWI regulation notices </t>
  </si>
  <si>
    <t>Table commentary P78</t>
  </si>
  <si>
    <t>DWI Letters of Support
TA11.WN02 App. 2</t>
  </si>
  <si>
    <t>TA11.WN02 P4 - page refs in assessment</t>
  </si>
  <si>
    <t xml:space="preserve">Source </t>
  </si>
  <si>
    <t xml:space="preserve">Area </t>
  </si>
  <si>
    <t xml:space="preserve">Solution </t>
  </si>
  <si>
    <t xml:space="preserve">(Ml/d) </t>
  </si>
  <si>
    <t xml:space="preserve">Scheme totex </t>
  </si>
  <si>
    <t xml:space="preserve">(£m) </t>
  </si>
  <si>
    <t xml:space="preserve">Timsbury </t>
  </si>
  <si>
    <t xml:space="preserve">Hampshire South </t>
  </si>
  <si>
    <t xml:space="preserve">Investigation into use of remote sources for raw blending </t>
  </si>
  <si>
    <t xml:space="preserve">Easton </t>
  </si>
  <si>
    <t xml:space="preserve">Continue monitoring – no investment required </t>
  </si>
  <si>
    <t xml:space="preserve">N/A </t>
  </si>
  <si>
    <t xml:space="preserve">Twyford </t>
  </si>
  <si>
    <t xml:space="preserve">Treated water blending </t>
  </si>
  <si>
    <t xml:space="preserve">Patching </t>
  </si>
  <si>
    <t xml:space="preserve">Worthing </t>
  </si>
  <si>
    <t xml:space="preserve">Raw water blending </t>
  </si>
  <si>
    <t xml:space="preserve">Madehurst </t>
  </si>
  <si>
    <t xml:space="preserve">Continue monitoring and turn off source during periods of high nitrate – no investment required </t>
  </si>
  <si>
    <t xml:space="preserve">Beacon Lane </t>
  </si>
  <si>
    <t xml:space="preserve">Thanet Mid </t>
  </si>
  <si>
    <t xml:space="preserve">Raw water blending then treatment at Flemings site </t>
  </si>
  <si>
    <t xml:space="preserve">Flemings </t>
  </si>
  <si>
    <t xml:space="preserve">Wingham </t>
  </si>
  <si>
    <t xml:space="preserve">Treatment </t>
  </si>
  <si>
    <t xml:space="preserve">Sparrow Castle </t>
  </si>
  <si>
    <t xml:space="preserve">Thanet North </t>
  </si>
  <si>
    <t xml:space="preserve">Raw water blending then treatment at new works – Thanet North </t>
  </si>
  <si>
    <t xml:space="preserve">Minster B </t>
  </si>
  <si>
    <t xml:space="preserve">Deal Low </t>
  </si>
  <si>
    <t xml:space="preserve">Thanet South </t>
  </si>
  <si>
    <t xml:space="preserve">Raw water blending then treatment at Sutton </t>
  </si>
  <si>
    <t xml:space="preserve">Sutton </t>
  </si>
  <si>
    <t xml:space="preserve">London Rd Strood </t>
  </si>
  <si>
    <t xml:space="preserve">Medway </t>
  </si>
  <si>
    <t xml:space="preserve">Maintain existing treated water blending arrangements – no investment required </t>
  </si>
  <si>
    <t xml:space="preserve">Brighton East </t>
  </si>
  <si>
    <t xml:space="preserve">Newmarket B </t>
  </si>
  <si>
    <t xml:space="preserve">Newmarket C/D </t>
  </si>
  <si>
    <t xml:space="preserve">Totals </t>
  </si>
  <si>
    <t xml:space="preserve"> Apply Efficiency Challenge</t>
  </si>
  <si>
    <t>Allowable costs [from submission]</t>
  </si>
  <si>
    <t>Schemes by size and Totex -  Source TA.11.WN02 Appendix 1</t>
  </si>
  <si>
    <t>Overall % Capex of totex</t>
  </si>
  <si>
    <t>Capex charged to Enhancement Line</t>
  </si>
  <si>
    <t>Capex from Options Summary Appendix 3</t>
  </si>
  <si>
    <t>TA11.WN02 App1 and Table3
TA14.4</t>
  </si>
  <si>
    <t>DWI Letters of support.
App14a</t>
  </si>
  <si>
    <t>Embsay</t>
  </si>
  <si>
    <t>Oldfield</t>
  </si>
  <si>
    <t>Capex</t>
  </si>
  <si>
    <t>In addition, the scheme also incorporates significant base-maintenance investment to improve the overall resilience of the site, and aid recovery from failure.</t>
  </si>
  <si>
    <t>DOC I-Ex / 3 stage rebuild / enhanced Run to Waste</t>
  </si>
  <si>
    <t>Sladen Valley</t>
  </si>
  <si>
    <t>DOC I-Ex</t>
  </si>
  <si>
    <t xml:space="preserve">Fixby </t>
  </si>
  <si>
    <t xml:space="preserve">Chellow Heights </t>
  </si>
  <si>
    <t>24 [typically 18]</t>
  </si>
  <si>
    <t>Mn Contactors and new contact tank run to waste</t>
  </si>
  <si>
    <t xml:space="preserve">Works </t>
  </si>
  <si>
    <t>Description of work</t>
  </si>
  <si>
    <t>Output  [Ml/d]</t>
  </si>
  <si>
    <t>Total</t>
  </si>
  <si>
    <t>DG026_SAF Capital Programme_4.doc - Capital Programme Summary of Audit</t>
  </si>
  <si>
    <t>Customers are protected by DWI notice and regulations</t>
  </si>
  <si>
    <t xml:space="preserve">[Appendix 14a P10 Table1] Identifies spend at 6 WTWs on RW and TOC enhancement lines. e.g. Spend at Tophill delivers to both RW and TOC. Retain original line allocations 
No Related CAC Submitted. 
The Financial ODI for drinking water compliance failures is penalty only. </t>
  </si>
  <si>
    <t xml:space="preserve">Contamination of raw waters is largely outside of management control. </t>
  </si>
  <si>
    <t>No conflicting CACs identified. PC for DWI CRI compliance has a target of 0 and is reputational only</t>
  </si>
  <si>
    <t>Beckbury WTW</t>
  </si>
  <si>
    <t>UV</t>
  </si>
  <si>
    <t>Pathogens</t>
  </si>
  <si>
    <t>UV treatment and catchment management. - Pathogens</t>
  </si>
  <si>
    <t>DWI Letter of Support</t>
  </si>
  <si>
    <t>Bratch WTW</t>
  </si>
  <si>
    <t>Brockhill WTW</t>
  </si>
  <si>
    <t>Budby WTW</t>
  </si>
  <si>
    <t>Chaddesley Corbett</t>
  </si>
  <si>
    <t>Blend</t>
  </si>
  <si>
    <t>Se</t>
  </si>
  <si>
    <t>Clipstone WTW</t>
  </si>
  <si>
    <t>Coopers Green WTW</t>
  </si>
  <si>
    <t>Treat</t>
  </si>
  <si>
    <t>Installation of enhanced treatment facilities at Peckforton source to treat water from Peckforton, Tower Wood and Tattenhall borehole - Arsenic removal</t>
  </si>
  <si>
    <t>Grindleforge WTW</t>
  </si>
  <si>
    <t>Hatton WTW</t>
  </si>
  <si>
    <t>RO</t>
  </si>
  <si>
    <t>Oakley Farm WTW</t>
  </si>
  <si>
    <t>Puleston Bridge WTW</t>
  </si>
  <si>
    <t>Tack Lane WTW</t>
  </si>
  <si>
    <t>Overton Scar</t>
  </si>
  <si>
    <t>DWI Commend for Support</t>
  </si>
  <si>
    <t>Epperstone WTW</t>
  </si>
  <si>
    <t>Nitrate</t>
  </si>
  <si>
    <t>DWI letter NOT SUPPORTED</t>
  </si>
  <si>
    <t>Newent WTW</t>
  </si>
  <si>
    <t>Work Category</t>
  </si>
  <si>
    <t>Primary Removal Objective of Process</t>
  </si>
  <si>
    <t>DWI Support</t>
  </si>
  <si>
    <t>As</t>
  </si>
  <si>
    <r>
      <t xml:space="preserve">Installation of Reverse Osmosis treatment at Hatton WTW in order to ensure the compliance with the Taste and Odour standard </t>
    </r>
    <r>
      <rPr>
        <i/>
        <sz val="11"/>
        <color theme="1"/>
        <rFont val="Calibri"/>
        <family val="2"/>
        <scheme val="minor"/>
      </rPr>
      <t>further research and development would be required to establish suitability of an Ion exchange process for the removal of  the Sodium and Chloride believed to be causing taste and odour failures [App A8 P69]</t>
    </r>
  </si>
  <si>
    <t>Totex for not supported</t>
  </si>
  <si>
    <t xml:space="preserve">Raw water deterioration is largely outside management control.  </t>
  </si>
  <si>
    <t xml:space="preserve">No CACs submitted
BRL Propose financial ODI with underperformance financial penalty only for water quality compliance. [note the company has customer contact appearance ODI with financial penalty and reward for water quality - appearance but no enhancement spend on line].
</t>
  </si>
  <si>
    <t>Deterioration of raw water is largely outside of management control. However BRL are also implementing catchment management schemes to mitigate effects.</t>
  </si>
  <si>
    <t>DWI letter of support</t>
  </si>
  <si>
    <t>Common PC and ODI for Water quality compliance. Target typically set at 0 so no out performance just penalty payment.</t>
  </si>
  <si>
    <t>[Table Commentary p76] identifies spend on line is for nitrate removal. 
No conflicting CACs identified.
Schemes deliver to no other lines
PCs identify a performance commitment of full compliance with DWI [BP P175]</t>
  </si>
  <si>
    <t xml:space="preserve">[TA.11.WN02 p4] identifies spend is for nitrate reduction through blending and treatment options at several sites. 
No conflicting CACs identified.
[TA.06.2]No ODI for removal of nitrates identified but water quality compliance if a  common PC and financial ODI </t>
  </si>
  <si>
    <t>[BP P172] identifies regulatory support from EA Also supported by DWI</t>
  </si>
  <si>
    <t xml:space="preserve">[Appendix 14a P10 Table1] Identifies £74.5m spend on TOC and RW lines as submitted in the BP these lines total £77m. No evidence found to justify the remaining £2.2m spend so this is deducted pro rata 
DWI letters of support. [DWI Letters]. YKY identify that customers  prioritise clean wholesome water. [App14a P6] </t>
  </si>
  <si>
    <t>Need supported by DWI, customer support for catchment management schemes identified [BP P71]</t>
  </si>
  <si>
    <t>No CACs submitted. 
Financial ODI for CRI [DWI measure] included under performance penalty [BP P 37]. Target is UQ.</t>
  </si>
  <si>
    <t>3 schemes. 1 with DWI Support, 1 with DWI commend for support, 1 where DWI support is being sought but had not been received when BP issued [03/09/18] [BP table P153]</t>
  </si>
  <si>
    <t xml:space="preserve">No related CAC, 
financial ODI for DWI CRI compliance with underperformance penalty only </t>
  </si>
  <si>
    <t>SSC treatment works investment CAC relates to taste odour colour so no relevant CAC. DWI compliance Risk index [Common PC] includes financial underperformance only</t>
  </si>
  <si>
    <t>DWI compliance driven. DWI Letter of support for Kinver - Cookley and Commend for support for Ashwood. SSC have identified high customer WTP value for Water safe to drink[ App 03 P45]</t>
  </si>
  <si>
    <t>[App. A8 p67] identifies DWI support for GW schemes,</t>
  </si>
  <si>
    <t>Comment</t>
  </si>
  <si>
    <t xml:space="preserve">BP Table commentary PBP Securing Cost Efficiency P31
</t>
  </si>
  <si>
    <t xml:space="preserve">Spend is on a crypto scheme at Hornsey [Table commentary P54] Profile is £9.066m 20-21, £2.958m 21-22 &amp; £0.449m 22-23.
CRI  </t>
  </si>
  <si>
    <t>Not Material</t>
  </si>
  <si>
    <t>In addition, the scheme also incorporates significant base-maintenance investment to improve the overall resilience of the site, and aid recovery from failure. Site is uprated from 10 to 12 Ml/d</t>
  </si>
  <si>
    <t>Materiality</t>
  </si>
  <si>
    <t xml:space="preserve">Allowed costs </t>
  </si>
  <si>
    <t>Peer review (initials, date)</t>
  </si>
  <si>
    <t>BoN code</t>
  </si>
  <si>
    <t>Enhancement line</t>
  </si>
  <si>
    <t>Cost allowance for AMP7 (£m)</t>
  </si>
  <si>
    <t>Capex in business plan - wholesale water</t>
  </si>
  <si>
    <t>Capex allowed - wholesale water</t>
  </si>
  <si>
    <t>Proportion of water resources</t>
  </si>
  <si>
    <t>Capex allowed - water resources</t>
  </si>
  <si>
    <t>Capex allowed - network plus</t>
  </si>
  <si>
    <t>Chellow - lowest Whole Life Cost solution not selected- deduct 10%</t>
  </si>
  <si>
    <t xml:space="preserve">Fixby output would be increased this could improve resilience. </t>
  </si>
  <si>
    <t>No cost estimate included with the DWI letter Arsenic</t>
  </si>
  <si>
    <t>Blending by bringing additional water in to Mustow Green DSR from a main which is fed by a combination of the Green Street and Blackstone groundwater sources. Both Green Street and Blackstone are low (&lt;0.5 μg/l) selenium sources. Selenium concentration reduction</t>
  </si>
  <si>
    <t>blending solution Nitrate DWI final decision letter 30 May 2018 did NOT support -  insufficient justification of need for drinking water reasons estimated Totex £3.8m</t>
  </si>
  <si>
    <t>blending solution Nitrate DWI final decision letter 30 May 2018 did NOT support insufficient evidence of genuine risk - Totex £4.14m</t>
  </si>
  <si>
    <t>Total allowed</t>
  </si>
  <si>
    <t>SRN have also provided data to split cost TA.11.WN02 Table 3 P15 Data from Table 3. below</t>
  </si>
  <si>
    <t xml:space="preserve">Schemes are DWI supported. Financial ODI penalty payments will also be applied in the event that DWI CRI target of 0 is not met. </t>
  </si>
  <si>
    <t>BP P98</t>
  </si>
  <si>
    <t>£7m</t>
  </si>
  <si>
    <t>£26m</t>
  </si>
  <si>
    <t>lack of DWI support for schemes - no allowance</t>
  </si>
  <si>
    <t>Capex reallocated out to other lines</t>
  </si>
  <si>
    <t>Capex reallocated in to this line</t>
  </si>
  <si>
    <t>Net Capex reallocated in</t>
  </si>
  <si>
    <t>Network and Water Wholesale Control 
Water Resources Wholesale Revenue Control.</t>
  </si>
  <si>
    <t>Appendix 3.2 Water resilience</t>
  </si>
  <si>
    <t>DAF refurb / Additional RGF</t>
  </si>
  <si>
    <t xml:space="preserve">Contact Tank life expired - Base, YKY are targeting reductions in ex works Mn to reduce customer contacts [i.e. TOC Complaints] </t>
  </si>
  <si>
    <t>100Ml/d I-Ex / PAC refurb /chemical dosing / run to waste</t>
  </si>
  <si>
    <t>App14a Pt. B</t>
  </si>
  <si>
    <t>DWI Letters of support, Upstream thinking DWI commend for support
BP commentary</t>
  </si>
  <si>
    <t>Schedule of schemes - data from App A8 P71 and DWI letters for scheme level cost data.</t>
  </si>
  <si>
    <t>App A8 P67-69</t>
  </si>
  <si>
    <t>Ofwat Assessment</t>
  </si>
  <si>
    <t/>
  </si>
  <si>
    <t>Data from YKY App14a  &gt;&gt;&gt;&gt;&gt;&gt;&gt;&gt;&gt;&gt;&gt;&gt;&gt;&gt;&gt;&gt;&gt;&gt;&gt;&gt;&gt;&gt;&gt;&gt;&gt;&gt;&gt;&gt;&gt;&gt;&gt;&gt;&gt;&gt;&gt;&gt;&gt;&gt;&gt;&gt;&gt;&gt;&gt;&gt;&gt;&gt;&gt;&gt;&gt;&gt;&gt;&gt;&gt;&gt;&gt;&gt;&gt;&gt;&gt;&gt;&gt;&gt;&gt;&gt;&gt;&gt;&gt;&gt;&gt;&gt;&gt;&gt;&gt;&gt;&gt;&gt;</t>
  </si>
  <si>
    <t>Total RWD</t>
  </si>
  <si>
    <t>Ofwat Comment</t>
  </si>
  <si>
    <t>App8F 
App14a
App 14a Pt. B</t>
  </si>
  <si>
    <t>Deep dive sheet - South West Water</t>
  </si>
  <si>
    <t>Deep dive sheet - Bristol Water</t>
  </si>
  <si>
    <t>Capex Investment to address raw water deterioration (THM, nitrates, Crypto, pesticides, others)</t>
  </si>
  <si>
    <t>Summary</t>
  </si>
  <si>
    <r>
      <rPr>
        <i/>
        <sz val="10"/>
        <color theme="1"/>
        <rFont val="Calibri"/>
        <family val="2"/>
        <scheme val="minor"/>
      </rPr>
      <t>and measures to address raw water deterioration at sites where we have identified an emerging risk through the Drinking Water Safety Plan process</t>
    </r>
    <r>
      <rPr>
        <sz val="10"/>
        <color theme="1"/>
        <rFont val="Calibri"/>
        <family val="2"/>
        <scheme val="minor"/>
      </rPr>
      <t xml:space="preserve"> [S6021 P12]</t>
    </r>
    <r>
      <rPr>
        <i/>
        <sz val="10"/>
        <color theme="1"/>
        <rFont val="Calibri"/>
        <family val="2"/>
        <scheme val="minor"/>
      </rPr>
      <t xml:space="preserve">
</t>
    </r>
    <r>
      <rPr>
        <sz val="10"/>
        <color theme="1"/>
        <rFont val="Calibri"/>
        <family val="2"/>
        <scheme val="minor"/>
      </rPr>
      <t xml:space="preserve"> </t>
    </r>
    <r>
      <rPr>
        <i/>
        <sz val="10"/>
        <color theme="1"/>
        <rFont val="Gill Sans MT"/>
        <family val="2"/>
      </rPr>
      <t/>
    </r>
  </si>
  <si>
    <r>
      <t>Investment needed to reduce number of exceedances of drinking water standards and to comply with regulatory notices. Investment is supported by customers.</t>
    </r>
    <r>
      <rPr>
        <sz val="10"/>
        <color theme="1"/>
        <rFont val="Calibri"/>
        <family val="2"/>
        <scheme val="minor"/>
      </rPr>
      <t>[Claim Identifier CSD006-WS2-13] No DWI Letters of support found</t>
    </r>
  </si>
  <si>
    <r>
      <t xml:space="preserve">Evidence of Optioneering </t>
    </r>
    <r>
      <rPr>
        <i/>
        <sz val="10"/>
        <color theme="1"/>
        <rFont val="Calibri"/>
        <family val="2"/>
        <scheme val="minor"/>
      </rPr>
      <t xml:space="preserve">A number of options were considered and the solutions selected were the most cost effective to meet the drinking water standards </t>
    </r>
    <r>
      <rPr>
        <sz val="10"/>
        <color theme="1"/>
        <rFont val="Calibri"/>
        <family val="2"/>
        <scheme val="minor"/>
      </rPr>
      <t>[CSD006-WS2-13] 
No work at Hornsey referenced [in PCD5 N'work + price control]  
No evidence of scale and scope of work at Hornsey found. Therefore it is not possible to cross check costs</t>
    </r>
  </si>
  <si>
    <r>
      <rPr>
        <i/>
        <sz val="10"/>
        <color theme="1"/>
        <rFont val="Calibri"/>
        <family val="2"/>
        <scheme val="minor"/>
      </rPr>
      <t>"two schemes equate to an investment of £16.5 million and have been supported by the DWI."</t>
    </r>
    <r>
      <rPr>
        <sz val="10"/>
        <color theme="1"/>
        <rFont val="Calibri"/>
        <family val="2"/>
        <scheme val="minor"/>
      </rPr>
      <t xml:space="preserve">[BP P117] 
Deduction made because no reference found to remaining £0.9M spend on this line. </t>
    </r>
  </si>
  <si>
    <t>Analysis and determination of allowance</t>
  </si>
  <si>
    <t>£m 2017-18 prices</t>
  </si>
  <si>
    <t>AMP7 total</t>
  </si>
  <si>
    <t>Totex - AMP7 total</t>
  </si>
  <si>
    <t>Shallow dive allowance</t>
  </si>
  <si>
    <t>Deep dive allowance</t>
  </si>
  <si>
    <t>Final allowance</t>
  </si>
  <si>
    <t>Capex after reallocations</t>
  </si>
  <si>
    <t>Modelled allowance</t>
  </si>
  <si>
    <t>Code</t>
  </si>
  <si>
    <t>Year</t>
  </si>
  <si>
    <t>Data</t>
  </si>
  <si>
    <t>BP P187</t>
  </si>
  <si>
    <t>% of scheme level costs passed</t>
  </si>
  <si>
    <t>DWI letters of support</t>
  </si>
  <si>
    <t>Customers are protected by DWI letter of support and financial penalty</t>
  </si>
  <si>
    <t>Funtington Solutions Report and DWI notice included within doc 9.11.14 WQ018</t>
  </si>
  <si>
    <t>Outside of management control driven by increasing nitrates in raw water and water supply regulations compliance.</t>
  </si>
  <si>
    <t>RP</t>
  </si>
  <si>
    <t>Investment to address raw water deterioration (THM, nitrates, Crypto, pesticides, others) - capex</t>
  </si>
  <si>
    <t>Wholesale water totex</t>
  </si>
  <si>
    <t>Bristol Water For All' Section A1 P60
BRL.C5B.Technical Annex 15 Treatment Works Strategic Maintenance Appendix D</t>
  </si>
  <si>
    <t>BP Table WS2,
BRL.C5B.Technical Annex 15 Treatment Works Strategic Maintenance</t>
  </si>
  <si>
    <t>DWI Letter of support/section 28 notice Kinver &amp; Commend for support for Ashwood. 
BP P137
Appendix 29</t>
  </si>
  <si>
    <t>Nitrates and pesticides in ground water are  largely outside of management control.</t>
  </si>
  <si>
    <t>Cost Allowance</t>
  </si>
  <si>
    <t>Oldfield YKY advise scheme includes base mtce and investment to improve site resilience Base maintenance is not enhancement a deduction of 20% is made.</t>
  </si>
  <si>
    <t>This project appears similar in scope and scale to Oldfield but costs are over double. No clear evidence has been found to justify the increased cost.  Accept  cost from Oldfield</t>
  </si>
  <si>
    <t xml:space="preserve">RW deterioration £5.6m but scheme is described as refurbishment, this is a base cost. Also no evidence of costs of alternate option have been found  A deduction of 20% is applied for lack of evidence of optioneering. A further deduction is made because refurbishment is base maintenance. A total  50% deduction has been applied in respect of both. </t>
  </si>
  <si>
    <t xml:space="preserve">Mn is usually associated with TOC however in this case change in RW drives change in Mn removal process to ensure treated water compliance. This Scheme includes contact tank replacement which is  considered to be base maintenance - £2m [ 25% of scheme costs] the estimated cost of contact tank replacement. 
</t>
  </si>
  <si>
    <t>RWD Enhancement Spend Allowance</t>
  </si>
  <si>
    <t>DWI inspectorate Statement in App 5.3.D P4. 
DWI letters of support.
Supporting Doc. 3.3
Supporting Doc 5.3.A.2 Annex 1 and 2 Nitrate schemes</t>
  </si>
  <si>
    <t>Supporting Doc. 3.3
Supporting Doc 5.3.A.2 Annex 1 and 2 Nitrate schemes</t>
  </si>
  <si>
    <t>BP P217
Supporting Doc 5.3.A.2 Annex 1 and 2 Nitrate schemes</t>
  </si>
  <si>
    <t>DWI provisional date</t>
  </si>
  <si>
    <t>Source Yield, Dry Year Critical Period (DYCP)</t>
  </si>
  <si>
    <t xml:space="preserve">The current proposal is to re-use a previously abandoned borehole on site. However there is currently insufficient evidence to support this proposal at present. The company are therefore required to complete investigations into the suitable mitigation for Nitrate at this site. - Estimated capital costs: £1.5m (current preferred solution) 
</t>
  </si>
  <si>
    <t xml:space="preserve">Nitrate  - Provision of increased blending and monitoring facilities at Twyford treatment works to secure or facilitate compliance with the Nitrate standard - Estimated capital costs: £2.2m 
</t>
  </si>
  <si>
    <t xml:space="preserve">Nitrate - Provision of blending at Patching treatment works to secure or facilitate compliance with the Nitrate standard - Estimated capital costs: £5.6m </t>
  </si>
  <si>
    <t xml:space="preserve">Madehurst – Nitrate - Provision of raw water blending of the Clapham, Angmering and Patching sources at Patching to secure or facilitate compliance with the Nitrate standard - Estimated capital costs: £0.5m </t>
  </si>
  <si>
    <t>treat</t>
  </si>
  <si>
    <t xml:space="preserve">Nitrate  - Provision of treatment facilities at Wingham and Flemings with Beacon Lane raw water imported to Flemings and a new main to send Flemings and Beacon Lane water to Wingham to secure or facilitate compliance with the Nitrate standard - Estimated capital costs: £42.6m NPV </t>
  </si>
  <si>
    <t>blend</t>
  </si>
  <si>
    <t xml:space="preserve">Nitrate  -  Provision of treatment facilities at Minster and raw water imports/blending from Lord of the Manor and Sparrow Castle to secure or facilitate compliance with the Nitrate standard - Estimated capital costs: £20.29m  </t>
  </si>
  <si>
    <t xml:space="preserve">Nitrate  - Provision of treatment facilities at Sutton and raw water transfer from Deal to secure or facilitate compliance with the Nitrate standard - Estimated capital costs: £15.73m </t>
  </si>
  <si>
    <t xml:space="preserve">Nitrate and sufficiency  - Design the provision of treatment facilities at Patcham, return the Surrenden source to supply and install the treatment facilities once required to secure or facilitate compliance with the Nitrate standard - Estimated capital costs: £10.4 NPV Identified as zero cost - blending sufficient in SRN BP documents
</t>
  </si>
  <si>
    <t>Scheme Description from  TA.11.WN02 App. £ options summary: Convert to UGS and transfer to new Brighton East WSW to be treated with Housedean. Conclusion costs are for transfer to address RWD only</t>
  </si>
  <si>
    <t xml:space="preserve">Brighton New Works - Nitrate  - Provision of a new treatment works to replace Housedean, Newmarket B, Newmarket C, Newmarket D and Falmer treatment works, to secure or facilitate compliance with the Nitrate standard - Estimated capital costs: £115m npv  
</t>
  </si>
  <si>
    <t xml:space="preserve">Housedean Selected option is blend and transfer to new WTW </t>
  </si>
  <si>
    <t>Capex for schemes TA.!!.WN02. Table 3</t>
  </si>
  <si>
    <t>Capex charged to Base [TA11.WN02. Table 3</t>
  </si>
  <si>
    <t xml:space="preserve">Nitrate in raw waters is largely as a result of historical practices this is outside of management control. </t>
  </si>
  <si>
    <r>
      <t xml:space="preserve">SRN have consulted customers to identify a WTP for DW compliance of £1.37 [P20].
 SRN identify a number of options: Do nothing &amp; catchment management [time lag between implementation and benefit, blending [P88] are discounted because of risk of non compliance with DWI.  The selected options are mixture of blending and/or treatment. The selected treatment option is Ion exchange </t>
    </r>
    <r>
      <rPr>
        <i/>
        <sz val="10"/>
        <color theme="1"/>
        <rFont val="Calibri"/>
        <family val="2"/>
        <scheme val="minor"/>
      </rPr>
      <t>The ion exchange plants we installed during AMP6 proved to be a suitable, cost-effective process to remove nitrate. We are also considering innovative solutions such as biological removal. The costs in this technical annex related to ion exchange treatment.</t>
    </r>
    <r>
      <rPr>
        <sz val="10"/>
        <color theme="1"/>
        <rFont val="Calibri"/>
        <family val="2"/>
        <scheme val="minor"/>
      </rPr>
      <t>[TA11.WN02] Selection between treatment or blending is evidenced by concentration prediction trends [P23 -P26].</t>
    </r>
  </si>
  <si>
    <t>Summary Description of work from DWI letter of support</t>
  </si>
  <si>
    <t xml:space="preserve">SRN proposes an extensive programme of work to address raw water deterioration.  These Investments are supported by DWI letters of support and is required to achieve compliance with DW standards. 
SRN also produce evidence of forecast increasing nitrate levels at a number of sources.
SRN has also received DWI letter of support for a number of catchment management schemes. Catchment management is often used to mitigate the need for more costly options. </t>
  </si>
  <si>
    <t>Solution</t>
  </si>
  <si>
    <t>Proportion of project Capex allocated to base</t>
  </si>
  <si>
    <t xml:space="preserve">BP P117
App 11 P43 
DWI letters of support. </t>
  </si>
  <si>
    <t>DWI letters and DWI regulation 28 notice.</t>
  </si>
  <si>
    <t>Appendix 8 
DWI letters</t>
  </si>
  <si>
    <t>BP Section 20.3 P223 on
DWI letters
Appendix 8</t>
  </si>
  <si>
    <t>Scheme Cost from DWI Letters of support</t>
  </si>
  <si>
    <t>Total schemes with DWI support/commend</t>
  </si>
  <si>
    <t xml:space="preserve"> Epperstone and Newent [Costs from DWI decision letters]</t>
  </si>
  <si>
    <t>Presence of Manganese, bacteria and DOCs in raw water sources  is largely outside of management control.</t>
  </si>
  <si>
    <t>Table commentary P77- 78
DWI Letters of support</t>
  </si>
  <si>
    <t xml:space="preserve">BP 10d ANH benchmarking 
DWI Letters </t>
  </si>
  <si>
    <t xml:space="preserve">We find a  DWI letter of support for the proposed work for improving processes at Cheddar WTW. </t>
  </si>
  <si>
    <t>We find DWI letters of support for all projects allocated to this line. YKY  demonstrates increasing trends in Nitrate and herbicide levels and maps risks for these and Cryptosporidium to its RW  sources [App 14a - P22 -P25]. 
YKY provide evidence of crypto. in raw water at Tophill Low [App14a Pt. B P16] and increasing trends in raw water colour at other WTWs [App14a Pt. B]. The company demonstrates a range of catchment management projects are used to reduce spend [App 14A P29 - P31].
The need for investment is well evidenced.</t>
  </si>
  <si>
    <t>App 11 Annex B P53
App 9</t>
  </si>
  <si>
    <t>BP P114 P115
App 11
App 11 Annex B. 
App 9 Water Quality</t>
  </si>
  <si>
    <t>£33m has been reallocated from resilience line. 
CRI is a common PC. NES has set a target of 0 therefore there is under performance penalty only, NES applies a deadband to this measure.</t>
  </si>
  <si>
    <t xml:space="preserve">UUW identifies that spend is on its scamp programme [table commentaries P119]. The Capex  for catchment management activities is  £10.07m [S6007 P55]. UUW identifies schemes that are included in this programme but it is unclear which are allocated to this  enhancement line and how the allocation is made. 
</t>
  </si>
  <si>
    <t>Sum includes £9m reallocated from resilience - line 14 [Table commentary P16]. This is for the Brecon Beacons mega catchment [BBMC] project. 
Table commentary identities that spend is for Disinfection by-products R &amp; D [£0.686m] &amp; Disinfection by-products Alaw WTW improvements [£0.713m]. 
Drinking Water compliance has a target of 0 and so only has an associated  underperformance penalty.</t>
  </si>
  <si>
    <t>Spend is identified as for Pesticides removal £1.2m &amp; Nitrate Treatment £2.49m [App 6 P320]. 
Financial ODI with penalty only ODI includes deadband.</t>
  </si>
  <si>
    <t>No DWI letters of support for schemes. NES states they are subject to RWD in the catchments where works to WTWs are proposed but we find no sample data or further evidence of this.</t>
  </si>
  <si>
    <r>
      <t xml:space="preserve">UUW states: </t>
    </r>
    <r>
      <rPr>
        <i/>
        <sz val="10"/>
        <color theme="1"/>
        <rFont val="Calibri"/>
        <family val="2"/>
        <scheme val="minor"/>
      </rPr>
      <t>and measures to address raw water deterioration at sites where we have identified an emerging risk through the Drinking Water Safety Plan process</t>
    </r>
    <r>
      <rPr>
        <sz val="10"/>
        <color theme="1"/>
        <rFont val="Calibri"/>
        <family val="2"/>
        <scheme val="minor"/>
      </rPr>
      <t xml:space="preserve"> [S6021 P12].</t>
    </r>
    <r>
      <rPr>
        <i/>
        <sz val="10"/>
        <color theme="1"/>
        <rFont val="Calibri"/>
        <family val="2"/>
        <scheme val="minor"/>
      </rPr>
      <t xml:space="preserve">
</t>
    </r>
    <r>
      <rPr>
        <sz val="10"/>
        <color theme="1"/>
        <rFont val="Calibri"/>
        <family val="2"/>
        <scheme val="minor"/>
      </rPr>
      <t xml:space="preserve"> </t>
    </r>
    <r>
      <rPr>
        <i/>
        <sz val="10"/>
        <color theme="1"/>
        <rFont val="Calibri"/>
        <family val="2"/>
        <scheme val="minor"/>
      </rPr>
      <t>Customers told us that their priorities were the safety and cleanliness of their drinking water supply,</t>
    </r>
    <r>
      <rPr>
        <sz val="10"/>
        <color theme="1"/>
        <rFont val="Calibri"/>
        <family val="2"/>
        <scheme val="minor"/>
      </rPr>
      <t xml:space="preserve">[S6007 P5].
</t>
    </r>
    <r>
      <rPr>
        <i/>
        <sz val="10"/>
        <color theme="1"/>
        <rFont val="Calibri"/>
        <family val="2"/>
        <scheme val="minor"/>
      </rPr>
      <t>Our 2020-2025 Catchment Management programme is an evolution of previous SCaMP programmes, through which we will deliver projects in partnerships with other organisations in order to secure efficiency. Using
partnership delivery routes we will deliver catchment management across 600,000 hectares of catchment land, almost 3 times more than during our previous business plan period.,</t>
    </r>
    <r>
      <rPr>
        <sz val="10"/>
        <color theme="1"/>
        <rFont val="Calibri"/>
        <family val="2"/>
        <scheme val="minor"/>
      </rPr>
      <t xml:space="preserve"> [S6007 P6].</t>
    </r>
  </si>
  <si>
    <r>
      <t>We have also noted an increase in dissolved organic carbon (DOC) in our raw water. This can lead to an increase of disinfection by-products in our drinking water, which are caused by the reaction of free chlorine with organic content. ............Because of our high number of customer contacts, The DWI issued improvement notices for 32 of our 82 water quality zones during AMP6.</t>
    </r>
    <r>
      <rPr>
        <sz val="10"/>
        <color theme="1"/>
        <rFont val="Calibri"/>
        <family val="2"/>
        <scheme val="minor"/>
      </rPr>
      <t xml:space="preserve">[Water N'work BP P44-45] 
The BBMC project is justified o the basis that the area provides approx. 50% of water abstracted by WSH, Scheme is extension of AMP6  [5.8A Water Resources ]. Drivers identified as increased pesticide use and alignment with Environment Act (wales) 2016. [2.1 WR BP P16],   WSH has identified customer support for catchment mgmt. approach [2.1 WR BP P17].  The company states that the BBMC scheme has received the support of NRW, DWI and Welsh Government. [WR BP P25]. </t>
    </r>
  </si>
  <si>
    <r>
      <t xml:space="preserve">No DWI letters of support for RWD found.  We find evidence of customer support. The company states </t>
    </r>
    <r>
      <rPr>
        <i/>
        <sz val="10"/>
        <color theme="1"/>
        <rFont val="Calibri"/>
        <family val="2"/>
        <scheme val="minor"/>
      </rPr>
      <t>'Supplying High Quality Water you can trust achieved the highest score in the BP acceptability survey'</t>
    </r>
    <r>
      <rPr>
        <sz val="10"/>
        <color theme="1"/>
        <rFont val="Calibri"/>
        <family val="2"/>
        <scheme val="minor"/>
      </rPr>
      <t xml:space="preserve"> [BP App 3 P46]. 
Final BP has been tested with customers for acceptability </t>
    </r>
    <r>
      <rPr>
        <i/>
        <sz val="10"/>
        <color theme="1"/>
        <rFont val="Calibri"/>
        <family val="2"/>
        <scheme val="minor"/>
      </rPr>
      <t>The survey found just over eight in ten (82%) customers considering the plan acceptable...............There was a significant swing away from acceptability when the bill impact including inflation was presented. A clear majority of customers - just over six in ten (62%) - were positive about the bill impacts of this plan</t>
    </r>
    <r>
      <rPr>
        <sz val="10"/>
        <color theme="1"/>
        <rFont val="Calibri"/>
        <family val="2"/>
        <scheme val="minor"/>
      </rPr>
      <t>[App3 P51]</t>
    </r>
  </si>
  <si>
    <t>Material</t>
  </si>
  <si>
    <r>
      <t xml:space="preserve">UUW identifies  that:  </t>
    </r>
    <r>
      <rPr>
        <i/>
        <sz val="10"/>
        <color theme="1"/>
        <rFont val="Calibri"/>
        <family val="2"/>
        <scheme val="minor"/>
      </rPr>
      <t>Compared to 2015-2020, we will
improve our management of 300% more catchment land area, for 13% less Totex cost.</t>
    </r>
    <r>
      <rPr>
        <sz val="10"/>
        <color theme="1"/>
        <rFont val="Calibri"/>
        <family val="2"/>
        <scheme val="minor"/>
      </rPr>
      <t>[S6007 S6.2  P47] The overall Catchment management programme has a capex of £10.07m [S6007 P55] The programme of work is well described. However it is unclear how the overall programme costs has been allocated across business lines.</t>
    </r>
  </si>
  <si>
    <r>
      <t xml:space="preserve">Brecon Beacons Mega Catchment - It is not possible to unit cost BM catchment management schemes, consequent to the diversity of areas and approaches. WSH Has </t>
    </r>
    <r>
      <rPr>
        <i/>
        <sz val="10"/>
        <color theme="1"/>
        <rFont val="Calibri"/>
        <family val="2"/>
        <scheme val="minor"/>
      </rPr>
      <t>In order to improve our monitoring, and move towards a more predictive approach, we have developed Water Source, our evidence-based, collaborative approach to catchment management</t>
    </r>
    <r>
      <rPr>
        <sz val="10"/>
        <color theme="1"/>
        <rFont val="Calibri"/>
        <family val="2"/>
        <scheme val="minor"/>
      </rPr>
      <t xml:space="preserve"> [2.1 WR BP P19] This should ensure that spend is targeted. 
WSH identify that it has completed optioneering for both of the two other smaller schemes.  It selects a continuation of the AMP6 approach for both. </t>
    </r>
  </si>
  <si>
    <r>
      <t xml:space="preserve">The location and scale of the work proposed is unclear. 
Expansion of catchment mgmt. to reduce the effect of nitrate Totex £ [BP P66], provision of Nitrate Removal £7.47m capex [BP P80],  </t>
    </r>
    <r>
      <rPr>
        <i/>
        <sz val="10"/>
        <color theme="1"/>
        <rFont val="Calibri"/>
        <family val="2"/>
        <scheme val="minor"/>
      </rPr>
      <t xml:space="preserve">Our Stort Community........
We will invest in a new nitrate treatment system alongside nitrate pollution investigations and catchment management activities across the community to address the increase in
concentration of nitrates in our raw sources. </t>
    </r>
    <r>
      <rPr>
        <sz val="10"/>
        <color theme="1"/>
        <rFont val="Calibri"/>
        <family val="2"/>
        <scheme val="minor"/>
      </rPr>
      <t>[BP P92 &amp; Stort Community Map]. 
We find no evidence of  the scale and nature of works. We apply a 20% challenge to the proposed spend.</t>
    </r>
  </si>
  <si>
    <t>Investment to address raw water deterioration (THM, nitrates, Crypto, pesticides, others)</t>
  </si>
  <si>
    <t>AMP7 total plus re-allocations</t>
  </si>
  <si>
    <t>Shallow dive efficiency challenge</t>
  </si>
  <si>
    <t>Deep dive sheet - Anglian Water</t>
  </si>
  <si>
    <t>Deep dive sheet - Northumbrian Water</t>
  </si>
  <si>
    <t>Deep dive sheet - Yorkshire Water</t>
  </si>
  <si>
    <t>Deep dive sheet - Portsmouth Water</t>
  </si>
  <si>
    <t>Deep dive sheet - South East Water</t>
  </si>
  <si>
    <t>Deep dive sheet - Southern Water</t>
  </si>
  <si>
    <t>Deep dive sheet - Wessex Water</t>
  </si>
  <si>
    <t>Deep dive sheet - Severn Trent Water</t>
  </si>
  <si>
    <t>AF 28/01/19</t>
  </si>
  <si>
    <t>Deep dive sheet - South Staffs Water</t>
  </si>
  <si>
    <t xml:space="preserve">There are no DWI notices, so there is a risk that the company has no incentive to deliver the schemes it proposes. The drinking water CRI is a common PC. NES has a financial penalty; however, this is subject to a deadband [BP P187].  </t>
  </si>
  <si>
    <t xml:space="preserve">Install new UV treatment at Mosswood WTW to manage Kielder crypto risk </t>
  </si>
  <si>
    <t>We identify that the company has a high level of customer support for its plan. However there is no evidence that alternative options were tested with customers and evidence is based on small sample size.
All discretionary enhancements were presented to customers and all water schemes achieved an acceptablility of 82% or higher. This demonstrates strong support from customers, however, two things should be noted:
1) There is limited evidence on what was presented to the customers about the schemes and therefore difficult to judge whether an informed decision was made.
2) A small sample size of customers, only 50 participants. NES themselves caution on the interpretation of this data due to the small samples size. 
"It was imperative to use a qualitative setting to ensure that complex and lengthy information conveyed meaningfully to customers, however please note that due to this, relatively small sample involved in the quantitative voting results, so caution should be taken with interpretation."</t>
  </si>
  <si>
    <r>
      <rPr>
        <u/>
        <sz val="10"/>
        <color theme="1"/>
        <rFont val="Calibri"/>
        <family val="2"/>
        <scheme val="minor"/>
      </rPr>
      <t>Resilience Need</t>
    </r>
    <r>
      <rPr>
        <sz val="10"/>
        <color theme="1"/>
        <rFont val="Calibri"/>
        <family val="2"/>
        <scheme val="minor"/>
      </rPr>
      <t>: "Risk due to emerging changes in catchment quality (cryptosporidium) and also potential future restrictions on catchment water sources10) at Derwent IR. This is impacting our ability to maintain water quality regulatory compliance and deployable output from Mosswood WTW which supplies over 100,000 properties;" (Appendix 3.2, water resilience, p8)
"Batch 1: Install new treatment capability at Mosswood WTW to manage increasing cryptosporidium risk from raw water sources within Derwent IR and the Kielder transfer system. This investment removes the risks of supply restrictions to customers by allowing us to effectively manage cryptosporidium risk from all source waters at Mosswood WTW" (Appendix 3.2, water resilience, p22)
There is a need identified of deteriorating raw water quality, and a consequence to 100,000 properties identified, however, no likelihood assesment is presented. Table 8 also states that the schemes is linked to a DWI scheme (NNE_ESK03 - Springwell SR),  however, it is not clear how the schemes are linked.
It is not clear that this investment relates to a high consequence low probability occurrence and thus is not clearly resilience investment</t>
    </r>
  </si>
  <si>
    <r>
      <rPr>
        <u/>
        <sz val="10"/>
        <color theme="1"/>
        <rFont val="Calibri"/>
        <family val="2"/>
        <scheme val="minor"/>
      </rPr>
      <t xml:space="preserve">Resilience Need: </t>
    </r>
    <r>
      <rPr>
        <sz val="10"/>
        <color theme="1"/>
        <rFont val="Calibri"/>
        <family val="2"/>
        <scheme val="minor"/>
      </rPr>
      <t>"Risk due to emerging changes in catchment quality (turbidity and algae) at Abberton IR impacting our ability to maintain both water quality regulatory compliance and deployable output from Layer WTW which supplies over 300,000 properties;" [BP P109]</t>
    </r>
    <r>
      <rPr>
        <u/>
        <sz val="10"/>
        <color theme="1"/>
        <rFont val="Calibri"/>
        <family val="2"/>
        <scheme val="minor"/>
      </rPr>
      <t xml:space="preserve">
</t>
    </r>
    <r>
      <rPr>
        <sz val="10"/>
        <color theme="1"/>
        <rFont val="Calibri"/>
        <family val="2"/>
        <scheme val="minor"/>
      </rPr>
      <t>"Batch 1: Install a new front end treatment process stream at Layer WTW to address the changes to catchment water quality at Abberton reservoir. This ensures the works can maintain its full deployable output capacity all year and removes the risks of supply restrictions to customers caused by changes in raw water quality"
There are issues identified with raw water quality impacting on ability to maintain deployable output and potential impacts on 300,000 properties, however, no likelihood assessment is presented. 
It is not clear that this investment relates to a high consequence low probability occurrence and thus is not clearly resilience investment</t>
    </r>
  </si>
  <si>
    <t xml:space="preserve"> The enhancement business case states that 
"Technical options for most schemes were often limited as we needed to address a specific risk, be it lack of water transfer capacity or emerging water quality issues."
and
"Some schemes did allow for optioneering and we used a whole life cost Totex approach to determine the optimal solution for both the business and our customers"
These statements suggest that extensive optioneering was not undertaken on how the risks identified could be mitigating in alternative ways. The schemes presented may be the best options but without the evidence of what alternative options have been considered we cannot be confident that the most efficient option has been selected.</t>
  </si>
  <si>
    <t>DAF treatment at Layer WTW</t>
  </si>
  <si>
    <t xml:space="preserve">We did not find DWI letters of support for these two projects..   
NES identifies deterioration in raw water quality at both Kielder and Abberton Storage reservoirs. Requiring crypto removal at Mosswood [Kielder WRZ] and turbidity and algae treatment at Layer [source water from Abberton].  However we find no further evidence to support this as we were unable to access the data referenced in App 3.2. Further evidence is required - for example sample records to demonstrate these issues and DWI letters of support. 
We also considered the assessment from a resilience perspective - see assessment to the right in blue
Failure to invest could subject customers to risk of supply interruptions, or water quality issues.  However, NES needs to provide further evidence of its risk assessment of this to demonstrate that now is the time for it to  act. 
</t>
  </si>
  <si>
    <t xml:space="preserve">We find DWI letters of support for the following schemes; Wighton WTW, Little Saxham Reservoir, Irby Reservoir and Gayton. The driver for all schemes is nitrate levels. 
ANH provides evidence of increasing nitrate levels at one of the sites - Wighton [table commentary P77]. The company cites intense storms as a result of climate change identified as potential cause of increased runoff/nitrate. 
</t>
  </si>
  <si>
    <t xml:space="preserve">Schemes are to ensure compliance with drinking water standards. ANH states that the alternate lower cost option of blending - no longer feasible. The company has an ongoing programme of catchment management but identifies that there will be a lag in this delivering benefit to raw water quality. 
The company proposes to install ion exchange plants to reduce nitrate levels below PCV for all four schemes. The Irby and Saxham sites are blending points for upstream sources. It will treat blended water. 
</t>
  </si>
  <si>
    <t xml:space="preserve">ANH has employed Mott Macdonald to assess its cost efficiency. Mott Macdonald identifies ANH to be on average 12% below the industry average, however, this figure is subject to a +/- 15% confidence. [10d P2/P3].  
We find no scheme level costs in the BP documents for the projects to address raw water deterioration. If we take the scheme level costs from the DWI letters of support which are Wighton £3.8m, Little Saxham Reservoir £8.9m,  Irby Reservoir £27m and Gayton £4.15m. Their total value is £43.85m.  We find insufficient evidence of the scope and scale of the works to be undertaken at each site or of scheme.     
The basis on which the proportion of each scheme is allocated to RWD lacks clarity.  ANH should provide a justification to support its cost allocation.  
We apply 20% challenge to the submitted costs because of a lack of evidence of optioneering and provision of scheme level data. We also apply a further company specific cost efficiency challenge. 
</t>
  </si>
  <si>
    <t>Raw water quality is largely outside of management control.</t>
  </si>
  <si>
    <t xml:space="preserve">Yorkshire Water is  continuing to develop catchment management options - as these also manage raw water deterioration risk. 
Chellow Heights Pass - YKY has discounted lower whole life cost options because they were less likely to resolve risk. [App 14A Pt B P31-32] 
Oldfield /Sladen Valley Fail . YKY considers a number of options for these two sites - including combining the two sites. Costs of all options are not presented. [App14a. Pt B P41 43]. In discounting combining the works YKY states that Sladen Valley is a more modern WTW and would generate significant write-off costs were it to be closed.[App14a pt.  P43] but it also states Sladen Valley WTW is an ageing asset,[App14a Pt. B P44]  YKY  also identifies  that combining the works is the lowest whole life cost but creates a new resilience risk. [App14A Pt. B P52]. We find insufficient evidence to support this. The option for combining treatment at a single site proposes ion exchange but for only 50% flow [App14a Pt B P51] whereas the independent schemes propose ion exchange for 100% of flow at each site. This appears inconsistent without explaining the blending options available. 
Fixby Pass - YKY identifies lowest whole life cost option is selected but costs of alternate not provided.  
Tophill Low Pass - now allocated 50% to raw water deterioraton. YKY have discounted lower whole life cost options because they were less likely to resolve risk. [App 14A Pt B P72] 
Summary: Further evidence of costings and consideration of resilience risks should be provided for Oldfield /Sladen Valley 
</t>
  </si>
  <si>
    <t>Calculated Unit Cost /Ml/d</t>
  </si>
  <si>
    <t xml:space="preserve">YKY states “We have identified six water treatment works where significant process enhancement is required to guarantee the quality of drinking water in the face of raw water deterioration. However, alongside this enhancement Yorkshire Water PR19 Submission investment there is a significant element of enabling base maintenance required.......This has been allocated to base maintenance as per the regulatory accounting guidelines.” [App8f P18]. We find that the proposed spend on raw water deterioration and taste odour colour enhancement lines = sum of preferred option costs from App14a. We find no evidence of parts of spend being allocated to base. 
We could find no evidence of third party assurance of cost estimates.
Yorkshire Water aims to deliver 14% efficiency improvement over its costs for the 2015 to 2020 period [BP P56]. 
We provide our analysis scheme level analysis in columns J to Q of this worksheet.
Summary:   YKY provides scheme level cost data [App 14a] and flow capacities of several WTWs with schemes.. We consider that part of the cost of schemes should be allocated to base maintenance, however, we find no evidence that the company has done this. Where schemes include refurbishment or work to replace deteriorated or substandard assets or the company is not selecting the lowest whole life cost options, we apply cost challenges at scheme level. 
Allowed cost has been built up from scheme level data  * Chellow - lowest Whole Life Cost solution not selected- deduct 10% * Oldfield YKY advise scheme includes base maintenance investment to improve site resilience - Deduct 20% * Sladen Valley - scope appears similar to Oldfield &amp; includes bas maintenance investment - as no evidence found for differences in costs, accept similar cost to Oldfield * Fixby scheme includes refurb elements accept 50% of costs * Embsay includes contact tank replacement  this is regarded as base maintenance and we  allow 75% of costs. Total spend we allow before any efficiency challenge is £40.07m
</t>
  </si>
  <si>
    <t xml:space="preserve">Customers are protected by DWI notices issued with letters of support for all sites. YKY also proposes ODI penalty to protect customers from non-delivery.  </t>
  </si>
  <si>
    <t xml:space="preserve">Portsmouth Water includes three schemes in this enhancement programme. The company has been served with a regulation 28 notice by DWI for Funtington,  has a DWI letter of support for Maindell and the work at Lovedean has a DWI commend for support. </t>
  </si>
  <si>
    <t>Deterioration of raw waters is largely outside of management control. However PRT is also implementing catchment management schemes to mitigate effects.</t>
  </si>
  <si>
    <r>
      <t xml:space="preserve">Funtington - </t>
    </r>
    <r>
      <rPr>
        <sz val="10"/>
        <color theme="1"/>
        <rFont val="Calibri"/>
        <family val="2"/>
        <scheme val="minor"/>
      </rPr>
      <t>PRT states “Based on analysis of water quality data …..Funtington's current raw water classification is C”, [Funtington Solutions Report dated July 18 p4]. The lowest Capex option to treat classification C raw water is Option 0a - capex £1.245m however PRT has selected the lowest cost option for classification D water - £2.2872m capex. This comrises UV treatment and an incresasew in contact for the 8ML/d works. The raw water is currently classed as C [solutions report July 18], but PRT were required to review risks presented by source water [DWI notice Oct 17] and to monitor for extended suite of microorganisms at the final sample point. We have found no evidence that the raw water is now classification D.  We note that Atkins has produced a water quality report; however this was not found within the BP documents for the site.</t>
    </r>
    <r>
      <rPr>
        <b/>
        <sz val="10"/>
        <color theme="1"/>
        <rFont val="Calibri"/>
        <family val="2"/>
        <scheme val="minor"/>
      </rPr>
      <t xml:space="preserve">
Maindell - </t>
    </r>
    <r>
      <rPr>
        <sz val="10"/>
        <color theme="1"/>
        <rFont val="Calibri"/>
        <family val="2"/>
        <scheme val="minor"/>
      </rPr>
      <t>The output of this works is 7 Ml/d. Options are costed and UV treatment the lowest NPV option selected. We note that an abandonment option is to be considered as part of Havant Thicket.</t>
    </r>
    <r>
      <rPr>
        <b/>
        <sz val="10"/>
        <color theme="1"/>
        <rFont val="Calibri"/>
        <family val="2"/>
        <scheme val="minor"/>
      </rPr>
      <t xml:space="preserve"> 
Lovedean - </t>
    </r>
    <r>
      <rPr>
        <sz val="10"/>
        <color theme="1"/>
        <rFont val="Calibri"/>
        <family val="2"/>
        <scheme val="minor"/>
      </rPr>
      <t>The output from this works is 13.7Ml/d. PRT has discounted do nothing and selected blending at Nelson, this is the lowest net present value option from a list of costed options.</t>
    </r>
    <r>
      <rPr>
        <b/>
        <sz val="10"/>
        <color theme="1"/>
        <rFont val="Calibri"/>
        <family val="2"/>
        <scheme val="minor"/>
      </rPr>
      <t xml:space="preserve"> 
</t>
    </r>
  </si>
  <si>
    <t xml:space="preserve">Capital Programme costs have been audited by third party [Atkins]  “The costs for these options have been calculated independently by consultants and appear to be reasonable.” [Summary Audit P8]. 
Atkins CBA summary report [doc 5160304-All-CAL-021 &amp; Funtingdon Solution report] give Capex values of £2.463m for Funtingdon, £0.968m for Maindell; and £1.402m Lovedean. We note that the scheme level Capex values in BP Table commentary are higher; £2.872m, £1.186m &amp; £1.717m. These uplifts are between 17% and 23%. PRT explain that the uplifts are for contingency and management [main dell crypto position paper] and these are reasonable levels of on-costs. 
Summary: PRT provides scheme level data and identifies the capacity of each WTW where work is required. Further evidence is required to demonstrate raw water classification at Funtingdon is class D. A CAC for Funtingdon which included UV treatment to treat class D water was passed in previous submission and is accepted again for IAP.  
</t>
  </si>
  <si>
    <t xml:space="preserve">BRL states “We have proposed to the DWI that the PR19 Notice associated with Cheddar should be amended to an extension of the existing BRL 3506 Notice, which details investigations to be undertaken to determine the most appropriate solution. We accept that this could lead to an increased risk of enforcement to undertake remedial measures during AMP7..... We have taken this into account in our financial viability testing. However, we feel this risk would be outweighed by the extra confidence we would gain by ensuring any treatment related option would be the optimum solution for the risks associated with the deteriorating raw water quality. This way, customers do not pay in advance of us being confident that the right option for the long-term has been selected, without any risk to their supplies.”[Section A1 P60].  We accept this approach. 
BRL identifies  options for the schemes [C5b.TA15 App D.  Table] A number of options are identified but only one of which is discounted as unviable. Only the costs of the selected option is presented, other options are not costed. The extended trials option is selected based on DWI support. </t>
  </si>
  <si>
    <t xml:space="preserve">BBP table WS2.13 identifies cost of £4.36m for raw water deterioration all on water resources. The DWI letter identifies covering of the slow sand filters at Cheddar to limit algal growth in the filter at a cost of £4.2 -£4.7m. 
Within its business plan documents [BP Annex 15 P29 Table 8 Selected interventions] Bristol Water identifies a budget of £0.5m for Cheddar.  The other schemes proposed in Annex 15 are base maintenance  
BRL identifies  that it is applying a capex efficiency challenge of 8% to the Cheddar project [BP Annex 15 P29 Table 8 Selected interventions] and that is to be delivered by 'business transformation programme' [Annex 15 P28]. This results is an allowance of £0.46m before we apply any efficiency challenge. 
“Cost estimates were usually based on high level scopes, which contained activity schedules, and sketches provided by ourselves, and were developed using the cost model we developed with  Chandler KBS.”[Annex 15 Section 4.1.4 P19]
</t>
  </si>
  <si>
    <t xml:space="preserve">South East Water proposes two schemes to address raw water deterioration. DWI letters of support have been obtained for both.
SEW identifies that it has completed groundwater modelling to predict future levels of nitrate in the Woodgarston catchment. 
Chromium level in treated water at College Avenue is the driver for investment at this site. The PCV levels at College Avenue are below the current PCV of 50 ug/l however is one of only three sites in the UK where levels exceed three ug/l   [App 11 P43] and is above the new action level. Additionally advice from Public Health England is that exposure to chromium should be as low as reasonably practical [App 11, Annex B P51].
The company states “The Drinking Water Inspectorate has set a new action level for chromium VI concentrations in drinking water at 3μg/l. This level has regularly been exceeded at College Avenue water treatment works, despite taking measures to blend the water with other supplies”. [App11 Annex B P7]. 
</t>
  </si>
  <si>
    <t xml:space="preserve">SEW is also continuing to use catchment management, however this is not expected to deliver nitrate level reduction for 10 to 20 years [App 11 Annex B P51 &amp; 53], an option is therefore required to address the short term need. SEW has considered a range of treatment and blending options and has selected the least cost option, this also provides supply resilience benefits. Cost benefit analysis is used to justify the scheme. [App11 Annex B P53-55]. 
For College Ave. SEW discounts abandonment for supply demand balance reasons.  Currently water is blended but this still results in exceedance. [App11 Annex B P52]. SEW considers and discounts a number of treatment options to leave two options that it believes to be of similar cost. “The proposed solution is either coagulation and filtration or strong base ion exchange, according to the results of a pilot-scale study”.[App11 Annex B P7]. The company identifies the need for more detailed assessment to confirm option assessment. [App 9 P 56 P57] We consider this approach is appropriate.
</t>
  </si>
  <si>
    <t xml:space="preserve">SEW provides scheme level cost summaries for the options at Woodgarston and has selected the least cost option £3.12m [App 11 Annex B P54].  
For the College Avenue scheme SEW has identified a Capex cost of £14.45m for Option 2 Ion exchange [App 11 , section 5.44 Table 16 &amp; App9 P56] and £13.83m for reduction coagulation filtration [App 9 P56]. SEW states: “The proposed solution is either coagulation and filtration or strong base ion exchange, according to the results of a pilot-scale study”. [App 11, S 5.4.5 P44].  We recognise that the removal of chromium from raw water is an atypical process requirement and that trials are necessary to confirm the optimal treatment option. We make allowance for the lowest Capex option. 
We find no evidence of third party cost assurance.  SEW states: “As a result we have applied an ambitious but realistic overall plan cost efficiency of 4.5 per cent .....Our industry-leading Unit Cost Database (UCDB) means we can quickly and accurately cost the investment in this plan, as it already contains actual costs for many types of schemes and projects already delivered.”[BP P114 115]
We therefore apply a company cost challenge to determine the allowance. 
</t>
  </si>
  <si>
    <t xml:space="preserve">TThe company provides a schedule of selected options with plant sizes and costs [App1]. as well as Capex and Totex and split of costs between base and enhancement [Table3].  
We note that £20.371m [approximately 25%] of the scheme level costs is allocated to base. However, we find no methodology or detail of how this split is determined. 
We note there is some inconsistency between totals derived from data in TA.WN02.Table 3 and also when compared to Appendix 3.
SRN identifies that its cost estimation process has been independently reviewed by Jacobs [TA14.4 P8] . 
“for example, a cost curve for a nitrate removal plant will be based on many different equipment sets that make up the nitrate removal plant function, such as: pumps, valves, pipe lines, sampling equipment, instrumentation, nitrate removal treatment etc. The function curves were developed based on actual SWS sites, supported through the blending of historically captured cost data points.”[TA 14.4 P14]
SRN commissioned Mott Macdonald to benchmark and validate net direct costs “benchmarking work confirmed that the pre efficiency capex costs going into the plan are deemed to be at median to upper quartile levels of delivery efficiency. We have adjusted our costs downwards to target the level of efficient costs.”[TA 14.4 P18] Mott Mac Report not located. 
SRN has also benchmarked indirect cost multipliers against water industry peers and road rail etc. “told us that the pre efficiency multipliers being used to cost our PR19 capital schemes are at median to upper quartile levels of delivery efficiency. We have adjusted our costs downwards to target the level of efficient costs”.[TA 14.4 P19] We can find no examples of this benchmarking.
Summary: SRN identifies scheme level costs and capacities of WTWs where work is to be completed. SRN identifies that a proportion of work is to be charged to RWD.  SRN has produced costed options for each scheme. Scheme costs allocated to RWD appear reasonable, however, further evidence to demonstrate how the cost split has been calculated should be provided.
</t>
  </si>
  <si>
    <t xml:space="preserve">Customers are protected by DWI letters with required completion dates. SRN identifies the opportunity that it might be able to defer some spend to AMP8 if nitrate increases at a rate lower than predicted. No evidence found as to how customers would be protected in this case. </t>
  </si>
  <si>
    <t xml:space="preserve">The company’s need for investment is evidenced by DWI section 28 Notices and DWI letters of support for schemes at the following water treatment works: Restormel,  Prewley, St Cleer, Stithians, Littlehampton, Knapp Mill &amp; Aldernery. 
SWB submitted a cost adjustment claim for the work at Knapp Mill and Aldernery, and we assess the costs for this within the cost adjustment claim. 
In addition we reallocate two further programmes to this enhancement line: 
Upstream Thinking project for catchment management work, originally submitted as a freeform enhancement line. This has received DWI 'Commend for support'. 
We also add to the costs we review here part of the Management and General Investment freeform enhancement line expenditure. The value reallocated to this enhancement line is £2.01m.
This programme of work has received DWI support this justifies the need for investment. However, evidence of deterioration in raw water for example time based trends to evidence Manganese, bacterial, DOC etc. would further support the case.
</t>
  </si>
  <si>
    <t xml:space="preserve">SWB has implemented catchment mgmt. since 2004. In regard to this work SWB states “Our programme delivers right to the heart of the Government 25 Year Environment Plan with wider ecosystem benefits. The total natural capital value delivered by the Investment was found to be in excess of £40m over the period 2020-45, assuming 2015-20 investment levels are continued........ This is approximately a 1:3 return on the investment. This means customers are getting more for their money than they would from traditional end of pipe solutions”, [WR Wholesale Rev. P26].  The approach is appropriate.
SWB identifies that it considers the benefits from catchment management when scoping upgrade / replacement of treatment processes required to address raw water deterioration issues. It states:  “We will ensure these improvements use modern efficient and sustainable solutions, sized to reflect anticipated raw water quality improvements from our catchment management work, thus keeping costs to customers as low as possible.” [Nwork + Water wholesale control P80 ] 
However, we find insufficient evidence that the company has fully evaluated all options for resolving the issues of raw water deterioration. 
</t>
  </si>
  <si>
    <t xml:space="preserve">Customers are protected by DWI notices issued with letters of support for all 5 sites. The company also proposes a financial ODI. 
</t>
  </si>
  <si>
    <t xml:space="preserve">SSC proposes new treatment at three groundwater sites to address rising trends in nitrates and the presence of a pesticide called Chlorthal. [BP P137]. 
The sites identified for new treatment processes to address this RW deterioration are: Ashwood, Cookley - Kinver &amp; Somerford Slade Heath. Schemes are justified on basis of either non-compliance or risk of compliance failures in the 2020 to 2025 period  [App29 P63],  however only one has DWI Letter of support with a second being given commend for support. For us to fully support the programme we would need further evidence of deteriorating ground water quality to support SSCs view that blending options are no longer viable.
</t>
  </si>
  <si>
    <r>
      <t xml:space="preserve">Other BP proposals include catchment management to reduce need for further treatment options [BP P151].
The selected option should deliver compliant drinking water to customers. 
SSC currently uses Ion exchange at other sites and proposes  Ion exchange for these three sites. [App29 P64] We find evidence that the company considers alternative treatment options but we find no discussion of the relative costs and benefits of those options.. SSC discounts blending options but further discussion of the issues around blending would support its view.
Ion exchange is an established method of treating already used by SSC. SSC select options 'following our thorough and detailed optimisation process in which we have considered both the benefits to service that the solutions will deliver and the cost of the investment........we also considered the installation of a Granular Activated Carbon (GAC) treatment solution for chlorthal, however, our analysis has indicated that ion exchange is a superior solution for reducing chlorthal concentrations..' [App29 P 64]
</t>
    </r>
    <r>
      <rPr>
        <b/>
        <sz val="10"/>
        <color theme="1"/>
        <rFont val="Calibri"/>
        <family val="2"/>
        <scheme val="minor"/>
      </rPr>
      <t>Conclusion</t>
    </r>
    <r>
      <rPr>
        <sz val="10"/>
        <color theme="1"/>
        <rFont val="Calibri"/>
        <family val="2"/>
        <scheme val="minor"/>
      </rPr>
      <t xml:space="preserve">: To make a further allowance we require further evidence for discounting GAC and blending options.
</t>
    </r>
  </si>
  <si>
    <r>
      <t xml:space="preserve">SSC identifies a hierarchy of methods to estimate scheme Capex.  We assume costing of these schemes is  top level - by experts based on  a detailed scope of the scheme. [App29 P49] There is evidence of the scope of work priced being limited to ion exchange at 3 sites.
Capex identified as Ashwood £3.85m, Cookley-Kinver £3.85m, Somerford - Slade Heath £4.7m [App29 P62] total £12.4m.  
SSC States:”£12.4million of this is for new treatment at three groundwater sites to address rising trends in nitrates and the presence of a pesticide called Chlorthal. Costain have independently priced this new treatment though we consider we will be able to deliver these schemes more efficiently through a competitive tendering process”.[BP P137] 
'We consider that through competitive tendering, a strong procurement process and deriving economies from packaging these schemes, we can deliver these schemes significantly more efficiently. Therefore we have already applied an assumed efficiency to the Costain costing proposal. Costain’s original costings for the three sites were £13.7m and we have applied an efficiency reduction of £3.1m (23%) to these costs before including in our business plan.' [App29 P65]
</t>
    </r>
    <r>
      <rPr>
        <b/>
        <sz val="10"/>
        <color theme="1"/>
        <rFont val="Calibri"/>
        <family val="2"/>
        <scheme val="minor"/>
      </rPr>
      <t>Summary:</t>
    </r>
    <r>
      <rPr>
        <sz val="10"/>
        <color theme="1"/>
        <rFont val="Calibri"/>
        <family val="2"/>
        <scheme val="minor"/>
      </rPr>
      <t xml:space="preserve"> Work at 3 WTWs is identified however there is insufficient evidence provided to demonstrate DWI support for scheme at Slade Heath. Evidence to justify this scheme is required. Capex required for the schemes is unclear. £10.6 m after efficiency reduction [App29 P65] or £12.4m [BP] or £13.8m [Table WS2 entry]. We allow the £10.6m from SSCs App29 less the proportion that would be for Slade Heath £4.7m * (10.6/13.7). 
No information on the flows to be treated at the treatment plants is found. Identification of the scale and scope of the selected options permits a better assessment of cost.
</t>
    </r>
  </si>
  <si>
    <t xml:space="preserve">SSC proposes a financial ODI:water not safe to drink  [BP App A3 P45]. 
Customers are protected from water quality and supply failures by other (common) performance commitments.
</t>
  </si>
  <si>
    <t xml:space="preserve">The company proposes two schemes relating to raw water deterioration. 
In relation to Sturminster Marshall and Fonthill Bishop the DWI states:” The Inspectorate has formally supported all of the Company’s proposals and we will put legal instruments in place to make the proposals legally binding programmes of work........ The remaining schemes are for blending in distribution to mitigate increasing levels of nitrate in raw water to 2 groundwater sites.”[DWI inspectorate Statement App. 5.3.D ].
WSX states “Three groundwater sites (Deans Farm, Fonthill Bishop and Sturminster Marshall &amp; Shapwick) have had catchment management implemented over the last 10 years with the aim to keep nitrate levels below the DWI standard. Over the last couple of years there have been increased failures of this standard, with a rising trend and increased peaks of nitrate.....scheme has been successful in delaying capital expenditure by over 10 years.”.[supporting doc 3.3 P154] nitrate trend data is provided [supporting doc 5.3.A.2 Annex 1 and 2]
The need for investment is evidenced by DWI letters for support and limitations in the current catchment management programme.
</t>
  </si>
  <si>
    <t>Nitrates in ground water are very largely outside of management control, and we recognise that the company’s catchment management programme has delayed the need for this expenditure.</t>
  </si>
  <si>
    <t xml:space="preserve">WSX provides evidence of cost benefit analysis [S. Doc 3.3  P154 on]. The selected option does not have the best cost benefit but avoids reduced deployable output which would be the result of the lowest cost benefit option. We accept this evidence.
Optioneering has been completed. 
WSX identifies that its proposed blending option is lower cost than treatment at Fonthill [S. Doc 5.3.A02.Annex 1 P23]  
For Sturminster WSX identifies that blending is lower cost than treatment on site, source abandonment is discounted on resilience grounds [S. Doc. 5.3.A.2 Annex 2 P54]
</t>
  </si>
  <si>
    <r>
      <t xml:space="preserve">WSX outlines its approach to estimating efficient costs “We break each project down into its
constituent parts and build bottom-up estimates. ...... Every project is then reviewed technically
and financially as part of our financial governance processes before the project can proceed to contract award and delivery. Projects greater than £2m in value require approval by the board” [BP P217]. However, we can find no evidence of bottom up cost estimates or cost build up of the schemes.. 
ThereforeWSX provides insufficient evidence of costs estimating. Scheme level capex costs of £6-8m for Fonthlll Bishop [S. Doc 5.3.A02.Annex 1 P23]  and £2m for Sturminster  [S. Doc. 5.3.A.2 Annex 2 P54]. The same Capex values are presented in the DWI letters of support.
</t>
    </r>
    <r>
      <rPr>
        <b/>
        <sz val="10"/>
        <color theme="1"/>
        <rFont val="Calibri"/>
        <family val="2"/>
        <scheme val="minor"/>
      </rPr>
      <t>Summary</t>
    </r>
    <r>
      <rPr>
        <sz val="10"/>
        <color theme="1"/>
        <rFont val="Calibri"/>
        <family val="2"/>
        <scheme val="minor"/>
      </rPr>
      <t xml:space="preserve">: We make allowance using the lower cost estimate for Fonthill Bishop and the cost estimate for Shapwick/Sturminster. Further separation of costs elements [for example between pipeline and blending at Fonthill] and scale of flows to be treated would allow us to make an improved assessment.
</t>
    </r>
  </si>
  <si>
    <t>Customers are protected by DWI notices issued with letters of support for all sites. WSX also proposes a financial ODI.</t>
  </si>
  <si>
    <t xml:space="preserve">SVE identifies the limitations of catchment management as an option [App A8 ]. SVE provides evidence that options including abandonment have been considered. The UV treatment is justified: “The AMP7 programme of nine UV disinfection plants...... deliver our strategy of moving away from marginal disinfection, as has been the industry approach.”[App A8 P67]. We did not find evidence to demonstrate deterioration in compliance with DWI standards, particularly for sites without full DWI support.
SVE provides some evidence of optioneering, but a more detailed assessment e.g. comparison of costed options would support option selection. 
</t>
  </si>
  <si>
    <r>
      <t xml:space="preserve">SVE provides evidence of third party review of its costs. Both at item level and of general recurring project costs.  
SVE proposes UV treatment at many of the sites. The company states:” Our vision is to outperform our efficiency challenge and to do this through a Factory Thinking approach....... To do this we challenged standards and sought productive efficiencies through batching and planning”...... We have also significantly increased the use of factory built assemblies and sought collaborative and coordinated delivery across tier 1 and tier 2 suppliers.[SVE App A8 P70]. However, we find no further evidence to support this. 
</t>
    </r>
    <r>
      <rPr>
        <b/>
        <sz val="10"/>
        <color theme="1"/>
        <rFont val="Calibri"/>
        <family val="2"/>
        <scheme val="minor"/>
      </rPr>
      <t>Summary:</t>
    </r>
    <r>
      <rPr>
        <sz val="10"/>
        <color theme="1"/>
        <rFont val="Calibri"/>
        <family val="2"/>
        <scheme val="minor"/>
      </rPr>
      <t xml:space="preserve"> We find no scheme level cost estimates or information as to treatment works flows in the business plan submission.  We make no allowance for the schemes where we find no evidence of DWI support. We take scheme level cost data from DWI letters of support to which we apply a 20% challenge due to lack of sufficient information about the schemes for us to be confident that they are value for money. Our scheme level analysis is included in columns I to P.
</t>
    </r>
  </si>
  <si>
    <t xml:space="preserve">Customers are protected by DWI notices issued with letters of support for some of the schemes. Failure to achieve CRI performance commitment will result in reputational damage.  </t>
  </si>
  <si>
    <t>Deterioration in raw water quality is largely outside of management control. Catchment management programmes seek to address Raw Water Deterioration (RWD) issues and may be used to reduce or eliminate WTW upgrades. NES has identified a "step change in environmental activities, and to help us meet our ambitious goal to demonstrate leadership in catchment management, ..... agreeing shared objectives with partners for better management of all our catchments. We are also expanding the scale of our catchment management activity to protect raw water.”[BP P98]</t>
  </si>
  <si>
    <r>
      <t xml:space="preserve">There are 2 programmes of work. Catchment Management "Upstream Thinking" - £11.6m and WTWs upgrade £41.6m. In addition £2.1m originally identified as 'for management and general investment.' is reallocated to this line. 
</t>
    </r>
    <r>
      <rPr>
        <b/>
        <sz val="10"/>
        <color theme="1"/>
        <rFont val="Calibri"/>
        <family val="2"/>
        <scheme val="minor"/>
      </rPr>
      <t>Catchment Management</t>
    </r>
    <r>
      <rPr>
        <sz val="10"/>
        <color theme="1"/>
        <rFont val="Calibri"/>
        <family val="2"/>
        <scheme val="minor"/>
      </rPr>
      <t xml:space="preserve">: BP documents estimate benefits from the programme as similar those for 2015-20. We assume similar levels of cost to deliver these benefits. The proposed programme total for 2020-2025is £16.9m and the spend for 2015-2020 is £10.5m. To set the allowance we apply the CPIH increase from 2012-13 to 2017-18 of 1.07895 to the AMP6 spend of £10.5m to give £11.329m programme value for 2020-2025. We note that SWB allocates the 2020-2025 programme to two enhancement lines freeform [68.8% of programme costs] and drinking water protected areas [31.2% of cost]. We apply this split to the our assessment to give an allowance of £11.329m * 68.8%= £7.796m. 
</t>
    </r>
    <r>
      <rPr>
        <b/>
        <sz val="10"/>
        <color theme="1"/>
        <rFont val="Calibri"/>
        <family val="2"/>
        <scheme val="minor"/>
      </rPr>
      <t>Schemes at WTWs</t>
    </r>
    <r>
      <rPr>
        <sz val="10"/>
        <color theme="1"/>
        <rFont val="Calibri"/>
        <family val="2"/>
        <scheme val="minor"/>
      </rPr>
      <t xml:space="preserve">: We find Scheme level cost data in the DWI letters of support, but no further scheme level data in the BP. Allowed costs have been built up from scheme level data for Restormel, Prewley, St Cleer, Stithians, Littlehampton, Knapp Mill &amp; Aldernery.  As we find insufficient evidence of costs or optioneering, we apply a 20% challenge to WTW scheme costs = £40.22*0.8 =£32.18m.  
We assess the costs for Aldernery and Knapp Mill under the cost adjustment claim. SWB proposed to allocate £22.2m of the costs of these schemes to raw water deterioration enhancement. . 
</t>
    </r>
    <r>
      <rPr>
        <b/>
        <sz val="10"/>
        <color theme="1"/>
        <rFont val="Calibri"/>
        <family val="2"/>
        <scheme val="minor"/>
      </rPr>
      <t>General Management</t>
    </r>
    <r>
      <rPr>
        <sz val="10"/>
        <color theme="1"/>
        <rFont val="Calibri"/>
        <family val="2"/>
        <scheme val="minor"/>
      </rPr>
      <t xml:space="preserve">: £2.01m is transferred to this line from the management and general investment freeform line. 
Using WTW scheme level data we find evidence of £76m that is allocated to this line. This includes enhancement for 2020-25 at Aldernery and Knapp Mill. We disallow £0.122m of the £2.01m. This is the proportion of the general management which relates to the original line allocation for which we find no evidence i.e. (£77-£76m)/£77m * £2.01m. As we find insufficient evidence of costs of optioneering of the schemes we apply a 20% challenge to the remainder to give an allowance for management of these schemes of £1.582m.
Our total allowance comprises catchment management £7.796m, 5 schemes at WTWs £32.18m and general management £1.582m. 
SWB report demonstrates its approach costing:  “We engaged industry experts, Chandlers KBS and Aqua Consultants, to undertake a review of our cost models and data compared to peers within the industry. They concluded that, based on the comparative information available, South West Water models are competitive with a good indication that the models are efficient and with limited scope for further efficiencies at the business planning stage”.[Securing cost efficiency P31]  We did not find the Independent Report; inclusion of independent reports would support claims for cost efficiency.  
</t>
    </r>
  </si>
  <si>
    <t>There are 2 works that employ Slow Sand Filtration (SSF) treatment technology.
- Knapp Mill WTW, 1930, proposed AMP 7, £72.566m 
- Alderney WTW, 1903, £65.871m (£38.3m AMP7 and £27.56m AMP8).
[BP doc Delivering Outcomes…. P48 ] identifies 'compliance with water quality standard' financial ODI with underperformance penalty only.
[BP Commentary P264] identifies £22.175m Total = quality element of New WTW schemes [at Knapp Hill &amp; Alderney these are subject to CACs].  CACs give Knapp mill 71.6m Totex, Alderney £38.3m totex 20% =£21.98m ? Deduct higher BP value. Value of remaining identified schemes = £41.448m [from BP Commentary P264 - see deep dive]  
Sum claimed [Column C] now includes £11.6M originally allocated to catchment mgmt. freeform line [WS2 30] and £2.01m originally to management and General investment freeform line [WS2 26].</t>
  </si>
  <si>
    <t>Gates and shallow dive sheet - raw water deterioration</t>
  </si>
  <si>
    <t>AF 29/01/19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</si>
</sst>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00"/>
    <numFmt numFmtId="166" formatCode="#,##0.0"/>
    <numFmt numFmtId="167" formatCode="#,##0_);\(#,##0\);&quot;-  &quot;;&quot; &quot;@&quot; &quot;"/>
    <numFmt numFmtId="168" formatCode="0.0%"/>
    <numFmt numFmtId="169" formatCode="_-* #,##0.0_-;\-* #,##0.0_-;_-* &quot;-&quot;??_-;_-@_-"/>
    <numFmt numFmtId="170" formatCode="#,##0.000"/>
    <numFmt numFmtId="171" formatCode="_(* #,##0.0_);_(* \(#,##0.0\);_(* &quot;-&quot;??_);_(@_)"/>
    <numFmt numFmtId="172" formatCode="_(* #,##0_);_(* \(#,##0\);_(* &quot;-&quot;??_);_(@_)"/>
    <numFmt numFmtId="173" formatCode="_(* #,##0.000_);_(* \(#,##0.000\);_(* &quot;-&quot;??_);_(@_)"/>
  </numFmts>
  <fonts count="3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9"/>
      <name val="Calibri"/>
      <family val="2"/>
      <scheme val="minor"/>
    </font>
    <font>
      <b/>
      <sz val="14"/>
      <color theme="1"/>
      <name val="Calibri"/>
      <family val="2"/>
      <scheme val="minor"/>
    </font>
    <font>
      <sz val="10"/>
      <color theme="1"/>
      <name val="Calibri"/>
      <family val="2"/>
      <scheme val="minor"/>
    </font>
    <font>
      <i/>
      <sz val="10"/>
      <color theme="1"/>
      <name val="Gill Sans MT"/>
      <family val="2"/>
    </font>
    <font>
      <sz val="11"/>
      <color rgb="FF000000"/>
      <name val="Calibri"/>
      <family val="2"/>
      <scheme val="minor"/>
    </font>
    <font>
      <i/>
      <sz val="11"/>
      <color theme="1"/>
      <name val="Calibri"/>
      <family val="2"/>
      <scheme val="minor"/>
    </font>
    <font>
      <i/>
      <sz val="11"/>
      <color rgb="FF7F7F7F"/>
      <name val="Arial"/>
      <family val="2"/>
    </font>
    <font>
      <sz val="10"/>
      <color rgb="FFFF0000"/>
      <name val="Calibri"/>
      <family val="2"/>
      <scheme val="minor"/>
    </font>
    <font>
      <b/>
      <sz val="10"/>
      <color theme="1"/>
      <name val="Calibri"/>
      <family val="2"/>
      <scheme val="minor"/>
    </font>
    <font>
      <i/>
      <sz val="10"/>
      <color rgb="FF7F7F7F"/>
      <name val="Calibri"/>
      <family val="2"/>
      <scheme val="minor"/>
    </font>
    <font>
      <b/>
      <sz val="10"/>
      <name val="Calibri"/>
      <family val="2"/>
      <scheme val="minor"/>
    </font>
    <font>
      <b/>
      <sz val="10"/>
      <color theme="3"/>
      <name val="Calibri"/>
      <family val="2"/>
      <scheme val="minor"/>
    </font>
    <font>
      <sz val="10"/>
      <name val="Calibri"/>
      <family val="2"/>
      <scheme val="minor"/>
    </font>
    <font>
      <i/>
      <sz val="10"/>
      <color theme="1"/>
      <name val="Calibri"/>
      <family val="2"/>
      <scheme val="minor"/>
    </font>
    <font>
      <b/>
      <i/>
      <sz val="10"/>
      <color theme="1"/>
      <name val="Calibri"/>
      <family val="2"/>
      <scheme val="minor"/>
    </font>
    <font>
      <u/>
      <sz val="10"/>
      <color theme="1"/>
      <name val="Calibri"/>
      <family val="2"/>
      <scheme val="minor"/>
    </font>
    <font>
      <b/>
      <sz val="11"/>
      <color rgb="FF000000"/>
      <name val="Calibri"/>
      <family val="2"/>
      <scheme val="minor"/>
    </font>
    <font>
      <sz val="12"/>
      <color theme="1"/>
      <name val="Calibri"/>
      <family val="2"/>
      <scheme val="minor"/>
    </font>
    <font>
      <i/>
      <sz val="12"/>
      <color theme="1"/>
      <name val="Calibri"/>
      <family val="2"/>
      <scheme val="minor"/>
    </font>
    <font>
      <b/>
      <sz val="14"/>
      <color theme="3"/>
      <name val="Calibri"/>
      <family val="2"/>
      <scheme val="minor"/>
    </font>
    <font>
      <sz val="12"/>
      <color theme="3"/>
      <name val="Calibri"/>
      <family val="2"/>
      <scheme val="minor"/>
    </font>
    <font>
      <sz val="14"/>
      <color theme="3"/>
      <name val="Calibri"/>
      <family val="2"/>
      <scheme val="minor"/>
    </font>
    <font>
      <sz val="10"/>
      <color theme="1"/>
      <name val="Gill Sans MT"/>
      <family val="2"/>
    </font>
  </fonts>
  <fills count="10">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7"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8"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13" fillId="3" borderId="0" xfId="10" applyFont="1" applyFill="1" applyAlignment="1">
      <alignment vertical="center"/>
    </xf>
    <xf numFmtId="0" fontId="14" fillId="0" borderId="0" xfId="0" applyFont="1"/>
    <xf numFmtId="0" fontId="16" fillId="0" borderId="0" xfId="0" applyFont="1"/>
    <xf numFmtId="0" fontId="13" fillId="3" borderId="0" xfId="0" applyFont="1" applyFill="1"/>
    <xf numFmtId="0" fontId="14" fillId="0" borderId="0" xfId="0" applyFont="1" applyAlignment="1">
      <alignment wrapText="1"/>
    </xf>
    <xf numFmtId="0" fontId="20" fillId="0" borderId="0" xfId="0" applyFont="1"/>
    <xf numFmtId="169" fontId="14" fillId="5" borderId="4" xfId="20" applyNumberFormat="1" applyFont="1" applyFill="1" applyBorder="1"/>
    <xf numFmtId="169" fontId="14" fillId="4" borderId="4" xfId="20" applyNumberFormat="1" applyFont="1" applyFill="1" applyBorder="1"/>
    <xf numFmtId="0" fontId="20" fillId="2" borderId="1" xfId="0" applyFont="1" applyFill="1" applyBorder="1" applyAlignment="1">
      <alignment horizontal="left" wrapText="1"/>
    </xf>
    <xf numFmtId="0" fontId="20" fillId="2" borderId="1" xfId="0" quotePrefix="1" applyFont="1" applyFill="1" applyBorder="1" applyAlignment="1">
      <alignment horizontal="left" wrapText="1"/>
    </xf>
    <xf numFmtId="0" fontId="20" fillId="3" borderId="0" xfId="0" applyFont="1" applyFill="1"/>
    <xf numFmtId="0" fontId="14" fillId="5" borderId="1" xfId="0" applyFont="1" applyFill="1" applyBorder="1" applyAlignment="1">
      <alignment horizontal="left"/>
    </xf>
    <xf numFmtId="0" fontId="14" fillId="0" borderId="1" xfId="0" applyFont="1" applyBorder="1" applyAlignment="1"/>
    <xf numFmtId="0" fontId="14" fillId="0" borderId="0" xfId="0" applyFont="1" applyBorder="1" applyAlignment="1"/>
    <xf numFmtId="0" fontId="14" fillId="0" borderId="0" xfId="0" applyFont="1" applyBorder="1"/>
    <xf numFmtId="0" fontId="14" fillId="0" borderId="0" xfId="0" applyFont="1" applyBorder="1" applyAlignment="1" applyProtection="1">
      <alignment horizontal="left"/>
      <protection locked="0"/>
    </xf>
    <xf numFmtId="0" fontId="21" fillId="0" borderId="0" xfId="18" applyFont="1"/>
    <xf numFmtId="14" fontId="14" fillId="0" borderId="1" xfId="0" applyNumberFormat="1" applyFont="1" applyBorder="1"/>
    <xf numFmtId="14" fontId="14" fillId="0" borderId="0" xfId="0" applyNumberFormat="1" applyFont="1" applyBorder="1" applyAlignment="1" applyProtection="1">
      <alignment horizontal="left"/>
      <protection locked="0"/>
    </xf>
    <xf numFmtId="0" fontId="14" fillId="0" borderId="9" xfId="0" applyFont="1" applyBorder="1" applyAlignment="1">
      <alignment vertical="top"/>
    </xf>
    <xf numFmtId="0" fontId="14" fillId="0" borderId="9" xfId="0" applyFont="1" applyBorder="1" applyAlignment="1"/>
    <xf numFmtId="0" fontId="14" fillId="0" borderId="0" xfId="0" applyFont="1" applyFill="1"/>
    <xf numFmtId="0" fontId="14" fillId="0" borderId="1" xfId="19" applyFont="1" applyBorder="1" applyAlignment="1">
      <alignment horizontal="center"/>
    </xf>
    <xf numFmtId="0" fontId="14" fillId="0" borderId="1" xfId="19" applyFont="1" applyBorder="1"/>
    <xf numFmtId="9" fontId="14" fillId="0" borderId="1" xfId="7" applyFont="1" applyBorder="1"/>
    <xf numFmtId="0" fontId="20" fillId="0" borderId="1" xfId="19" applyFont="1" applyBorder="1"/>
    <xf numFmtId="164" fontId="14" fillId="0" borderId="0" xfId="0" applyNumberFormat="1" applyFont="1"/>
    <xf numFmtId="2" fontId="14" fillId="0" borderId="0" xfId="0" applyNumberFormat="1" applyFont="1"/>
    <xf numFmtId="0" fontId="14" fillId="0" borderId="0" xfId="0" applyFont="1" applyAlignment="1">
      <alignment vertical="center"/>
    </xf>
    <xf numFmtId="0" fontId="14" fillId="0" borderId="0" xfId="0" applyFont="1" applyAlignment="1">
      <alignment vertical="top" wrapText="1"/>
    </xf>
    <xf numFmtId="2" fontId="14" fillId="0" borderId="1" xfId="0" applyNumberFormat="1" applyFont="1" applyFill="1" applyBorder="1" applyAlignment="1">
      <alignment vertical="center"/>
    </xf>
    <xf numFmtId="2" fontId="14" fillId="0" borderId="1" xfId="0" applyNumberFormat="1" applyFont="1" applyBorder="1" applyAlignment="1">
      <alignment vertical="center"/>
    </xf>
    <xf numFmtId="2" fontId="14" fillId="0" borderId="1" xfId="16" applyNumberFormat="1" applyFont="1" applyFill="1" applyBorder="1" applyAlignment="1">
      <alignment vertical="center"/>
    </xf>
    <xf numFmtId="0" fontId="14" fillId="0" borderId="1" xfId="0" applyFont="1" applyFill="1" applyBorder="1" applyAlignment="1">
      <alignment vertical="center"/>
    </xf>
    <xf numFmtId="166" fontId="14" fillId="0" borderId="0" xfId="0" applyNumberFormat="1" applyFont="1"/>
    <xf numFmtId="0" fontId="0" fillId="0" borderId="0" xfId="0" applyFont="1"/>
    <xf numFmtId="0" fontId="14" fillId="0" borderId="1" xfId="0" applyFont="1" applyBorder="1" applyAlignment="1">
      <alignment wrapText="1"/>
    </xf>
    <xf numFmtId="0" fontId="0" fillId="0" borderId="1" xfId="0" applyFont="1" applyBorder="1" applyAlignment="1">
      <alignment vertical="top"/>
    </xf>
    <xf numFmtId="0" fontId="13" fillId="3" borderId="2" xfId="10" applyFont="1" applyFill="1" applyBorder="1"/>
    <xf numFmtId="0" fontId="12" fillId="3" borderId="6" xfId="1" applyFont="1" applyFill="1" applyBorder="1"/>
    <xf numFmtId="0" fontId="0" fillId="0" borderId="0" xfId="0" applyFont="1" applyAlignment="1">
      <alignment horizontal="center" vertical="center"/>
    </xf>
    <xf numFmtId="0" fontId="22" fillId="0" borderId="0" xfId="0" applyFont="1"/>
    <xf numFmtId="0" fontId="24" fillId="0" borderId="0" xfId="1" applyFont="1"/>
    <xf numFmtId="0" fontId="24" fillId="0" borderId="0" xfId="0" applyFont="1"/>
    <xf numFmtId="0" fontId="13" fillId="0" borderId="0" xfId="10" applyFont="1" applyAlignment="1">
      <alignment vertical="center"/>
    </xf>
    <xf numFmtId="0" fontId="14" fillId="0" borderId="0" xfId="0" applyFont="1" applyBorder="1" applyAlignment="1">
      <alignment horizontal="left" wrapText="1"/>
    </xf>
    <xf numFmtId="0" fontId="22" fillId="0" borderId="1" xfId="0" applyFont="1" applyBorder="1"/>
    <xf numFmtId="0" fontId="14" fillId="0" borderId="1" xfId="0" applyFont="1" applyBorder="1"/>
    <xf numFmtId="0" fontId="22" fillId="0" borderId="0" xfId="0" applyFont="1" applyBorder="1"/>
    <xf numFmtId="0" fontId="14" fillId="0" borderId="1" xfId="0" applyFont="1" applyBorder="1" applyAlignment="1" applyProtection="1">
      <alignment horizontal="left"/>
      <protection locked="0"/>
    </xf>
    <xf numFmtId="0" fontId="14" fillId="0" borderId="1" xfId="0" applyFont="1" applyBorder="1" applyAlignment="1">
      <alignment vertical="top"/>
    </xf>
    <xf numFmtId="0" fontId="14" fillId="0" borderId="3" xfId="0" applyFont="1" applyBorder="1" applyAlignment="1">
      <alignment horizontal="left" wrapText="1"/>
    </xf>
    <xf numFmtId="0" fontId="14" fillId="0" borderId="0" xfId="0" applyFont="1" applyAlignment="1">
      <alignment horizontal="left" wrapText="1"/>
    </xf>
    <xf numFmtId="0" fontId="26" fillId="0" borderId="0" xfId="0" applyFont="1" applyAlignment="1">
      <alignment horizontal="left" indent="1"/>
    </xf>
    <xf numFmtId="0" fontId="14" fillId="0" borderId="1" xfId="0" applyFont="1" applyBorder="1" applyAlignment="1">
      <alignment vertical="top" wrapText="1"/>
    </xf>
    <xf numFmtId="0" fontId="20" fillId="0" borderId="1" xfId="0" applyFont="1" applyBorder="1" applyAlignment="1">
      <alignment wrapText="1"/>
    </xf>
    <xf numFmtId="0" fontId="0" fillId="0" borderId="1" xfId="0" applyFont="1" applyBorder="1" applyAlignment="1">
      <alignment horizontal="left" vertical="top" wrapText="1"/>
    </xf>
    <xf numFmtId="0" fontId="14" fillId="0" borderId="0" xfId="0" applyFont="1" applyBorder="1" applyAlignment="1">
      <alignment vertical="top"/>
    </xf>
    <xf numFmtId="0" fontId="14" fillId="0" borderId="0" xfId="0" quotePrefix="1" applyFont="1"/>
    <xf numFmtId="165" fontId="14" fillId="0" borderId="0" xfId="0" applyNumberFormat="1" applyFont="1"/>
    <xf numFmtId="168" fontId="14" fillId="0" borderId="0" xfId="0" applyNumberFormat="1" applyFont="1"/>
    <xf numFmtId="165" fontId="14" fillId="0" borderId="1" xfId="0" applyNumberFormat="1" applyFont="1" applyBorder="1"/>
    <xf numFmtId="0" fontId="13" fillId="3" borderId="0" xfId="10" applyFont="1" applyFill="1" applyAlignment="1">
      <alignment vertical="center" wrapText="1"/>
    </xf>
    <xf numFmtId="0" fontId="13" fillId="0" borderId="0" xfId="10" applyFont="1" applyAlignment="1">
      <alignment vertical="center" wrapText="1"/>
    </xf>
    <xf numFmtId="171" fontId="14" fillId="0" borderId="1" xfId="6" applyNumberFormat="1" applyFont="1" applyBorder="1"/>
    <xf numFmtId="0" fontId="20" fillId="0" borderId="0" xfId="0" applyFont="1" applyAlignment="1">
      <alignment wrapText="1"/>
    </xf>
    <xf numFmtId="0" fontId="14" fillId="0" borderId="0" xfId="0" applyFont="1" applyBorder="1" applyAlignment="1">
      <alignment vertical="top" wrapText="1"/>
    </xf>
    <xf numFmtId="0" fontId="29" fillId="0" borderId="0" xfId="0" applyFont="1" applyAlignment="1">
      <alignment vertical="center"/>
    </xf>
    <xf numFmtId="0" fontId="30" fillId="0" borderId="0" xfId="0" applyFont="1" applyAlignment="1">
      <alignment vertical="center"/>
    </xf>
    <xf numFmtId="0" fontId="25" fillId="0" borderId="1" xfId="0" applyFont="1" applyBorder="1" applyAlignment="1">
      <alignment vertical="top" wrapText="1"/>
    </xf>
    <xf numFmtId="0" fontId="14" fillId="0" borderId="0" xfId="0" applyFont="1" applyAlignment="1"/>
    <xf numFmtId="0" fontId="14" fillId="0" borderId="0" xfId="0" applyFont="1" applyBorder="1" applyAlignment="1">
      <alignment horizontal="center"/>
    </xf>
    <xf numFmtId="0" fontId="14" fillId="0" borderId="6" xfId="0" applyFont="1" applyBorder="1"/>
    <xf numFmtId="0" fontId="14" fillId="0" borderId="4" xfId="0" applyFont="1" applyBorder="1"/>
    <xf numFmtId="0" fontId="14" fillId="0" borderId="1" xfId="0" applyFont="1" applyBorder="1" applyAlignment="1">
      <alignment horizontal="left" wrapText="1"/>
    </xf>
    <xf numFmtId="14" fontId="14" fillId="0" borderId="1" xfId="0" applyNumberFormat="1" applyFont="1" applyBorder="1" applyAlignment="1" applyProtection="1">
      <alignment horizontal="left"/>
      <protection locked="0"/>
    </xf>
    <xf numFmtId="0" fontId="14" fillId="0" borderId="0" xfId="0" applyFont="1" applyBorder="1" applyAlignment="1">
      <alignment horizontal="left"/>
    </xf>
    <xf numFmtId="0" fontId="20" fillId="0" borderId="6" xfId="0" applyFont="1" applyBorder="1"/>
    <xf numFmtId="0" fontId="20" fillId="0" borderId="2" xfId="0" applyFont="1" applyBorder="1"/>
    <xf numFmtId="0" fontId="20" fillId="0" borderId="2" xfId="0" applyFont="1" applyBorder="1" applyAlignment="1">
      <alignment vertical="top"/>
    </xf>
    <xf numFmtId="0" fontId="14" fillId="0" borderId="2" xfId="0" applyFont="1" applyBorder="1" applyAlignment="1">
      <alignment vertical="top" wrapText="1"/>
    </xf>
    <xf numFmtId="0" fontId="14" fillId="0" borderId="6" xfId="0" applyFont="1" applyBorder="1" applyAlignment="1">
      <alignment vertical="top" wrapText="1"/>
    </xf>
    <xf numFmtId="0" fontId="14" fillId="0" borderId="4" xfId="0" applyFont="1" applyBorder="1" applyAlignment="1">
      <alignment vertical="top" wrapText="1"/>
    </xf>
    <xf numFmtId="0" fontId="14" fillId="0" borderId="2" xfId="0" applyFont="1" applyFill="1" applyBorder="1" applyAlignment="1">
      <alignment vertical="top" wrapText="1"/>
    </xf>
    <xf numFmtId="0" fontId="14" fillId="0" borderId="6" xfId="0" applyFont="1" applyFill="1" applyBorder="1" applyAlignment="1">
      <alignment vertical="top" wrapText="1"/>
    </xf>
    <xf numFmtId="0" fontId="14" fillId="0" borderId="4" xfId="0" applyFont="1" applyBorder="1" applyAlignment="1">
      <alignment vertical="top"/>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0" xfId="0" applyFont="1" applyAlignment="1">
      <alignment vertical="top"/>
    </xf>
    <xf numFmtId="170" fontId="14" fillId="0" borderId="1" xfId="0" applyNumberFormat="1" applyFont="1" applyBorder="1" applyAlignment="1">
      <alignment vertical="top" wrapText="1"/>
    </xf>
    <xf numFmtId="170" fontId="14" fillId="0" borderId="1" xfId="0" applyNumberFormat="1" applyFont="1" applyBorder="1" applyAlignment="1">
      <alignment vertical="top"/>
    </xf>
    <xf numFmtId="166" fontId="14" fillId="0" borderId="1" xfId="0" applyNumberFormat="1" applyFont="1" applyBorder="1" applyAlignment="1">
      <alignment vertical="top" wrapText="1"/>
    </xf>
    <xf numFmtId="166" fontId="14" fillId="0" borderId="1" xfId="0" applyNumberFormat="1" applyFont="1" applyBorder="1" applyAlignment="1">
      <alignment vertical="top"/>
    </xf>
    <xf numFmtId="10" fontId="14" fillId="0" borderId="1" xfId="7" applyNumberFormat="1" applyFont="1" applyBorder="1" applyAlignment="1">
      <alignment vertical="top"/>
    </xf>
    <xf numFmtId="166" fontId="14" fillId="0" borderId="3" xfId="0" applyNumberFormat="1" applyFont="1" applyBorder="1" applyAlignment="1">
      <alignment vertical="top"/>
    </xf>
    <xf numFmtId="10" fontId="14" fillId="0" borderId="1" xfId="7" applyNumberFormat="1" applyFont="1" applyFill="1" applyBorder="1" applyAlignment="1">
      <alignment vertical="top"/>
    </xf>
    <xf numFmtId="0" fontId="14" fillId="0" borderId="1" xfId="0" applyFont="1" applyFill="1" applyBorder="1" applyAlignment="1">
      <alignment vertical="top"/>
    </xf>
    <xf numFmtId="170" fontId="14" fillId="0" borderId="1" xfId="0" applyNumberFormat="1" applyFont="1" applyFill="1" applyBorder="1" applyAlignment="1">
      <alignment vertical="top" wrapText="1"/>
    </xf>
    <xf numFmtId="170" fontId="14" fillId="0" borderId="1" xfId="0" applyNumberFormat="1" applyFont="1" applyFill="1" applyBorder="1" applyAlignment="1">
      <alignment vertical="top"/>
    </xf>
    <xf numFmtId="166" fontId="14" fillId="0" borderId="1" xfId="0" applyNumberFormat="1" applyFont="1" applyFill="1" applyBorder="1" applyAlignment="1">
      <alignment vertical="top" wrapText="1"/>
    </xf>
    <xf numFmtId="166" fontId="14" fillId="0" borderId="1" xfId="0" applyNumberFormat="1" applyFont="1" applyFill="1" applyBorder="1" applyAlignment="1">
      <alignment vertical="top"/>
    </xf>
    <xf numFmtId="166" fontId="14" fillId="0" borderId="1" xfId="0" applyNumberFormat="1" applyFont="1" applyFill="1" applyBorder="1"/>
    <xf numFmtId="166" fontId="14" fillId="0" borderId="3" xfId="0" applyNumberFormat="1" applyFont="1" applyFill="1" applyBorder="1" applyAlignment="1">
      <alignment vertical="top"/>
    </xf>
    <xf numFmtId="0" fontId="14" fillId="0" borderId="0" xfId="0" applyFont="1" applyFill="1" applyBorder="1" applyAlignment="1">
      <alignment vertical="top"/>
    </xf>
    <xf numFmtId="166" fontId="14" fillId="0" borderId="1" xfId="0" applyNumberFormat="1" applyFont="1" applyBorder="1"/>
    <xf numFmtId="170" fontId="14" fillId="0" borderId="3" xfId="0" applyNumberFormat="1" applyFont="1" applyBorder="1" applyAlignment="1">
      <alignment vertical="top"/>
    </xf>
    <xf numFmtId="0" fontId="14" fillId="7" borderId="1" xfId="0" applyFont="1" applyFill="1" applyBorder="1" applyAlignment="1">
      <alignment vertical="top"/>
    </xf>
    <xf numFmtId="170" fontId="14" fillId="7" borderId="1" xfId="0" applyNumberFormat="1" applyFont="1" applyFill="1" applyBorder="1" applyAlignment="1">
      <alignment vertical="top" wrapText="1"/>
    </xf>
    <xf numFmtId="170" fontId="14" fillId="7" borderId="1" xfId="0" applyNumberFormat="1" applyFont="1" applyFill="1" applyBorder="1" applyAlignment="1">
      <alignment vertical="top"/>
    </xf>
    <xf numFmtId="166" fontId="14" fillId="7" borderId="1" xfId="0" applyNumberFormat="1" applyFont="1" applyFill="1" applyBorder="1" applyAlignment="1">
      <alignment vertical="top" wrapText="1"/>
    </xf>
    <xf numFmtId="166" fontId="14" fillId="7" borderId="1" xfId="0" applyNumberFormat="1" applyFont="1" applyFill="1" applyBorder="1" applyAlignment="1">
      <alignment vertical="top"/>
    </xf>
    <xf numFmtId="10" fontId="14" fillId="7" borderId="1" xfId="7" applyNumberFormat="1" applyFont="1" applyFill="1" applyBorder="1" applyAlignment="1">
      <alignment vertical="top"/>
    </xf>
    <xf numFmtId="166" fontId="14" fillId="7" borderId="1" xfId="0" applyNumberFormat="1" applyFont="1" applyFill="1" applyBorder="1"/>
    <xf numFmtId="166" fontId="14" fillId="7" borderId="3" xfId="0" applyNumberFormat="1" applyFont="1" applyFill="1" applyBorder="1" applyAlignment="1">
      <alignment vertical="top"/>
    </xf>
    <xf numFmtId="0" fontId="14" fillId="7" borderId="0" xfId="0" applyFont="1" applyFill="1" applyBorder="1" applyAlignment="1">
      <alignment vertical="top"/>
    </xf>
    <xf numFmtId="0" fontId="14" fillId="7" borderId="0" xfId="0" applyFont="1" applyFill="1"/>
    <xf numFmtId="0" fontId="14" fillId="6" borderId="1" xfId="0" applyFont="1" applyFill="1" applyBorder="1" applyAlignment="1">
      <alignment vertical="top"/>
    </xf>
    <xf numFmtId="170" fontId="14" fillId="7" borderId="1" xfId="0" applyNumberFormat="1" applyFont="1" applyFill="1" applyBorder="1"/>
    <xf numFmtId="170" fontId="14" fillId="0" borderId="0" xfId="0" applyNumberFormat="1" applyFont="1" applyBorder="1" applyAlignment="1">
      <alignment vertical="top"/>
    </xf>
    <xf numFmtId="166" fontId="14" fillId="0" borderId="0" xfId="0" applyNumberFormat="1" applyFont="1" applyBorder="1" applyAlignment="1">
      <alignment vertical="top"/>
    </xf>
    <xf numFmtId="0" fontId="31" fillId="0" borderId="0" xfId="0" applyFont="1"/>
    <xf numFmtId="0" fontId="32" fillId="0" borderId="0" xfId="0" applyFont="1" applyAlignment="1">
      <alignment vertical="center"/>
    </xf>
    <xf numFmtId="0" fontId="23" fillId="0" borderId="0" xfId="0" applyFont="1"/>
    <xf numFmtId="0" fontId="20" fillId="4" borderId="1" xfId="0" applyFont="1" applyFill="1" applyBorder="1" applyAlignment="1">
      <alignment horizontal="center"/>
    </xf>
    <xf numFmtId="0" fontId="20" fillId="4" borderId="1" xfId="0" applyFont="1" applyFill="1" applyBorder="1" applyAlignment="1">
      <alignment horizontal="center" wrapText="1"/>
    </xf>
    <xf numFmtId="172" fontId="14" fillId="0" borderId="1" xfId="6" applyNumberFormat="1" applyFont="1" applyBorder="1"/>
    <xf numFmtId="168" fontId="14" fillId="0" borderId="1" xfId="7" applyNumberFormat="1" applyFont="1" applyBorder="1" applyAlignment="1">
      <alignment wrapText="1"/>
    </xf>
    <xf numFmtId="171" fontId="20" fillId="0" borderId="1" xfId="6" applyNumberFormat="1" applyFont="1" applyBorder="1"/>
    <xf numFmtId="172" fontId="20" fillId="0" borderId="1" xfId="6" applyNumberFormat="1" applyFont="1" applyBorder="1"/>
    <xf numFmtId="168" fontId="20" fillId="0" borderId="1" xfId="7" applyNumberFormat="1" applyFont="1" applyBorder="1" applyAlignment="1">
      <alignment wrapText="1"/>
    </xf>
    <xf numFmtId="0" fontId="14" fillId="5" borderId="0" xfId="0" applyFont="1" applyFill="1" applyBorder="1" applyAlignment="1">
      <alignment horizontal="left"/>
    </xf>
    <xf numFmtId="165" fontId="14" fillId="0" borderId="1" xfId="0" applyNumberFormat="1" applyFont="1" applyBorder="1" applyAlignment="1">
      <alignment horizontal="right"/>
    </xf>
    <xf numFmtId="0" fontId="14" fillId="8" borderId="1" xfId="0" applyFont="1" applyFill="1" applyBorder="1" applyAlignment="1">
      <alignment vertical="top" wrapText="1"/>
    </xf>
    <xf numFmtId="0" fontId="14" fillId="8" borderId="1" xfId="0" applyFont="1" applyFill="1" applyBorder="1"/>
    <xf numFmtId="0" fontId="33" fillId="0" borderId="0" xfId="0" applyFont="1" applyAlignment="1">
      <alignment vertical="center"/>
    </xf>
    <xf numFmtId="0" fontId="34" fillId="0" borderId="1" xfId="0" applyFont="1" applyBorder="1"/>
    <xf numFmtId="0" fontId="20" fillId="0" borderId="10" xfId="0" applyFont="1" applyBorder="1"/>
    <xf numFmtId="0" fontId="20" fillId="0" borderId="11" xfId="0" applyFont="1" applyBorder="1"/>
    <xf numFmtId="165" fontId="14" fillId="0" borderId="1" xfId="0" applyNumberFormat="1" applyFont="1" applyBorder="1" applyAlignment="1">
      <alignment vertical="top"/>
    </xf>
    <xf numFmtId="0" fontId="34" fillId="0" borderId="1" xfId="0" applyFont="1" applyBorder="1" applyAlignment="1">
      <alignment vertical="top" wrapText="1"/>
    </xf>
    <xf numFmtId="0" fontId="0" fillId="0" borderId="1" xfId="0" applyFont="1" applyFill="1" applyBorder="1" applyAlignment="1">
      <alignment horizontal="left" vertical="top" wrapText="1"/>
    </xf>
    <xf numFmtId="0" fontId="14" fillId="0" borderId="1" xfId="0" quotePrefix="1" applyFont="1" applyBorder="1" applyAlignment="1">
      <alignment vertical="top" wrapText="1"/>
    </xf>
    <xf numFmtId="0" fontId="14" fillId="0" borderId="12" xfId="0" applyFont="1" applyBorder="1"/>
    <xf numFmtId="0" fontId="16" fillId="0" borderId="1" xfId="0" applyFont="1" applyBorder="1" applyAlignment="1">
      <alignment vertical="center" wrapText="1"/>
    </xf>
    <xf numFmtId="0" fontId="14" fillId="0" borderId="2" xfId="0" applyFont="1" applyBorder="1"/>
    <xf numFmtId="0" fontId="16" fillId="0" borderId="14" xfId="0" applyFont="1" applyBorder="1" applyAlignment="1">
      <alignment vertical="center"/>
    </xf>
    <xf numFmtId="0" fontId="14" fillId="0" borderId="15" xfId="0" applyFont="1" applyBorder="1"/>
    <xf numFmtId="0" fontId="14" fillId="0" borderId="14" xfId="0" applyFont="1" applyBorder="1"/>
    <xf numFmtId="0" fontId="16" fillId="0" borderId="3" xfId="0" applyFont="1" applyBorder="1" applyAlignment="1">
      <alignment vertical="center"/>
    </xf>
    <xf numFmtId="0" fontId="16" fillId="0" borderId="3" xfId="0" applyFont="1" applyBorder="1" applyAlignment="1">
      <alignment vertical="center" wrapText="1"/>
    </xf>
    <xf numFmtId="17" fontId="16" fillId="0" borderId="3" xfId="0" applyNumberFormat="1" applyFont="1" applyBorder="1" applyAlignment="1">
      <alignment vertical="center"/>
    </xf>
    <xf numFmtId="0" fontId="14" fillId="0" borderId="17" xfId="0" applyFont="1" applyBorder="1"/>
    <xf numFmtId="0" fontId="14" fillId="0" borderId="18" xfId="0" applyFont="1" applyBorder="1"/>
    <xf numFmtId="0" fontId="14" fillId="0" borderId="3" xfId="0" applyFont="1" applyBorder="1"/>
    <xf numFmtId="0" fontId="14" fillId="0" borderId="18" xfId="0" applyFont="1" applyBorder="1" applyAlignment="1">
      <alignment wrapText="1"/>
    </xf>
    <xf numFmtId="0" fontId="16" fillId="0" borderId="1" xfId="0" applyFont="1" applyBorder="1" applyAlignment="1">
      <alignment vertical="center"/>
    </xf>
    <xf numFmtId="0" fontId="14" fillId="0" borderId="19" xfId="0" applyFont="1" applyBorder="1"/>
    <xf numFmtId="17" fontId="16" fillId="0" borderId="1" xfId="0" applyNumberFormat="1" applyFont="1" applyBorder="1" applyAlignment="1">
      <alignment vertical="center"/>
    </xf>
    <xf numFmtId="0" fontId="14" fillId="0" borderId="19" xfId="0" applyFont="1" applyBorder="1" applyAlignment="1">
      <alignment wrapText="1"/>
    </xf>
    <xf numFmtId="0" fontId="14" fillId="0" borderId="19" xfId="0" applyFont="1" applyFill="1" applyBorder="1" applyAlignment="1">
      <alignment wrapText="1"/>
    </xf>
    <xf numFmtId="0" fontId="14" fillId="0" borderId="2" xfId="0" applyFont="1" applyBorder="1" applyAlignment="1">
      <alignment wrapText="1"/>
    </xf>
    <xf numFmtId="0" fontId="28" fillId="0" borderId="1" xfId="0" applyFont="1" applyBorder="1" applyAlignment="1">
      <alignment vertical="center"/>
    </xf>
    <xf numFmtId="0" fontId="16" fillId="0" borderId="19" xfId="0" applyFont="1" applyBorder="1" applyAlignment="1">
      <alignment vertical="center"/>
    </xf>
    <xf numFmtId="9" fontId="14" fillId="0" borderId="0" xfId="7" applyFont="1"/>
    <xf numFmtId="0" fontId="0" fillId="0" borderId="1" xfId="0" applyNumberFormat="1" applyFont="1" applyFill="1" applyBorder="1" applyAlignment="1">
      <alignment horizontal="left" vertical="top" wrapText="1"/>
    </xf>
    <xf numFmtId="0" fontId="14" fillId="0" borderId="0" xfId="0" applyFont="1" applyAlignment="1">
      <alignment horizontal="right"/>
    </xf>
    <xf numFmtId="0" fontId="13" fillId="3" borderId="0" xfId="10" applyFont="1" applyFill="1" applyAlignment="1">
      <alignment vertical="top"/>
    </xf>
    <xf numFmtId="0" fontId="22" fillId="0" borderId="0" xfId="0" applyFont="1" applyAlignment="1">
      <alignment vertical="top"/>
    </xf>
    <xf numFmtId="0" fontId="24" fillId="0" borderId="0" xfId="0" applyFont="1" applyAlignment="1">
      <alignment vertical="top"/>
    </xf>
    <xf numFmtId="0" fontId="14" fillId="0" borderId="1" xfId="0" applyFont="1" applyFill="1" applyBorder="1" applyAlignment="1">
      <alignment vertical="top" wrapText="1"/>
    </xf>
    <xf numFmtId="0" fontId="14" fillId="7" borderId="1" xfId="0" applyFont="1" applyFill="1" applyBorder="1" applyAlignment="1">
      <alignment vertical="top" wrapText="1"/>
    </xf>
    <xf numFmtId="0" fontId="13" fillId="3" borderId="0" xfId="10" applyFont="1" applyFill="1" applyAlignment="1">
      <alignment vertical="top" wrapText="1"/>
    </xf>
    <xf numFmtId="0" fontId="22" fillId="0" borderId="0" xfId="0" applyFont="1" applyAlignment="1">
      <alignment vertical="top" wrapText="1"/>
    </xf>
    <xf numFmtId="0" fontId="24" fillId="0" borderId="0" xfId="0" applyFont="1" applyAlignment="1">
      <alignment vertical="top" wrapText="1"/>
    </xf>
    <xf numFmtId="0" fontId="0" fillId="0" borderId="0" xfId="0" applyFont="1" applyAlignment="1">
      <alignment vertical="top" wrapText="1"/>
    </xf>
    <xf numFmtId="0" fontId="14" fillId="0" borderId="1" xfId="19" applyFont="1" applyFill="1" applyBorder="1"/>
    <xf numFmtId="9" fontId="14" fillId="0" borderId="1" xfId="7" applyFont="1" applyFill="1" applyBorder="1"/>
    <xf numFmtId="0" fontId="0" fillId="0" borderId="1" xfId="19" applyFont="1" applyFill="1" applyBorder="1"/>
    <xf numFmtId="0" fontId="20" fillId="0" borderId="1" xfId="19" applyFont="1" applyFill="1" applyBorder="1"/>
    <xf numFmtId="9" fontId="22" fillId="0" borderId="1" xfId="7" applyFont="1" applyFill="1" applyBorder="1"/>
    <xf numFmtId="171" fontId="14" fillId="5" borderId="4" xfId="20" applyNumberFormat="1" applyFont="1" applyFill="1" applyBorder="1"/>
    <xf numFmtId="165" fontId="14" fillId="5" borderId="1" xfId="0" applyNumberFormat="1" applyFont="1" applyFill="1" applyBorder="1" applyAlignment="1">
      <alignment horizontal="right"/>
    </xf>
    <xf numFmtId="173" fontId="14" fillId="0" borderId="1" xfId="6" applyNumberFormat="1" applyFont="1" applyFill="1" applyBorder="1"/>
    <xf numFmtId="173" fontId="22" fillId="0" borderId="1" xfId="6" applyNumberFormat="1" applyFont="1" applyFill="1" applyBorder="1"/>
    <xf numFmtId="173" fontId="14" fillId="0" borderId="1" xfId="6" applyNumberFormat="1" applyFont="1" applyBorder="1"/>
    <xf numFmtId="0" fontId="19" fillId="0" borderId="0" xfId="0" applyFont="1" applyFill="1" applyAlignment="1">
      <alignment wrapText="1"/>
    </xf>
    <xf numFmtId="0" fontId="19" fillId="0" borderId="0" xfId="0" applyFont="1" applyFill="1"/>
    <xf numFmtId="0" fontId="14" fillId="0" borderId="0" xfId="0" applyFont="1" applyFill="1" applyAlignment="1">
      <alignment wrapText="1"/>
    </xf>
    <xf numFmtId="0" fontId="24" fillId="9" borderId="1" xfId="0" applyFont="1" applyFill="1" applyBorder="1" applyAlignment="1">
      <alignment wrapText="1"/>
    </xf>
    <xf numFmtId="0" fontId="24" fillId="9" borderId="1" xfId="0" applyFont="1" applyFill="1" applyBorder="1"/>
    <xf numFmtId="0" fontId="19" fillId="9" borderId="0" xfId="0" applyFont="1" applyFill="1" applyAlignment="1">
      <alignment wrapText="1"/>
    </xf>
    <xf numFmtId="0" fontId="19" fillId="9" borderId="0" xfId="0" applyFont="1" applyFill="1"/>
    <xf numFmtId="0" fontId="22" fillId="9" borderId="0" xfId="0" applyFont="1" applyFill="1" applyAlignment="1">
      <alignment wrapText="1"/>
    </xf>
    <xf numFmtId="0" fontId="22" fillId="9" borderId="0" xfId="0" applyFont="1" applyFill="1"/>
    <xf numFmtId="0" fontId="14" fillId="9" borderId="1" xfId="0" applyFont="1" applyFill="1" applyBorder="1" applyAlignment="1">
      <alignment wrapText="1"/>
    </xf>
    <xf numFmtId="0" fontId="20" fillId="0" borderId="1" xfId="0" applyFont="1" applyBorder="1" applyAlignment="1">
      <alignment vertical="top" wrapText="1"/>
    </xf>
    <xf numFmtId="2" fontId="14" fillId="0" borderId="1" xfId="0" applyNumberFormat="1" applyFont="1" applyBorder="1"/>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5" xfId="0" applyFont="1" applyBorder="1" applyAlignment="1">
      <alignment horizontal="left" vertical="top"/>
    </xf>
    <xf numFmtId="0" fontId="14" fillId="0" borderId="3" xfId="0" applyFont="1" applyBorder="1" applyAlignment="1">
      <alignment horizontal="left" vertical="top"/>
    </xf>
    <xf numFmtId="0" fontId="14" fillId="0" borderId="1" xfId="0" applyFont="1" applyBorder="1" applyAlignment="1">
      <alignment horizontal="left"/>
    </xf>
    <xf numFmtId="0" fontId="14" fillId="0" borderId="1" xfId="0" applyFont="1" applyBorder="1" applyAlignment="1">
      <alignment horizontal="center"/>
    </xf>
    <xf numFmtId="14" fontId="14" fillId="0" borderId="1" xfId="0" applyNumberFormat="1" applyFont="1" applyBorder="1" applyAlignment="1">
      <alignment horizontal="center"/>
    </xf>
    <xf numFmtId="0" fontId="16" fillId="0" borderId="1" xfId="0" applyFont="1" applyBorder="1" applyAlignment="1">
      <alignment horizontal="center" vertical="center" wrapText="1"/>
    </xf>
    <xf numFmtId="0" fontId="14" fillId="0" borderId="13" xfId="0" applyFont="1" applyBorder="1" applyAlignment="1">
      <alignment horizontal="center" wrapText="1"/>
    </xf>
    <xf numFmtId="0" fontId="14" fillId="0" borderId="18" xfId="0" applyFont="1" applyBorder="1" applyAlignment="1">
      <alignment horizontal="center" wrapText="1"/>
    </xf>
    <xf numFmtId="0" fontId="14" fillId="0" borderId="5" xfId="0" applyFont="1" applyBorder="1" applyAlignment="1">
      <alignment horizontal="center"/>
    </xf>
    <xf numFmtId="0" fontId="14" fillId="0" borderId="3" xfId="0" applyFont="1" applyBorder="1" applyAlignment="1">
      <alignment horizont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165" fontId="16" fillId="0" borderId="5" xfId="0" applyNumberFormat="1" applyFont="1" applyBorder="1" applyAlignment="1">
      <alignment horizontal="center" vertical="center"/>
    </xf>
    <xf numFmtId="165" fontId="16" fillId="0" borderId="3" xfId="0" applyNumberFormat="1" applyFont="1" applyBorder="1" applyAlignment="1">
      <alignment horizontal="center" vertical="center"/>
    </xf>
    <xf numFmtId="0" fontId="14" fillId="0" borderId="13" xfId="0" applyFont="1" applyBorder="1" applyAlignment="1">
      <alignment horizontal="center" vertical="top" wrapText="1"/>
    </xf>
    <xf numFmtId="0" fontId="14" fillId="0" borderId="16" xfId="0" applyFont="1" applyBorder="1" applyAlignment="1">
      <alignment horizontal="center" vertical="top" wrapText="1"/>
    </xf>
    <xf numFmtId="0" fontId="16" fillId="0" borderId="1" xfId="0" applyFont="1" applyBorder="1" applyAlignment="1">
      <alignment vertical="center"/>
    </xf>
    <xf numFmtId="0" fontId="16" fillId="0" borderId="14" xfId="0" applyFont="1" applyBorder="1" applyAlignment="1">
      <alignment vertical="center"/>
    </xf>
    <xf numFmtId="0" fontId="16" fillId="0" borderId="1" xfId="0" applyFont="1" applyBorder="1" applyAlignment="1">
      <alignment vertical="center" wrapText="1"/>
    </xf>
    <xf numFmtId="0" fontId="16" fillId="0" borderId="14" xfId="0" applyFont="1" applyBorder="1" applyAlignment="1">
      <alignment vertical="center" wrapText="1"/>
    </xf>
    <xf numFmtId="0" fontId="14" fillId="0" borderId="20" xfId="0" applyFont="1" applyBorder="1" applyAlignment="1">
      <alignment horizontal="center" wrapText="1"/>
    </xf>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xfId="21"/>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i="0" u="sng">
              <a:solidFill>
                <a:schemeClr val="dk1"/>
              </a:solidFill>
              <a:effectLst/>
              <a:latin typeface="+mn-lt"/>
              <a:ea typeface="+mn-ea"/>
              <a:cs typeface="+mn-cs"/>
            </a:rPr>
            <a:t>Raw</a:t>
          </a:r>
          <a:r>
            <a:rPr lang="en-GB" sz="1000" b="1" i="0" u="sng" baseline="0">
              <a:solidFill>
                <a:schemeClr val="dk1"/>
              </a:solidFill>
              <a:effectLst/>
              <a:latin typeface="+mn-lt"/>
              <a:ea typeface="+mn-ea"/>
              <a:cs typeface="+mn-cs"/>
            </a:rPr>
            <a:t> water deterioration </a:t>
          </a:r>
          <a:r>
            <a:rPr lang="en-GB" sz="1000" b="1" i="0" u="sng">
              <a:solidFill>
                <a:schemeClr val="dk1"/>
              </a:solidFill>
              <a:effectLst/>
              <a:latin typeface="+mn-lt"/>
              <a:ea typeface="+mn-ea"/>
              <a:cs typeface="+mn-cs"/>
            </a:rPr>
            <a:t>enhancement feeder model</a:t>
          </a:r>
          <a:endParaRPr lang="en-GB" sz="10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 </a:t>
          </a:r>
          <a:endParaRPr lang="en-GB" sz="1000">
            <a:effectLst/>
          </a:endParaRPr>
        </a:p>
        <a:p>
          <a:r>
            <a:rPr lang="en-GB" sz="1100">
              <a:solidFill>
                <a:schemeClr val="dk1"/>
              </a:solidFill>
              <a:effectLst/>
              <a:latin typeface="+mn-lt"/>
              <a:ea typeface="+mn-ea"/>
              <a:cs typeface="+mn-cs"/>
            </a:rPr>
            <a:t>To assess enhancement capex expenditure submitted by companies in their PR19 business plan submissions for raw water deterioration enhancements.</a:t>
          </a:r>
          <a:endParaRPr lang="en-GB" sz="10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endParaRPr lang="en-GB" sz="1000">
            <a:effectLst/>
          </a:endParaRPr>
        </a:p>
        <a:p>
          <a:pPr rtl="0" fontAlgn="base"/>
          <a:r>
            <a:rPr lang="en-GB" sz="1100" b="0" i="0">
              <a:solidFill>
                <a:schemeClr val="dk1"/>
              </a:solidFill>
              <a:effectLst/>
              <a:latin typeface="+mn-lt"/>
              <a:ea typeface="+mn-ea"/>
              <a:cs typeface="+mn-cs"/>
            </a:rPr>
            <a:t>We assess these costs using our shallow and deep dive process. In our assessment we look for evidence of Drinking Water Inspectorate support for schemes. We are not able to produce a reliable unit cost model and so we assess costs at a scheme level while recognising the individual nature of schemes. We look for evidence of the scale of flow to be treated and the nature of the treatment.</a:t>
          </a:r>
          <a:endParaRPr lang="en-US" b="0" i="0">
            <a:effectLst/>
          </a:endParaRPr>
        </a:p>
        <a:p>
          <a:endParaRPr lang="en-GB" sz="10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34767</xdr:rowOff>
    </xdr:from>
    <xdr:to>
      <xdr:col>4</xdr:col>
      <xdr:colOff>15240</xdr:colOff>
      <xdr:row>29</xdr:row>
      <xdr:rowOff>120650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76449" y="9820117"/>
          <a:ext cx="8550991" cy="251158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a:effectLst/>
          </a:endParaRPr>
        </a:p>
        <a:p>
          <a:pPr eaLnBrk="1" fontAlgn="auto" latinLnBrk="0" hangingPunct="1"/>
          <a:r>
            <a:rPr lang="en-GB" sz="1100" i="0">
              <a:solidFill>
                <a:schemeClr val="dk1"/>
              </a:solidFill>
              <a:effectLst/>
              <a:latin typeface="+mn-lt"/>
              <a:ea typeface="+mn-ea"/>
              <a:cs typeface="+mn-cs"/>
            </a:rPr>
            <a:t>PRT states: "Three Water Quality improvement schemes have triggered from the Company Drinking Water Safety Plans.  These include the provision of additional treatment capability at Maindell (£1,186k) and Funtington (£2,872k) to address cryptosporidium concerns.  The provision of blending capability at Lovedean of the Nelson with Lovedean water to alleviate increasing season nitrate levels at Lovedean (£1,717k)". [WS2 Table Commentary].</a:t>
          </a:r>
          <a:r>
            <a:rPr lang="en-GB" sz="1100" i="0" baseline="0">
              <a:solidFill>
                <a:schemeClr val="dk1"/>
              </a:solidFill>
              <a:effectLst/>
              <a:latin typeface="+mn-lt"/>
              <a:ea typeface="+mn-ea"/>
              <a:cs typeface="+mn-cs"/>
            </a:rPr>
            <a:t> Summary information from the DWI correspondence is : </a:t>
          </a:r>
          <a:endParaRPr lang="en-GB" i="0">
            <a:effectLst/>
          </a:endParaRPr>
        </a:p>
        <a:p>
          <a:r>
            <a:rPr lang="en-GB" sz="1100" i="0">
              <a:solidFill>
                <a:schemeClr val="dk1"/>
              </a:solidFill>
              <a:effectLst/>
              <a:latin typeface="+mn-lt"/>
              <a:ea typeface="+mn-ea"/>
              <a:cs typeface="+mn-cs"/>
            </a:rPr>
            <a:t>* DWI Letter</a:t>
          </a:r>
          <a:r>
            <a:rPr lang="en-GB" sz="1100" i="0" baseline="0">
              <a:solidFill>
                <a:schemeClr val="dk1"/>
              </a:solidFill>
              <a:effectLst/>
              <a:latin typeface="+mn-lt"/>
              <a:ea typeface="+mn-ea"/>
              <a:cs typeface="+mn-cs"/>
            </a:rPr>
            <a:t> of Support </a:t>
          </a:r>
          <a:r>
            <a:rPr lang="en-GB" sz="1100" b="0" i="0" baseline="0">
              <a:solidFill>
                <a:schemeClr val="dk1"/>
              </a:solidFill>
              <a:effectLst/>
              <a:latin typeface="+mn-lt"/>
              <a:ea typeface="+mn-ea"/>
              <a:cs typeface="+mn-cs"/>
            </a:rPr>
            <a:t>Maindell - Cryptosporidium - New borehole run to waste line. 2 UV reactors with all operational auxiliary equipment housed in a new permanent building. Glass trap and disposal facilities. Interconnecting pipework and valves. Site grounds upgrades. Site power upgrade of 20kW. Estimated capex £k1.170m.</a:t>
          </a:r>
          <a:endParaRPr lang="en-GB" i="0">
            <a:effectLst/>
          </a:endParaRPr>
        </a:p>
        <a:p>
          <a:r>
            <a:rPr lang="en-GB" sz="1100" b="0" i="0" baseline="0">
              <a:solidFill>
                <a:schemeClr val="dk1"/>
              </a:solidFill>
              <a:effectLst/>
              <a:latin typeface="+mn-lt"/>
              <a:ea typeface="+mn-ea"/>
              <a:cs typeface="+mn-cs"/>
            </a:rPr>
            <a:t>* Lovedean WTW – Nitrate DWI Commend for Support</a:t>
          </a:r>
          <a:endParaRPr lang="en-GB" i="0">
            <a:effectLst/>
          </a:endParaRPr>
        </a:p>
        <a:p>
          <a:r>
            <a:rPr lang="en-GB" sz="1100" b="0" i="0" baseline="0">
              <a:solidFill>
                <a:schemeClr val="dk1"/>
              </a:solidFill>
              <a:effectLst/>
              <a:latin typeface="+mn-lt"/>
              <a:ea typeface="+mn-ea"/>
              <a:cs typeface="+mn-cs"/>
            </a:rPr>
            <a:t>* Funtington WTW - DWI Reg 28 Notice disinfection failure dated October 17</a:t>
          </a:r>
          <a:endParaRPr lang="en-GB" i="0">
            <a:effectLst/>
          </a:endParaRPr>
        </a:p>
        <a:p>
          <a:r>
            <a:rPr lang="en-GB" sz="1100" b="0" i="0" baseline="0">
              <a:solidFill>
                <a:schemeClr val="dk1"/>
              </a:solidFill>
              <a:effectLst/>
              <a:latin typeface="+mn-lt"/>
              <a:ea typeface="+mn-ea"/>
              <a:cs typeface="+mn-cs"/>
            </a:rPr>
            <a:t>  </a:t>
          </a:r>
          <a:endParaRPr lang="en-GB" i="0">
            <a:effectLst/>
          </a:endParaRPr>
        </a:p>
        <a:p>
          <a:r>
            <a:rPr lang="en-GB" sz="1100" b="0" i="0" baseline="0">
              <a:solidFill>
                <a:schemeClr val="dk1"/>
              </a:solidFill>
              <a:effectLst/>
              <a:latin typeface="+mn-lt"/>
              <a:ea typeface="+mn-ea"/>
              <a:cs typeface="+mn-cs"/>
            </a:rPr>
            <a:t>	</a:t>
          </a:r>
          <a:endParaRPr lang="en-GB" i="0">
            <a:effectLst/>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	</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34767</xdr:rowOff>
    </xdr:from>
    <xdr:to>
      <xdr:col>4</xdr:col>
      <xdr:colOff>15240</xdr:colOff>
      <xdr:row>35</xdr:row>
      <xdr:rowOff>114300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76449" y="7337267"/>
          <a:ext cx="8550991" cy="310213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a:t>
          </a:r>
        </a:p>
        <a:p>
          <a:endParaRPr lang="en-GB" sz="1100" b="1"/>
        </a:p>
        <a:p>
          <a:r>
            <a:rPr lang="en-GB" sz="1100" b="1"/>
            <a:t>* </a:t>
          </a:r>
          <a:r>
            <a:rPr lang="en-GB" sz="1100" b="0" i="0" u="none" strike="noStrike" baseline="0" smtClean="0">
              <a:solidFill>
                <a:schemeClr val="dk1"/>
              </a:solidFill>
              <a:latin typeface="+mn-lt"/>
              <a:ea typeface="+mn-ea"/>
              <a:cs typeface="+mn-cs"/>
            </a:rPr>
            <a:t>College Avenue – Chromium 	- To install treatment facilities to reduce chromium concentrations in the treated water </a:t>
          </a:r>
          <a:r>
            <a:rPr lang="en-GB" sz="1100" b="1" i="0" u="none" strike="noStrike" baseline="0" smtClean="0">
              <a:solidFill>
                <a:schemeClr val="dk1"/>
              </a:solidFill>
              <a:latin typeface="+mn-lt"/>
              <a:ea typeface="+mn-ea"/>
              <a:cs typeface="+mn-cs"/>
            </a:rPr>
            <a:t>Estimated cost: </a:t>
          </a:r>
          <a:r>
            <a:rPr lang="en-GB" sz="1100" b="0" i="0" u="none" strike="noStrike" baseline="0" smtClean="0">
              <a:solidFill>
                <a:schemeClr val="dk1"/>
              </a:solidFill>
              <a:latin typeface="+mn-lt"/>
              <a:ea typeface="+mn-ea"/>
              <a:cs typeface="+mn-cs"/>
            </a:rPr>
            <a:t>Coagulation and filtration TOTEX: £15,250,847  Ion Exchange  TOTEX: £13,420,713. DWI Support</a:t>
          </a:r>
        </a:p>
        <a:p>
          <a:r>
            <a:rPr lang="en-GB" sz="1100" b="0" i="0" u="none" strike="noStrike" baseline="0" smtClean="0">
              <a:solidFill>
                <a:schemeClr val="dk1"/>
              </a:solidFill>
              <a:latin typeface="+mn-lt"/>
              <a:ea typeface="+mn-ea"/>
              <a:cs typeface="+mn-cs"/>
            </a:rPr>
            <a:t> 	</a:t>
          </a:r>
        </a:p>
        <a:p>
          <a:r>
            <a:rPr lang="en-GB" sz="1100" b="0" i="0" u="none" strike="noStrike" baseline="0" smtClean="0">
              <a:solidFill>
                <a:schemeClr val="dk1"/>
              </a:solidFill>
              <a:latin typeface="+mn-lt"/>
              <a:ea typeface="+mn-ea"/>
              <a:cs typeface="+mn-cs"/>
            </a:rPr>
            <a:t>* Woodgarston </a:t>
          </a:r>
          <a:r>
            <a:rPr lang="en-GB" sz="1100" b="1" i="0" u="none" strike="noStrike" baseline="0" smtClean="0">
              <a:solidFill>
                <a:schemeClr val="dk1"/>
              </a:solidFill>
              <a:latin typeface="+mn-lt"/>
              <a:ea typeface="+mn-ea"/>
              <a:cs typeface="+mn-cs"/>
            </a:rPr>
            <a:t>– </a:t>
          </a:r>
          <a:r>
            <a:rPr lang="en-GB" sz="1100" b="0" i="0" u="none" strike="noStrike" baseline="0" smtClean="0">
              <a:solidFill>
                <a:schemeClr val="dk1"/>
              </a:solidFill>
              <a:latin typeface="+mn-lt"/>
              <a:ea typeface="+mn-ea"/>
              <a:cs typeface="+mn-cs"/>
            </a:rPr>
            <a:t>Nitrate  - Provision of nitrate removal treatment at Woodgarston to secure or facilitate compliance with the nitrate standard for drinking water quality reasons. 	- Estimated capital costs: £3.1m DWI  Support</a:t>
          </a:r>
        </a:p>
        <a:p>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No evidence found </a:t>
          </a:r>
          <a:r>
            <a:rPr lang="en-GB" sz="1100" b="0" i="0" baseline="0">
              <a:solidFill>
                <a:schemeClr val="dk1"/>
              </a:solidFill>
              <a:effectLst/>
              <a:latin typeface="+mn-lt"/>
              <a:ea typeface="+mn-ea"/>
              <a:cs typeface="+mn-cs"/>
            </a:rPr>
            <a:t> [e.g. size of flows to be treated, detail in project descriptions ]. This information  would inform our assessment.</a:t>
          </a:r>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34767</xdr:rowOff>
    </xdr:from>
    <xdr:to>
      <xdr:col>4</xdr:col>
      <xdr:colOff>15240</xdr:colOff>
      <xdr:row>34</xdr:row>
      <xdr:rowOff>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72216" y="11729350"/>
          <a:ext cx="9971274" cy="190198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Kinver-Cookley </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Nitrate - Install and operate an Ion exchange treatment facility at Kinver-Cookley in order to reduce the risks of breaching the Nitrate standard within the connected supply zones.  - Estimated capital costs: £3.5m [DWI letter]  DWI Supported</a:t>
          </a:r>
        </a:p>
        <a:p>
          <a:r>
            <a:rPr lang="en-GB" sz="1100">
              <a:solidFill>
                <a:schemeClr val="dk1"/>
              </a:solidFill>
              <a:effectLst/>
              <a:latin typeface="+mn-lt"/>
              <a:ea typeface="+mn-ea"/>
              <a:cs typeface="+mn-cs"/>
            </a:rPr>
            <a:t>*  Ashwood WTW  -  provide Ion exchange treatment solutions for increasing resilience (by reducing nitrate &amp; chlorthal) in water - Estimated value ? - DWI commend for support</a:t>
          </a:r>
        </a:p>
        <a:p>
          <a:r>
            <a:rPr lang="en-GB" sz="1100">
              <a:solidFill>
                <a:schemeClr val="dk1"/>
              </a:solidFill>
              <a:effectLst/>
              <a:latin typeface="+mn-lt"/>
              <a:ea typeface="+mn-ea"/>
              <a:cs typeface="+mn-cs"/>
            </a:rPr>
            <a:t>* Somerford - Slade Heath - We find no evidence of DWI support.</a:t>
          </a:r>
        </a:p>
        <a:p>
          <a:r>
            <a:rPr lang="en-GB" sz="1100">
              <a:solidFill>
                <a:schemeClr val="dk1"/>
              </a:solidFill>
              <a:effectLst/>
              <a:latin typeface="+mn-lt"/>
              <a:ea typeface="+mn-ea"/>
              <a:cs typeface="+mn-cs"/>
            </a:rPr>
            <a:t>SSC has identified customer WTP for safe water this is also a regulatory requirement. However we find insufficient data to demonstrate risk of failure to achieve drinking water standards at Slade Heath. We find conflicting cost information for the 3 schemes and limited evidence for discounting alternative treatment options.</a:t>
          </a: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endParaRPr lang="en-GB" sz="1100" b="1"/>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17</xdr:col>
      <xdr:colOff>484187</xdr:colOff>
      <xdr:row>5</xdr:row>
      <xdr:rowOff>384969</xdr:rowOff>
    </xdr:from>
    <xdr:ext cx="5107782" cy="1125693"/>
    <xdr:sp macro="" textlink="">
      <xdr:nvSpPr>
        <xdr:cNvPr id="2" name="TextBox 1">
          <a:extLst>
            <a:ext uri="{FF2B5EF4-FFF2-40B4-BE49-F238E27FC236}">
              <a16:creationId xmlns:a16="http://schemas.microsoft.com/office/drawing/2014/main" xmlns="" id="{00000000-0008-0000-0400-000005000000}"/>
            </a:ext>
          </a:extLst>
        </xdr:cNvPr>
        <xdr:cNvSpPr txBox="1"/>
      </xdr:nvSpPr>
      <xdr:spPr>
        <a:xfrm>
          <a:off x="12239625" y="1321594"/>
          <a:ext cx="5107782"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Summary</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dk1"/>
              </a:solidFill>
              <a:latin typeface="+mn-lt"/>
              <a:ea typeface="+mn-ea"/>
              <a:cs typeface="+mn-cs"/>
            </a:rPr>
            <a:t>* 14 Companies submitted * material * potential overlap with Taste Odour Colour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dk1"/>
              </a:solidFill>
              <a:latin typeface="+mn-lt"/>
              <a:ea typeface="+mn-ea"/>
              <a:cs typeface="+mn-cs"/>
            </a:rPr>
            <a:t>* alternates of blending and catchment management to addtional or upgraded treatment processes.</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dk1"/>
              </a:solidFill>
              <a:latin typeface="+mn-lt"/>
              <a:ea typeface="+mn-ea"/>
              <a:cs typeface="+mn-cs"/>
            </a:rPr>
            <a:t>* time lag in catchment management - therefore other options likely to be needed for short medium term</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52</xdr:row>
      <xdr:rowOff>0</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2858" y="905422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76200</xdr:colOff>
      <xdr:row>66</xdr:row>
      <xdr:rowOff>9525</xdr:rowOff>
    </xdr:from>
    <xdr:to>
      <xdr:col>11</xdr:col>
      <xdr:colOff>0</xdr:colOff>
      <xdr:row>79</xdr:row>
      <xdr:rowOff>114298</xdr:rowOff>
    </xdr:to>
    <xdr:sp macro="" textlink="">
      <xdr:nvSpPr>
        <xdr:cNvPr id="4" name="TextBox 3">
          <a:extLst>
            <a:ext uri="{FF2B5EF4-FFF2-40B4-BE49-F238E27FC236}">
              <a16:creationId xmlns:a16="http://schemas.microsoft.com/office/drawing/2014/main" xmlns="" id="{00000000-0008-0000-0400-000006000000}"/>
            </a:ext>
          </a:extLst>
        </xdr:cNvPr>
        <xdr:cNvSpPr txBox="1"/>
      </xdr:nvSpPr>
      <xdr:spPr>
        <a:xfrm>
          <a:off x="220980" y="12292965"/>
          <a:ext cx="9555481" cy="28784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Good examples of</a:t>
          </a:r>
          <a:r>
            <a:rPr lang="en-GB" sz="1100" b="1" baseline="0"/>
            <a:t> exceptional status</a:t>
          </a:r>
        </a:p>
        <a:p>
          <a:endParaRPr lang="en-GB" sz="1100" b="1"/>
        </a:p>
        <a:p>
          <a:r>
            <a:rPr lang="en-GB" sz="1100"/>
            <a:t>[PURPOSE</a:t>
          </a:r>
          <a:r>
            <a:rPr lang="en-GB" sz="1100" baseline="0"/>
            <a:t> OF THIS BOX: </a:t>
          </a:r>
          <a:r>
            <a:rPr lang="en-GB" sz="1100"/>
            <a:t>This box is intended</a:t>
          </a:r>
          <a:r>
            <a:rPr lang="en-GB" sz="1100" baseline="0"/>
            <a:t> to capture good examples of exceptional status. These examples do not affect the assessment of the claim. They are intended to be used to illustrate good practice as and when needed, e.g. in papers to the board. </a:t>
          </a:r>
          <a:endParaRPr lang="en-GB" sz="1100"/>
        </a:p>
        <a:p>
          <a:r>
            <a:rPr lang="en-GB" sz="1100">
              <a:solidFill>
                <a:schemeClr val="dk1"/>
              </a:solidFill>
              <a:effectLst/>
              <a:latin typeface="+mn-lt"/>
              <a:ea typeface="+mn-ea"/>
              <a:cs typeface="+mn-cs"/>
            </a:rPr>
            <a:t>Please capture here any evidence</a:t>
          </a:r>
          <a:r>
            <a:rPr lang="en-GB" sz="1100" baseline="0">
              <a:solidFill>
                <a:schemeClr val="dk1"/>
              </a:solidFill>
              <a:effectLst/>
              <a:latin typeface="+mn-lt"/>
              <a:ea typeface="+mn-ea"/>
              <a:cs typeface="+mn-cs"/>
            </a:rPr>
            <a:t> of</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Ambition</a:t>
          </a:r>
        </a:p>
        <a:p>
          <a:r>
            <a:rPr lang="en-GB" sz="1100" baseline="0">
              <a:solidFill>
                <a:schemeClr val="dk1"/>
              </a:solidFill>
              <a:effectLst/>
              <a:latin typeface="+mn-lt"/>
              <a:ea typeface="+mn-ea"/>
              <a:cs typeface="+mn-cs"/>
            </a:rPr>
            <a:t>- Innovation</a:t>
          </a:r>
        </a:p>
        <a:p>
          <a:r>
            <a:rPr lang="en-GB" sz="1100">
              <a:solidFill>
                <a:schemeClr val="dk1"/>
              </a:solidFill>
              <a:effectLst/>
              <a:latin typeface="+mn-lt"/>
              <a:ea typeface="+mn-ea"/>
              <a:cs typeface="+mn-cs"/>
            </a:rPr>
            <a:t>- Great customer service</a:t>
          </a:r>
        </a:p>
        <a:p>
          <a:r>
            <a:rPr lang="en-GB" sz="1100">
              <a:solidFill>
                <a:schemeClr val="dk1"/>
              </a:solidFill>
              <a:effectLst/>
              <a:latin typeface="+mn-lt"/>
              <a:ea typeface="+mn-ea"/>
              <a:cs typeface="+mn-cs"/>
            </a:rPr>
            <a:t>- R</a:t>
          </a:r>
          <a:r>
            <a:rPr lang="en-GB" sz="1100" baseline="0">
              <a:solidFill>
                <a:schemeClr val="dk1"/>
              </a:solidFill>
              <a:effectLst/>
              <a:latin typeface="+mn-lt"/>
              <a:ea typeface="+mn-ea"/>
              <a:cs typeface="+mn-cs"/>
            </a:rPr>
            <a:t>esilience</a:t>
          </a:r>
        </a:p>
        <a:p>
          <a:r>
            <a:rPr lang="en-GB" sz="1100" baseline="0">
              <a:solidFill>
                <a:schemeClr val="dk1"/>
              </a:solidFill>
              <a:effectLst/>
              <a:latin typeface="+mn-lt"/>
              <a:ea typeface="+mn-ea"/>
              <a:cs typeface="+mn-cs"/>
            </a:rPr>
            <a:t>- Symmetrical approach </a:t>
          </a:r>
          <a:r>
            <a:rPr lang="en-GB" sz="1100">
              <a:solidFill>
                <a:schemeClr val="dk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29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4128" y="13157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22067</xdr:rowOff>
    </xdr:from>
    <xdr:to>
      <xdr:col>4</xdr:col>
      <xdr:colOff>15240</xdr:colOff>
      <xdr:row>35</xdr:row>
      <xdr:rowOff>114300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70099" y="8931117"/>
          <a:ext cx="8557341" cy="273383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Further evidence is required to justify the need for an allowance for these projects. Particularly DWI support, evidence of  deterioration in  water quality, the scale and scope of the projects, optioneering and a build up of costs.</a:t>
          </a:r>
        </a:p>
        <a:p>
          <a:r>
            <a:rPr lang="en-GB" sz="1100">
              <a:solidFill>
                <a:schemeClr val="dk1"/>
              </a:solidFill>
              <a:effectLst/>
              <a:latin typeface="+mn-lt"/>
              <a:ea typeface="+mn-ea"/>
              <a:cs typeface="+mn-cs"/>
            </a:rPr>
            <a:t>DWI Letters for support were found for a number of schemes:  </a:t>
          </a:r>
        </a:p>
        <a:p>
          <a:r>
            <a:rPr lang="en-GB" sz="1100">
              <a:solidFill>
                <a:schemeClr val="dk1"/>
              </a:solidFill>
              <a:effectLst/>
              <a:latin typeface="+mn-lt"/>
              <a:ea typeface="+mn-ea"/>
              <a:cs typeface="+mn-cs"/>
            </a:rPr>
            <a:t>* Reduce the levels of iron, manganese and aluminium in treated water, related to mains sediment and discolouration in the distribution network.  - NNE_ESK2 - £24m - Letter of Support  - relates to TOC.</a:t>
          </a:r>
        </a:p>
        <a:p>
          <a:r>
            <a:rPr lang="en-GB" sz="1100">
              <a:solidFill>
                <a:schemeClr val="dk1"/>
              </a:solidFill>
              <a:effectLst/>
              <a:latin typeface="+mn-lt"/>
              <a:ea typeface="+mn-ea"/>
              <a:cs typeface="+mn-cs"/>
            </a:rPr>
            <a:t>* Construction of new service reservoir at Springwell - NNE_ESK03 Commend for support -  Does not relate to water quality.</a:t>
          </a:r>
        </a:p>
        <a:p>
          <a:r>
            <a:rPr lang="en-GB" sz="1100">
              <a:solidFill>
                <a:schemeClr val="dk1"/>
              </a:solidFill>
              <a:effectLst/>
              <a:latin typeface="+mn-lt"/>
              <a:ea typeface="+mn-ea"/>
              <a:cs typeface="+mn-cs"/>
            </a:rPr>
            <a:t>*reduce the levels of iron and manganese in treated water, supplied via Lartington WTW. - NNE_ESK4 £- 66.85m  - Letter of Support New Water Mains, pipeline condition assessment, WTW optimisation to remove Fe, Mn, Al and turbidity, catchment mnmgt. </a:t>
          </a:r>
        </a:p>
        <a:p>
          <a:r>
            <a:rPr lang="en-GB" sz="1100" b="1">
              <a:solidFill>
                <a:schemeClr val="dk1"/>
              </a:solidFill>
              <a:effectLst/>
              <a:latin typeface="+mn-lt"/>
              <a:ea typeface="+mn-ea"/>
              <a:cs typeface="+mn-cs"/>
            </a:rPr>
            <a:t>Conclusion: There is no evidence of DWI support for the work at Layer [Essex &amp; Suffolk area] Although Lartington can use similar raw water to Mosswod, the work at Lartington is driven by Taste Odour Colour not Crypto/ Raw water deterioration. No evidence of DWI support for these schemes has been found.</a:t>
          </a:r>
          <a:endParaRPr lang="en-GB"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11349</xdr:colOff>
      <xdr:row>22</xdr:row>
      <xdr:rowOff>91917</xdr:rowOff>
    </xdr:from>
    <xdr:to>
      <xdr:col>4</xdr:col>
      <xdr:colOff>584200</xdr:colOff>
      <xdr:row>34</xdr:row>
      <xdr:rowOff>330200</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63749" y="17224217"/>
          <a:ext cx="9932751" cy="407368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a:effectLst/>
          </a:endParaRPr>
        </a:p>
        <a:p>
          <a:r>
            <a:rPr lang="en-GB" sz="1100">
              <a:solidFill>
                <a:schemeClr val="dk1"/>
              </a:solidFill>
              <a:effectLst/>
              <a:latin typeface="+mn-lt"/>
              <a:ea typeface="+mn-ea"/>
              <a:cs typeface="+mn-cs"/>
            </a:rPr>
            <a:t>[BP Table Commentary</a:t>
          </a:r>
          <a:r>
            <a:rPr lang="en-GB" sz="1100" baseline="0">
              <a:solidFill>
                <a:schemeClr val="dk1"/>
              </a:solidFill>
              <a:effectLst/>
              <a:latin typeface="+mn-lt"/>
              <a:ea typeface="+mn-ea"/>
              <a:cs typeface="+mn-cs"/>
            </a:rPr>
            <a:t> P63] identifies achieving compliance with nitrate standards is the reasons for spend allocated to this line [W</a:t>
          </a:r>
          <a:r>
            <a:rPr lang="en-GB" sz="1100" b="0" i="0" baseline="0">
              <a:solidFill>
                <a:schemeClr val="dk1"/>
              </a:solidFill>
              <a:effectLst/>
              <a:latin typeface="+mn-lt"/>
              <a:ea typeface="+mn-ea"/>
              <a:cs typeface="+mn-cs"/>
            </a:rPr>
            <a:t>holesale Water TA.11.WN02 Business Case - Nitrate.]   There are a  number of DWI   letters of support and these have been mapped to the  schemes proposed by SRN  - see column J- U of this worksheet.</a:t>
          </a:r>
          <a:endParaRPr lang="en-GB">
            <a:effectLst/>
          </a:endParaRPr>
        </a:p>
        <a:p>
          <a:r>
            <a:rPr lang="en-GB" sz="1100" b="0" i="0" baseline="0">
              <a:solidFill>
                <a:schemeClr val="dk1"/>
              </a:solidFill>
              <a:effectLst/>
              <a:latin typeface="+mn-lt"/>
              <a:ea typeface="+mn-ea"/>
              <a:cs typeface="+mn-cs"/>
            </a:rPr>
            <a:t> The scheme names from the DWI letters are: * Brighton New Works - Nitrate, * Brighton Patcham – Nitrate and sufficiency , * Twyford - Nitrate , * Mid Thanet - Nitrate ,  * North Thanet - Nitrate ,* South Thanet - Nitrate ,* Timsbury, * Worthing Madehurst – Nitrate, *Patching - Nitrate.</a:t>
          </a:r>
          <a:endParaRPr lang="en-GB">
            <a:effectLst/>
          </a:endParaRPr>
        </a:p>
        <a:p>
          <a:r>
            <a:rPr lang="en-GB" sz="1100" b="0" i="0" baseline="0">
              <a:solidFill>
                <a:schemeClr val="dk1"/>
              </a:solidFill>
              <a:effectLst/>
              <a:latin typeface="+mn-lt"/>
              <a:ea typeface="+mn-ea"/>
              <a:cs typeface="+mn-cs"/>
            </a:rPr>
            <a:t> </a:t>
          </a:r>
          <a:endParaRPr lang="en-GB">
            <a:effectLst/>
          </a:endParaRPr>
        </a:p>
        <a:p>
          <a:r>
            <a:rPr lang="en-GB" sz="1100" b="0" i="0" baseline="0">
              <a:solidFill>
                <a:schemeClr val="dk1"/>
              </a:solidFill>
              <a:effectLst/>
              <a:latin typeface="+mn-lt"/>
              <a:ea typeface="+mn-ea"/>
              <a:cs typeface="+mn-cs"/>
            </a:rPr>
            <a:t> </a:t>
          </a:r>
          <a:endParaRPr lang="en-GB">
            <a:effectLst/>
          </a:endParaRPr>
        </a:p>
        <a:p>
          <a:r>
            <a:rPr lang="en-GB" sz="1100" b="0" i="0" baseline="0">
              <a:solidFill>
                <a:schemeClr val="dk1"/>
              </a:solidFill>
              <a:effectLst/>
              <a:latin typeface="+mn-lt"/>
              <a:ea typeface="+mn-ea"/>
              <a:cs typeface="+mn-cs"/>
            </a:rPr>
            <a:t>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solidFill>
              <a:sysClr val="windowText" lastClr="000000"/>
            </a:solidFill>
            <a:effectLst/>
          </a:endParaRPr>
        </a:p>
        <a:p>
          <a:endParaRPr lang="en-GB" sz="1100" b="0" i="0" u="none" strike="noStrike" baseline="0" smtClean="0">
            <a:solidFill>
              <a:sysClr val="windowText" lastClr="000000"/>
            </a:solidFill>
            <a:latin typeface="+mn-lt"/>
            <a:ea typeface="+mn-ea"/>
            <a:cs typeface="+mn-cs"/>
          </a:endParaRPr>
        </a:p>
        <a:p>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 </a:t>
          </a:r>
        </a:p>
        <a:p>
          <a:r>
            <a:rPr lang="en-GB" sz="1100" b="0" i="0" u="none" strike="noStrike" baseline="0" smtClean="0">
              <a:solidFill>
                <a:schemeClr val="dk1"/>
              </a:solidFill>
              <a:latin typeface="+mn-lt"/>
              <a:ea typeface="+mn-ea"/>
              <a:cs typeface="+mn-cs"/>
            </a:rPr>
            <a:t>	</a:t>
          </a:r>
        </a:p>
        <a:p>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dk1"/>
              </a:solidFill>
              <a:latin typeface="+mn-lt"/>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137158</xdr:colOff>
      <xdr:row>20</xdr:row>
      <xdr:rowOff>183595</xdr:rowOff>
    </xdr:from>
    <xdr:ext cx="8742285" cy="953466"/>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37158" y="19559033"/>
          <a:ext cx="8742285"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a:t>
          </a:r>
        </a:p>
        <a:p>
          <a:r>
            <a:rPr lang="en-GB" sz="1100" b="0">
              <a:solidFill>
                <a:schemeClr val="dk1"/>
              </a:solidFill>
              <a:effectLst/>
              <a:latin typeface="+mn-lt"/>
              <a:ea typeface="+mn-ea"/>
              <a:cs typeface="+mn-cs"/>
            </a:rPr>
            <a:t>Schemes are scheduled on this deep Dive Analysis</a:t>
          </a:r>
          <a:r>
            <a:rPr lang="en-GB" sz="1100" b="0" baseline="0">
              <a:solidFill>
                <a:schemeClr val="dk1"/>
              </a:solidFill>
              <a:effectLst/>
              <a:latin typeface="+mn-lt"/>
              <a:ea typeface="+mn-ea"/>
              <a:cs typeface="+mn-cs"/>
            </a:rPr>
            <a:t> tab. No evidence of the DO from each WTW found. DWI Support or commend for support found for all schemes except for Newent and Epperstone which the DWI do not support. No further evidence to explain drivers for Overton Scar [DWI commend for support] found </a:t>
          </a:r>
          <a:endParaRPr lang="en-GB">
            <a:effectLst/>
          </a:endParaRPr>
        </a:p>
        <a:p>
          <a:r>
            <a:rPr lang="en-GB" sz="1100" b="0" i="0" baseline="0">
              <a:solidFill>
                <a:schemeClr val="dk1"/>
              </a:solidFill>
              <a:effectLst/>
              <a:latin typeface="+mn-lt"/>
              <a:ea typeface="+mn-ea"/>
              <a:cs typeface="+mn-cs"/>
            </a:rPr>
            <a:t>	</a:t>
          </a:r>
          <a:endParaRPr lang="en-GB">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34767</xdr:rowOff>
    </xdr:from>
    <xdr:to>
      <xdr:col>4</xdr:col>
      <xdr:colOff>15240</xdr:colOff>
      <xdr:row>33</xdr:row>
      <xdr:rowOff>154781</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66924" y="11464767"/>
          <a:ext cx="8837535" cy="197738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p>
        <a:p>
          <a:r>
            <a:rPr lang="en-GB" sz="1100">
              <a:solidFill>
                <a:schemeClr val="dk1"/>
              </a:solidFill>
              <a:effectLst/>
              <a:latin typeface="+mn-lt"/>
              <a:ea typeface="+mn-ea"/>
              <a:cs typeface="+mn-cs"/>
            </a:rPr>
            <a:t>The following</a:t>
          </a:r>
          <a:r>
            <a:rPr lang="en-GB" sz="1100" baseline="0">
              <a:solidFill>
                <a:schemeClr val="dk1"/>
              </a:solidFill>
              <a:effectLst/>
              <a:latin typeface="+mn-lt"/>
              <a:ea typeface="+mn-ea"/>
              <a:cs typeface="+mn-cs"/>
            </a:rPr>
            <a:t> scheme descriptions have been taken from the </a:t>
          </a:r>
          <a:r>
            <a:rPr lang="en-GB" sz="1100">
              <a:solidFill>
                <a:schemeClr val="dk1"/>
              </a:solidFill>
              <a:effectLst/>
              <a:latin typeface="+mn-lt"/>
              <a:ea typeface="+mn-ea"/>
              <a:cs typeface="+mn-cs"/>
            </a:rPr>
            <a:t>DWI letters of support:</a:t>
          </a:r>
          <a:endParaRPr lang="en-GB">
            <a:effectLst/>
          </a:endParaRPr>
        </a:p>
        <a:p>
          <a:r>
            <a:rPr lang="en-GB" sz="1100">
              <a:solidFill>
                <a:schemeClr val="dk1"/>
              </a:solidFill>
              <a:effectLst/>
              <a:latin typeface="+mn-lt"/>
              <a:ea typeface="+mn-ea"/>
              <a:cs typeface="+mn-cs"/>
            </a:rPr>
            <a:t>* Fonthill</a:t>
          </a:r>
          <a:r>
            <a:rPr lang="en-GB" sz="1100" baseline="0">
              <a:solidFill>
                <a:schemeClr val="dk1"/>
              </a:solidFill>
              <a:effectLst/>
              <a:latin typeface="+mn-lt"/>
              <a:ea typeface="+mn-ea"/>
              <a:cs typeface="+mn-cs"/>
            </a:rPr>
            <a:t> Bishop - Nitrate Blending - </a:t>
          </a:r>
          <a:r>
            <a:rPr lang="en-GB" sz="1100" b="0" i="0" baseline="0">
              <a:solidFill>
                <a:schemeClr val="dk1"/>
              </a:solidFill>
              <a:effectLst/>
              <a:latin typeface="+mn-lt"/>
              <a:ea typeface="+mn-ea"/>
              <a:cs typeface="+mn-cs"/>
            </a:rPr>
            <a:t>Blending- conversion of the existing system from Fonthill to Littledown into a dedicated high nitrate pipeline for blending at Littledown SR and utilisation within regional grid. The scope of works will be: 6km of 400mm diameter pipeline, major connection detail at East Knoyle and blending arrangement at Littledown including relocation of disinfection from Fonthill. 	</a:t>
          </a:r>
          <a:endParaRPr lang="en-GB">
            <a:effectLst/>
          </a:endParaRPr>
        </a:p>
        <a:p>
          <a:r>
            <a:rPr lang="en-GB" sz="1100">
              <a:solidFill>
                <a:schemeClr val="dk1"/>
              </a:solidFill>
              <a:effectLst/>
              <a:latin typeface="+mn-lt"/>
              <a:ea typeface="+mn-ea"/>
              <a:cs typeface="+mn-cs"/>
            </a:rPr>
            <a:t>* </a:t>
          </a:r>
          <a:r>
            <a:rPr lang="en-GB" sz="1100" b="0" i="0" baseline="0">
              <a:solidFill>
                <a:schemeClr val="dk1"/>
              </a:solidFill>
              <a:effectLst/>
              <a:latin typeface="+mn-lt"/>
              <a:ea typeface="+mn-ea"/>
              <a:cs typeface="+mn-cs"/>
            </a:rPr>
            <a:t>Shapwick / Sturminster Marshal- Nitrate - To construct upgraded blending facilities at Sturminster Marshall. The anticipated works include:</a:t>
          </a:r>
          <a:endParaRPr lang="en-GB">
            <a:effectLst/>
          </a:endParaRPr>
        </a:p>
        <a:p>
          <a:r>
            <a:rPr lang="en-GB" sz="1100" b="0" i="0" baseline="0">
              <a:solidFill>
                <a:schemeClr val="dk1"/>
              </a:solidFill>
              <a:effectLst/>
              <a:latin typeface="+mn-lt"/>
              <a:ea typeface="+mn-ea"/>
              <a:cs typeface="+mn-cs"/>
            </a:rPr>
            <a:t>~ Washout improvements at Shapwick to enable each borehole to be washed out independently </a:t>
          </a:r>
          <a:endParaRPr lang="en-GB">
            <a:effectLst/>
          </a:endParaRPr>
        </a:p>
        <a:p>
          <a:r>
            <a:rPr lang="en-GB" sz="1100" b="0" i="0" baseline="0">
              <a:solidFill>
                <a:schemeClr val="dk1"/>
              </a:solidFill>
              <a:effectLst/>
              <a:latin typeface="+mn-lt"/>
              <a:ea typeface="+mn-ea"/>
              <a:cs typeface="+mn-cs"/>
            </a:rPr>
            <a:t>~ A static mixer to enable the Shapwick/Sturminster flows to be blended in a controlled manner with the inflow from Black Lane </a:t>
          </a:r>
          <a:endParaRPr lang="en-GB">
            <a:effectLst/>
          </a:endParaRPr>
        </a:p>
        <a:p>
          <a:r>
            <a:rPr lang="en-GB" sz="1100" b="0" i="0" baseline="0">
              <a:solidFill>
                <a:schemeClr val="dk1"/>
              </a:solidFill>
              <a:effectLst/>
              <a:latin typeface="+mn-lt"/>
              <a:ea typeface="+mn-ea"/>
              <a:cs typeface="+mn-cs"/>
            </a:rPr>
            <a:t>~ A pump on the outlet of Sturminster Marshall contact tank to enable the two sources to be blended through the static mixed. </a:t>
          </a:r>
          <a:endParaRPr lang="en-GB">
            <a:effectLst/>
          </a:endParaRPr>
        </a:p>
        <a:p>
          <a:r>
            <a:rPr lang="en-GB" sz="1100" b="0" i="0" baseline="0">
              <a:solidFill>
                <a:schemeClr val="dk1"/>
              </a:solidFill>
              <a:effectLst/>
              <a:latin typeface="+mn-lt"/>
              <a:ea typeface="+mn-ea"/>
              <a:cs typeface="+mn-cs"/>
            </a:rPr>
            <a:t>~ Increased nitrate monitoring and control facilities. </a:t>
          </a:r>
          <a:endParaRPr lang="en-GB">
            <a:effectLst/>
          </a:endParaRPr>
        </a:p>
        <a:p>
          <a:r>
            <a:rPr lang="en-GB" sz="1100" b="0" i="0" baseline="0">
              <a:solidFill>
                <a:schemeClr val="dk1"/>
              </a:solidFill>
              <a:effectLst/>
              <a:latin typeface="+mn-lt"/>
              <a:ea typeface="+mn-ea"/>
              <a:cs typeface="+mn-cs"/>
            </a:rPr>
            <a:t>	</a:t>
          </a:r>
          <a:endParaRPr lang="en-GB">
            <a:effectLst/>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r>
            <a:rPr lang="en-GB" sz="1100" b="0" i="0" u="none" strike="noStrike" baseline="0" smtClean="0">
              <a:solidFill>
                <a:schemeClr val="dk1"/>
              </a:solidFill>
              <a:latin typeface="+mn-lt"/>
              <a:ea typeface="+mn-ea"/>
              <a:cs typeface="+mn-cs"/>
            </a:rPr>
            <a:t>	</a:t>
          </a:r>
        </a:p>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24049</xdr:colOff>
      <xdr:row>22</xdr:row>
      <xdr:rowOff>10953</xdr:rowOff>
    </xdr:from>
    <xdr:to>
      <xdr:col>4</xdr:col>
      <xdr:colOff>15240</xdr:colOff>
      <xdr:row>35</xdr:row>
      <xdr:rowOff>84136</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66924" y="16989266"/>
          <a:ext cx="9992441" cy="719312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Further analysis </a:t>
          </a:r>
          <a:endParaRPr lang="en-GB">
            <a:effectLst/>
          </a:endParaRPr>
        </a:p>
        <a:p>
          <a:r>
            <a:rPr lang="en-GB" sz="1100">
              <a:solidFill>
                <a:schemeClr val="dk1"/>
              </a:solidFill>
              <a:effectLst/>
              <a:latin typeface="+mn-lt"/>
              <a:ea typeface="+mn-ea"/>
              <a:cs typeface="+mn-cs"/>
            </a:rPr>
            <a:t>YKY proposes work at an number</a:t>
          </a:r>
          <a:r>
            <a:rPr lang="en-GB" sz="1100" baseline="0">
              <a:solidFill>
                <a:schemeClr val="dk1"/>
              </a:solidFill>
              <a:effectLst/>
              <a:latin typeface="+mn-lt"/>
              <a:ea typeface="+mn-ea"/>
              <a:cs typeface="+mn-cs"/>
            </a:rPr>
            <a:t> of WTW all of which are supported by the </a:t>
          </a:r>
          <a:r>
            <a:rPr lang="en-GB" sz="1100">
              <a:solidFill>
                <a:schemeClr val="dk1"/>
              </a:solidFill>
              <a:effectLst/>
              <a:latin typeface="+mn-lt"/>
              <a:ea typeface="+mn-ea"/>
              <a:cs typeface="+mn-cs"/>
            </a:rPr>
            <a:t>DWI . Summary</a:t>
          </a:r>
          <a:r>
            <a:rPr lang="en-GB" sz="1100" baseline="0">
              <a:solidFill>
                <a:schemeClr val="dk1"/>
              </a:solidFill>
              <a:effectLst/>
              <a:latin typeface="+mn-lt"/>
              <a:ea typeface="+mn-ea"/>
              <a:cs typeface="+mn-cs"/>
            </a:rPr>
            <a:t> details taken from DWI letters is </a:t>
          </a:r>
          <a:r>
            <a:rPr lang="en-GB" sz="1100">
              <a:solidFill>
                <a:schemeClr val="dk1"/>
              </a:solidFill>
              <a:effectLst/>
              <a:latin typeface="+mn-lt"/>
              <a:ea typeface="+mn-ea"/>
              <a:cs typeface="+mn-cs"/>
            </a:rPr>
            <a:t>:</a:t>
          </a:r>
          <a:endParaRPr lang="en-GB">
            <a:effectLst/>
          </a:endParaRPr>
        </a:p>
        <a:p>
          <a:pPr eaLnBrk="1" fontAlgn="auto" latinLnBrk="0" hangingPunct="1"/>
          <a:r>
            <a:rPr lang="en-GB" sz="1100"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Chellow Heights - DBP’s - Provision of treatment facilities at Chellow Heights WTW to reduce the formation of DBP’s - Total cost £23.9 M capex </a:t>
          </a:r>
          <a:endParaRPr lang="en-GB">
            <a:effectLst/>
          </a:endParaRPr>
        </a:p>
        <a:p>
          <a:r>
            <a:rPr lang="en-GB" sz="1100" b="0" i="0" baseline="0">
              <a:solidFill>
                <a:schemeClr val="dk1"/>
              </a:solidFill>
              <a:effectLst/>
              <a:latin typeface="+mn-lt"/>
              <a:ea typeface="+mn-ea"/>
              <a:cs typeface="+mn-cs"/>
            </a:rPr>
            <a:t>* Embsay- DBP’s and Cryptosporidium - Provision of treatment facilities at Embsay WTW to reduce the formation of DBP’s and reduce the risk of Cryptosporidium Estimated Capex £8m</a:t>
          </a:r>
          <a:endParaRPr lang="en-GB">
            <a:effectLst/>
          </a:endParaRPr>
        </a:p>
        <a:p>
          <a:pPr eaLnBrk="1" fontAlgn="auto" latinLnBrk="0" hangingPunct="1"/>
          <a:r>
            <a:rPr lang="en-GB" sz="1100" b="0" i="0" baseline="0">
              <a:solidFill>
                <a:schemeClr val="dk1"/>
              </a:solidFill>
              <a:effectLst/>
              <a:latin typeface="+mn-lt"/>
              <a:ea typeface="+mn-ea"/>
              <a:cs typeface="+mn-cs"/>
            </a:rPr>
            <a:t>*  Fixby - DBP’s 	- Provision of treatment facilities at Fixby WTW to reduce the formation of DBP’s -Total cost £5.6 M capex </a:t>
          </a:r>
          <a:endParaRPr lang="en-GB">
            <a:effectLst/>
          </a:endParaRPr>
        </a:p>
        <a:p>
          <a:r>
            <a:rPr lang="en-GB" sz="1100" b="0" i="0" baseline="0">
              <a:solidFill>
                <a:schemeClr val="dk1"/>
              </a:solidFill>
              <a:effectLst/>
              <a:latin typeface="+mn-lt"/>
              <a:ea typeface="+mn-ea"/>
              <a:cs typeface="+mn-cs"/>
            </a:rPr>
            <a:t>*  Oldfield - DBP’s - Provision of treatment facilities at Oldfield WTW to reduce the formation of DBP’s  -Total cost £6.1 M capex </a:t>
          </a:r>
          <a:endParaRPr lang="en-GB">
            <a:effectLst/>
          </a:endParaRPr>
        </a:p>
        <a:p>
          <a:r>
            <a:rPr lang="en-GB" sz="1100" b="0" i="0" baseline="0">
              <a:solidFill>
                <a:schemeClr val="dk1"/>
              </a:solidFill>
              <a:effectLst/>
              <a:latin typeface="+mn-lt"/>
              <a:ea typeface="+mn-ea"/>
              <a:cs typeface="+mn-cs"/>
            </a:rPr>
            <a:t>* Sladen Valley - DBP’s - Provision of treatment facilities at Sladen Valley WTW to reduce the formation of DBP’s 	-Total cost £14.6 M capex . </a:t>
          </a:r>
          <a:endParaRPr lang="en-GB">
            <a:effectLst/>
          </a:endParaRPr>
        </a:p>
        <a:p>
          <a:r>
            <a:rPr lang="en-GB" sz="1100" b="0" i="0" baseline="0">
              <a:solidFill>
                <a:schemeClr val="dk1"/>
              </a:solidFill>
              <a:effectLst/>
              <a:latin typeface="+mn-lt"/>
              <a:ea typeface="+mn-ea"/>
              <a:cs typeface="+mn-cs"/>
            </a:rPr>
            <a:t>In addition to the above YKY also has a letter of support for </a:t>
          </a:r>
          <a:endParaRPr lang="en-GB">
            <a:effectLst/>
          </a:endParaRPr>
        </a:p>
        <a:p>
          <a:r>
            <a:rPr lang="en-GB" sz="1100" b="0" i="0" baseline="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Tophill Low- Taste, Odour (T&amp;O) and </a:t>
          </a:r>
          <a:r>
            <a:rPr lang="en-GB" sz="1100" b="0" i="1" baseline="0">
              <a:solidFill>
                <a:schemeClr val="dk1"/>
              </a:solidFill>
              <a:effectLst/>
              <a:latin typeface="+mn-lt"/>
              <a:ea typeface="+mn-ea"/>
              <a:cs typeface="+mn-cs"/>
            </a:rPr>
            <a:t>Cryptosporidium - </a:t>
          </a:r>
          <a:r>
            <a:rPr lang="en-GB" sz="1100" b="0" i="0" baseline="0">
              <a:solidFill>
                <a:schemeClr val="dk1"/>
              </a:solidFill>
              <a:effectLst/>
              <a:latin typeface="+mn-lt"/>
              <a:ea typeface="+mn-ea"/>
              <a:cs typeface="+mn-cs"/>
            </a:rPr>
            <a:t>Provision of treatment facilities at Tophill Low WTW to secure compliance with the Taste and Odour drinking water quality standards, and to reduce the risk of </a:t>
          </a:r>
          <a:r>
            <a:rPr lang="en-GB" sz="1100" b="0" i="1" baseline="0">
              <a:solidFill>
                <a:schemeClr val="dk1"/>
              </a:solidFill>
              <a:effectLst/>
              <a:latin typeface="+mn-lt"/>
              <a:ea typeface="+mn-ea"/>
              <a:cs typeface="+mn-cs"/>
            </a:rPr>
            <a:t>Cryptosporidium </a:t>
          </a:r>
          <a:r>
            <a:rPr lang="en-GB" sz="1100" b="0" i="0" baseline="0">
              <a:solidFill>
                <a:schemeClr val="dk1"/>
              </a:solidFill>
              <a:effectLst/>
              <a:latin typeface="+mn-lt"/>
              <a:ea typeface="+mn-ea"/>
              <a:cs typeface="+mn-cs"/>
            </a:rPr>
            <a:t>- Estimated Capex - £16.3m - Although the  need for investment at Tophill is similar to  that for Embsay YKY has elected to  allocate work  at Tophill  to Taste Odour Colour.  We have  retained YKY's allocation. </a:t>
          </a:r>
          <a:endParaRPr lang="en-GB">
            <a:effectLst/>
          </a:endParaRPr>
        </a:p>
        <a:p>
          <a:r>
            <a:rPr lang="en-GB" sz="1100" b="1" i="0" baseline="0">
              <a:solidFill>
                <a:schemeClr val="dk1"/>
              </a:solidFill>
              <a:effectLst/>
              <a:latin typeface="+mn-lt"/>
              <a:ea typeface="+mn-ea"/>
              <a:cs typeface="+mn-cs"/>
            </a:rPr>
            <a:t>Summary: </a:t>
          </a:r>
          <a:r>
            <a:rPr lang="en-GB" sz="1100" b="0" i="0" baseline="0">
              <a:solidFill>
                <a:schemeClr val="dk1"/>
              </a:solidFill>
              <a:effectLst/>
              <a:latin typeface="+mn-lt"/>
              <a:ea typeface="+mn-ea"/>
              <a:cs typeface="+mn-cs"/>
            </a:rPr>
            <a:t>YKY presents evidence that these WTWs are subject to RW deterioration and also records of Taste, odour anc colour complaints in related  supply areas. Options have been considered and proposed work at the WTWs will address both RW and TOC issues. Evidence of consideration of part flow options should be provided.  Also some of these schemes will replace deteriorating assists  replacement work is considered to be base expenditure. </a:t>
          </a:r>
          <a:endParaRPr lang="en-GB">
            <a:effectLst/>
          </a:endParaRPr>
        </a:p>
        <a:p>
          <a:r>
            <a:rPr lang="en-GB" sz="1100" b="0" i="0" baseline="0">
              <a:solidFill>
                <a:schemeClr val="dk1"/>
              </a:solidFill>
              <a:effectLst/>
              <a:latin typeface="+mn-lt"/>
              <a:ea typeface="+mn-ea"/>
              <a:cs typeface="+mn-cs"/>
            </a:rPr>
            <a:t>There is limited information on costs of non preferred options and limited evidence of assurance of cost efficiency. </a:t>
          </a:r>
          <a:endParaRPr lang="en-GB">
            <a:effectLst/>
          </a:endParaRPr>
        </a:p>
        <a:p>
          <a:r>
            <a:rPr lang="en-GB" sz="1100" b="0" i="0" baseline="0">
              <a:solidFill>
                <a:schemeClr val="dk1"/>
              </a:solidFill>
              <a:effectLst/>
              <a:latin typeface="+mn-lt"/>
              <a:ea typeface="+mn-ea"/>
              <a:cs typeface="+mn-cs"/>
            </a:rPr>
            <a:t>A high level cost comparison of the schemes identifies considerable variation in unit costs - for example  comparison of the Oldfield and Sladen Valley schemes. Further detail on the cost estimates enables better comparison and identification of base cost elements..</a:t>
          </a:r>
          <a:endParaRPr lang="en-GB">
            <a:effectLst/>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b="0" i="0" u="none" strike="noStrike" baseline="0" smtClean="0">
            <a:solidFill>
              <a:schemeClr val="dk1"/>
            </a:solidFill>
            <a:latin typeface="+mn-lt"/>
            <a:ea typeface="+mn-ea"/>
            <a:cs typeface="+mn-cs"/>
          </a:endParaRPr>
        </a:p>
        <a:p>
          <a:endParaRPr lang="en-GB"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dk1"/>
              </a:solidFill>
              <a:latin typeface="+mn-lt"/>
              <a:ea typeface="+mn-ea"/>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1768078</xdr:colOff>
      <xdr:row>48</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41909</xdr:colOff>
      <xdr:row>26</xdr:row>
      <xdr:rowOff>76439</xdr:rowOff>
    </xdr:from>
    <xdr:ext cx="8742285" cy="1297919"/>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92722" y="10093564"/>
          <a:ext cx="8742285"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r>
            <a:rPr lang="en-GB" sz="1100" b="0" baseline="0"/>
            <a:t> DWI Support letter for Cheddar WTW  </a:t>
          </a:r>
        </a:p>
        <a:p>
          <a:r>
            <a:rPr lang="en-GB" sz="1100" b="0" baseline="0">
              <a:solidFill>
                <a:schemeClr val="dk1"/>
              </a:solidFill>
              <a:effectLst/>
              <a:latin typeface="+mn-lt"/>
              <a:ea typeface="+mn-ea"/>
              <a:cs typeface="+mn-cs"/>
            </a:rPr>
            <a:t>The DWI Support letter for Cheddar WTW  includes for </a:t>
          </a:r>
          <a:r>
            <a:rPr lang="en-GB" sz="1100" b="0" i="0" baseline="0">
              <a:solidFill>
                <a:schemeClr val="dk1"/>
              </a:solidFill>
              <a:effectLst/>
              <a:latin typeface="+mn-lt"/>
              <a:ea typeface="+mn-ea"/>
              <a:cs typeface="+mn-cs"/>
            </a:rPr>
            <a:t>covering of slow sand filters to reduce algal loading and prevent release of soluble metals, taste and odour issues, which will significantly improve system resilience. Capex for this identified in the letter is between £4.2 and £4.7m </a:t>
          </a:r>
        </a:p>
        <a:p>
          <a:endParaRPr lang="en-GB">
            <a:effectLst/>
          </a:endParaRPr>
        </a:p>
        <a:p>
          <a:r>
            <a:rPr lang="en-GB" sz="1100" b="0" i="0" baseline="0">
              <a:solidFill>
                <a:schemeClr val="dk1"/>
              </a:solidFill>
              <a:effectLst/>
              <a:latin typeface="+mn-lt"/>
              <a:ea typeface="+mn-ea"/>
              <a:cs typeface="+mn-cs"/>
            </a:rPr>
            <a:t>The only scheme identified in the BP documents that is allocated to RW Deterioration is the trials extension at Cheddar £0.5m to which the BRL efficiency challenge of 7% is applied and this gives a value in the plan of £.46m.  </a:t>
          </a:r>
          <a:r>
            <a:rPr lang="en-GB" sz="1100">
              <a:solidFill>
                <a:schemeClr val="dk1"/>
              </a:solidFill>
              <a:effectLst/>
              <a:latin typeface="+mn-lt"/>
              <a:ea typeface="+mn-ea"/>
              <a:cs typeface="+mn-cs"/>
            </a:rPr>
            <a:t>This is accepted</a:t>
          </a:r>
          <a:r>
            <a:rPr lang="en-GB" sz="1100" baseline="0">
              <a:solidFill>
                <a:schemeClr val="dk1"/>
              </a:solidFill>
              <a:effectLst/>
              <a:latin typeface="+mn-lt"/>
              <a:ea typeface="+mn-ea"/>
              <a:cs typeface="+mn-cs"/>
            </a:rPr>
            <a:t> because 1. it has gained DWI support and 2. improves confidence in final option selection. </a:t>
          </a:r>
          <a:endParaRPr lang="en-GB" sz="1100" baseline="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zoomScale="90" zoomScaleNormal="90" workbookViewId="0">
      <selection activeCell="C36" sqref="C36"/>
    </sheetView>
  </sheetViews>
  <sheetFormatPr defaultColWidth="8.81640625" defaultRowHeight="14.5" x14ac:dyDescent="0.35"/>
  <cols>
    <col min="1" max="1" width="1.453125" style="36" customWidth="1"/>
    <col min="2" max="2" width="11.1796875" style="36" customWidth="1"/>
    <col min="3" max="3" width="100.453125" style="36" customWidth="1"/>
    <col min="4" max="4" width="18" style="41" customWidth="1"/>
    <col min="5" max="16384" width="8.81640625" style="36"/>
  </cols>
  <sheetData>
    <row r="1" spans="2:4" ht="20.25" customHeight="1" x14ac:dyDescent="0.45">
      <c r="B1" s="39" t="s">
        <v>77</v>
      </c>
      <c r="C1" s="40"/>
      <c r="D1" s="40"/>
    </row>
    <row r="2" spans="2:4" ht="17.25" customHeight="1" x14ac:dyDescent="0.35"/>
    <row r="3" spans="2:4" ht="17.25" customHeight="1" x14ac:dyDescent="0.35"/>
    <row r="4" spans="2:4" ht="17.25" customHeight="1" x14ac:dyDescent="0.35"/>
    <row r="5" spans="2:4" ht="17.25" customHeight="1" x14ac:dyDescent="0.35"/>
    <row r="6" spans="2:4" ht="17.25" customHeight="1" x14ac:dyDescent="0.35"/>
    <row r="7" spans="2:4" ht="17.25" customHeight="1" x14ac:dyDescent="0.35"/>
    <row r="8" spans="2:4" ht="17.25" customHeight="1" x14ac:dyDescent="0.35"/>
    <row r="9" spans="2:4" ht="17.25" customHeight="1" x14ac:dyDescent="0.35"/>
    <row r="10" spans="2:4" ht="17.25" customHeight="1" x14ac:dyDescent="0.35"/>
    <row r="11" spans="2:4" ht="17.25" customHeight="1" x14ac:dyDescent="0.35"/>
    <row r="12" spans="2:4" ht="17.25" customHeight="1" x14ac:dyDescent="0.35"/>
    <row r="13" spans="2:4" ht="17.25" customHeight="1" x14ac:dyDescent="0.35"/>
    <row r="14" spans="2:4" ht="17.25" customHeight="1" x14ac:dyDescent="0.35"/>
    <row r="15" spans="2:4" ht="17.25" customHeight="1" x14ac:dyDescent="0.35"/>
    <row r="16" spans="2:4" ht="17.25" customHeight="1"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B1:Q45"/>
  <sheetViews>
    <sheetView showGridLines="0" topLeftCell="G1" zoomScale="90" zoomScaleNormal="90" workbookViewId="0">
      <selection activeCell="O27" sqref="O27"/>
    </sheetView>
  </sheetViews>
  <sheetFormatPr defaultColWidth="8.81640625" defaultRowHeight="13" x14ac:dyDescent="0.3"/>
  <cols>
    <col min="1" max="1" width="2.1796875" style="2" customWidth="1"/>
    <col min="2" max="2" width="37.81640625" style="2" customWidth="1"/>
    <col min="3" max="3" width="16.54296875" style="2" customWidth="1"/>
    <col min="4" max="4" width="117.81640625" style="2" customWidth="1"/>
    <col min="5" max="5" width="8.54296875" style="2" customWidth="1"/>
    <col min="6" max="6" width="26.54296875" style="2" customWidth="1"/>
    <col min="7" max="9" width="8.54296875" style="2" customWidth="1"/>
    <col min="10" max="10" width="22.1796875" style="2" customWidth="1"/>
    <col min="11" max="11" width="16.54296875" style="2" customWidth="1"/>
    <col min="12" max="12" width="8.54296875" style="2" customWidth="1"/>
    <col min="13" max="13" width="9" style="2" customWidth="1"/>
    <col min="14" max="14" width="33.1796875" style="2" customWidth="1"/>
    <col min="15" max="15" width="38.1796875" style="2" customWidth="1"/>
    <col min="16" max="16" width="44.81640625" style="2" customWidth="1"/>
    <col min="17" max="17" width="33.453125" style="2" customWidth="1"/>
    <col min="18" max="18" width="8.81640625" style="2"/>
    <col min="19" max="19" width="40.81640625" style="2" customWidth="1"/>
    <col min="20" max="16384" width="8.81640625" style="2"/>
  </cols>
  <sheetData>
    <row r="1" spans="2:17" s="44" customFormat="1" ht="18.5" x14ac:dyDescent="0.3">
      <c r="B1" s="1" t="s">
        <v>363</v>
      </c>
      <c r="C1" s="1"/>
      <c r="D1" s="1"/>
      <c r="E1" s="1"/>
      <c r="F1" s="1"/>
      <c r="G1" s="2"/>
      <c r="H1" s="42"/>
      <c r="I1" s="43"/>
    </row>
    <row r="2" spans="2:17" s="44" customFormat="1" ht="18.5" x14ac:dyDescent="0.3">
      <c r="B2" s="6"/>
      <c r="C2" s="45"/>
      <c r="D2" s="45"/>
      <c r="E2" s="2"/>
      <c r="F2" s="2"/>
      <c r="G2" s="2"/>
      <c r="H2" s="42"/>
      <c r="I2" s="43"/>
    </row>
    <row r="3" spans="2:17" s="44" customFormat="1" ht="18.5" x14ac:dyDescent="0.3">
      <c r="B3" s="6" t="s">
        <v>54</v>
      </c>
      <c r="C3" s="45"/>
      <c r="D3" s="53"/>
      <c r="E3" s="2"/>
      <c r="F3" s="2"/>
      <c r="G3" s="2"/>
      <c r="H3" s="42"/>
      <c r="I3" s="43"/>
    </row>
    <row r="4" spans="2:17" x14ac:dyDescent="0.3">
      <c r="B4" s="12" t="s">
        <v>22</v>
      </c>
      <c r="C4" s="13" t="s">
        <v>293</v>
      </c>
      <c r="D4" s="53"/>
    </row>
    <row r="5" spans="2:17" x14ac:dyDescent="0.3">
      <c r="B5" s="12" t="s">
        <v>25</v>
      </c>
      <c r="C5" s="13" t="s">
        <v>369</v>
      </c>
      <c r="D5" s="53"/>
    </row>
    <row r="6" spans="2:17" x14ac:dyDescent="0.3">
      <c r="B6" s="51" t="s">
        <v>18</v>
      </c>
      <c r="C6" s="52" t="s">
        <v>10</v>
      </c>
      <c r="D6" s="53"/>
    </row>
    <row r="7" spans="2:17" x14ac:dyDescent="0.3">
      <c r="B7" s="51" t="s">
        <v>26</v>
      </c>
      <c r="C7" s="52" t="s">
        <v>39</v>
      </c>
      <c r="D7" s="53"/>
    </row>
    <row r="8" spans="2:17" x14ac:dyDescent="0.3">
      <c r="B8" s="51" t="s">
        <v>74</v>
      </c>
      <c r="C8" s="48">
        <f>'Gates &amp; Shallow dive'!W29</f>
        <v>58.469000000000008</v>
      </c>
      <c r="D8" s="53"/>
    </row>
    <row r="9" spans="2:17" x14ac:dyDescent="0.3">
      <c r="B9" s="48" t="s">
        <v>44</v>
      </c>
      <c r="C9" s="62">
        <f>(1-$C$38)*$C$37</f>
        <v>35.924138530453341</v>
      </c>
      <c r="D9" s="53"/>
    </row>
    <row r="11" spans="2:17" x14ac:dyDescent="0.3">
      <c r="B11" s="6" t="s">
        <v>27</v>
      </c>
    </row>
    <row r="12" spans="2:17" x14ac:dyDescent="0.3">
      <c r="B12" s="54" t="s">
        <v>28</v>
      </c>
      <c r="F12" s="6" t="s">
        <v>29</v>
      </c>
    </row>
    <row r="13" spans="2:17" ht="91" x14ac:dyDescent="0.3">
      <c r="B13" s="51" t="s">
        <v>30</v>
      </c>
      <c r="C13" s="51" t="s">
        <v>43</v>
      </c>
      <c r="D13" s="55" t="s">
        <v>343</v>
      </c>
      <c r="F13" s="55" t="s">
        <v>150</v>
      </c>
      <c r="J13" s="2" t="s">
        <v>263</v>
      </c>
      <c r="O13" s="59" t="s">
        <v>262</v>
      </c>
    </row>
    <row r="14" spans="2:17" ht="41" x14ac:dyDescent="0.5">
      <c r="B14" s="51" t="s">
        <v>32</v>
      </c>
      <c r="C14" s="51" t="s">
        <v>31</v>
      </c>
      <c r="D14" s="55"/>
      <c r="F14" s="51"/>
      <c r="J14" s="48" t="s">
        <v>162</v>
      </c>
      <c r="K14" s="48" t="s">
        <v>164</v>
      </c>
      <c r="L14" s="48" t="s">
        <v>153</v>
      </c>
      <c r="M14" s="37" t="s">
        <v>384</v>
      </c>
      <c r="N14" s="48" t="s">
        <v>163</v>
      </c>
      <c r="O14" s="48" t="s">
        <v>220</v>
      </c>
      <c r="P14" s="136" t="s">
        <v>261</v>
      </c>
      <c r="Q14" s="37" t="s">
        <v>300</v>
      </c>
    </row>
    <row r="15" spans="2:17" ht="32" x14ac:dyDescent="0.3">
      <c r="B15" s="51" t="s">
        <v>33</v>
      </c>
      <c r="C15" s="51" t="s">
        <v>43</v>
      </c>
      <c r="D15" s="55" t="s">
        <v>382</v>
      </c>
      <c r="F15" s="51"/>
      <c r="J15" s="51" t="s">
        <v>159</v>
      </c>
      <c r="K15" s="51">
        <v>175</v>
      </c>
      <c r="L15" s="51">
        <v>23.9</v>
      </c>
      <c r="M15" s="139">
        <f>L15/K15</f>
        <v>0.13657142857142857</v>
      </c>
      <c r="N15" s="55" t="s">
        <v>256</v>
      </c>
      <c r="O15" s="55"/>
      <c r="P15" s="140" t="s">
        <v>236</v>
      </c>
      <c r="Q15" s="55">
        <f>L15*0.9</f>
        <v>21.509999999999998</v>
      </c>
    </row>
    <row r="16" spans="2:17" ht="247" x14ac:dyDescent="0.3">
      <c r="B16" s="51" t="s">
        <v>34</v>
      </c>
      <c r="C16" s="38" t="s">
        <v>73</v>
      </c>
      <c r="D16" s="55" t="s">
        <v>383</v>
      </c>
      <c r="F16" s="51" t="s">
        <v>257</v>
      </c>
      <c r="J16" s="51" t="s">
        <v>152</v>
      </c>
      <c r="K16" s="51">
        <v>12</v>
      </c>
      <c r="L16" s="51">
        <v>6.1</v>
      </c>
      <c r="M16" s="139">
        <f>L16/12</f>
        <v>0.5083333333333333</v>
      </c>
      <c r="N16" s="55" t="s">
        <v>155</v>
      </c>
      <c r="O16" s="55" t="s">
        <v>224</v>
      </c>
      <c r="P16" s="140" t="s">
        <v>301</v>
      </c>
      <c r="Q16" s="55">
        <f>L16*0.8</f>
        <v>4.88</v>
      </c>
    </row>
    <row r="17" spans="2:17" ht="299" x14ac:dyDescent="0.3">
      <c r="B17" s="51" t="s">
        <v>35</v>
      </c>
      <c r="C17" s="51" t="s">
        <v>72</v>
      </c>
      <c r="D17" s="55" t="s">
        <v>385</v>
      </c>
      <c r="F17" s="55" t="s">
        <v>266</v>
      </c>
      <c r="J17" s="51" t="s">
        <v>156</v>
      </c>
      <c r="K17" s="51">
        <v>12</v>
      </c>
      <c r="L17" s="51">
        <v>14.6</v>
      </c>
      <c r="M17" s="139">
        <f t="shared" ref="M17:M18" si="0">L17/K17</f>
        <v>1.2166666666666666</v>
      </c>
      <c r="N17" s="55" t="s">
        <v>157</v>
      </c>
      <c r="O17" s="55" t="s">
        <v>154</v>
      </c>
      <c r="P17" s="140" t="s">
        <v>302</v>
      </c>
      <c r="Q17" s="55">
        <f>Q16</f>
        <v>4.88</v>
      </c>
    </row>
    <row r="18" spans="2:17" ht="112" x14ac:dyDescent="0.3">
      <c r="B18" s="51" t="s">
        <v>36</v>
      </c>
      <c r="C18" s="51" t="s">
        <v>43</v>
      </c>
      <c r="D18" s="55" t="s">
        <v>386</v>
      </c>
      <c r="F18" s="51"/>
      <c r="J18" s="51" t="s">
        <v>158</v>
      </c>
      <c r="K18" s="51">
        <v>30</v>
      </c>
      <c r="L18" s="51">
        <v>5.6</v>
      </c>
      <c r="M18" s="139">
        <f t="shared" si="0"/>
        <v>0.18666666666666665</v>
      </c>
      <c r="N18" s="55" t="s">
        <v>254</v>
      </c>
      <c r="O18" s="55" t="s">
        <v>237</v>
      </c>
      <c r="P18" s="140" t="s">
        <v>303</v>
      </c>
      <c r="Q18" s="55">
        <v>2.8</v>
      </c>
    </row>
    <row r="19" spans="2:17" ht="112" x14ac:dyDescent="0.3">
      <c r="B19" s="51" t="s">
        <v>37</v>
      </c>
      <c r="C19" s="51" t="s">
        <v>31</v>
      </c>
      <c r="D19" s="55"/>
      <c r="F19" s="51"/>
      <c r="J19" s="51" t="s">
        <v>151</v>
      </c>
      <c r="K19" s="51" t="s">
        <v>160</v>
      </c>
      <c r="L19" s="51">
        <v>8</v>
      </c>
      <c r="M19" s="139">
        <f>L19/24</f>
        <v>0.33333333333333331</v>
      </c>
      <c r="N19" s="55" t="s">
        <v>161</v>
      </c>
      <c r="O19" s="55" t="s">
        <v>255</v>
      </c>
      <c r="P19" s="140" t="s">
        <v>304</v>
      </c>
      <c r="Q19" s="55">
        <f>L19*0.75</f>
        <v>6</v>
      </c>
    </row>
    <row r="20" spans="2:17" ht="13.5" thickBot="1" x14ac:dyDescent="0.35">
      <c r="B20" s="51" t="s">
        <v>38</v>
      </c>
      <c r="C20" s="51" t="s">
        <v>31</v>
      </c>
      <c r="D20" s="55"/>
      <c r="F20" s="51"/>
    </row>
    <row r="21" spans="2:17" ht="13.5" thickBot="1" x14ac:dyDescent="0.35">
      <c r="B21" s="58"/>
      <c r="C21" s="58"/>
      <c r="D21" s="58"/>
      <c r="F21" s="58"/>
      <c r="J21" s="6" t="s">
        <v>264</v>
      </c>
      <c r="L21" s="2">
        <f>SUM(L15:L19)</f>
        <v>58.2</v>
      </c>
      <c r="P21" s="137" t="s">
        <v>305</v>
      </c>
      <c r="Q21" s="138">
        <f>SUM(Q15:Q19)</f>
        <v>40.069999999999993</v>
      </c>
    </row>
    <row r="22" spans="2:17" x14ac:dyDescent="0.3">
      <c r="B22" s="54"/>
      <c r="C22" s="58"/>
      <c r="D22" s="58"/>
      <c r="F22" s="58"/>
    </row>
    <row r="23" spans="2:17" ht="22.5" customHeight="1" x14ac:dyDescent="0.3">
      <c r="B23" s="58"/>
      <c r="C23" s="58"/>
      <c r="D23" s="58"/>
      <c r="F23" s="58"/>
    </row>
    <row r="24" spans="2:17" ht="22.5" customHeight="1" x14ac:dyDescent="0.3">
      <c r="B24" s="58"/>
      <c r="C24" s="58"/>
      <c r="D24" s="58"/>
      <c r="F24" s="58"/>
    </row>
    <row r="25" spans="2:17" ht="22.5" customHeight="1" x14ac:dyDescent="0.35">
      <c r="B25" s="58"/>
      <c r="C25" s="58"/>
      <c r="D25" s="58"/>
      <c r="E25" s="36"/>
      <c r="F25" s="58"/>
    </row>
    <row r="26" spans="2:17" ht="22.5" customHeight="1" x14ac:dyDescent="0.3">
      <c r="B26" s="58"/>
      <c r="C26" s="58"/>
      <c r="D26" s="58"/>
      <c r="F26" s="58"/>
    </row>
    <row r="27" spans="2:17" ht="22.5" customHeight="1" x14ac:dyDescent="0.3">
      <c r="B27" s="58"/>
      <c r="C27" s="58"/>
      <c r="D27" s="58"/>
      <c r="F27" s="58"/>
      <c r="J27" s="5"/>
    </row>
    <row r="28" spans="2:17" ht="22.5" customHeight="1" x14ac:dyDescent="0.3">
      <c r="B28" s="58"/>
      <c r="C28" s="58"/>
      <c r="D28" s="58"/>
      <c r="F28" s="58"/>
      <c r="J28" s="5"/>
    </row>
    <row r="29" spans="2:17" ht="22.5" customHeight="1" x14ac:dyDescent="0.3"/>
    <row r="30" spans="2:17" ht="22.5" customHeight="1" x14ac:dyDescent="0.3"/>
    <row r="31" spans="2:17" ht="22.5" customHeight="1" x14ac:dyDescent="0.3"/>
    <row r="32" spans="2:17" ht="22.5" customHeight="1" x14ac:dyDescent="0.3"/>
    <row r="33" spans="2:14" ht="22.5" customHeight="1" x14ac:dyDescent="0.3"/>
    <row r="34" spans="2:14" ht="22.5" customHeight="1" x14ac:dyDescent="0.3"/>
    <row r="35" spans="2:14" ht="22.5" customHeight="1" x14ac:dyDescent="0.3"/>
    <row r="36" spans="2:14" ht="23.25" customHeight="1" x14ac:dyDescent="0.3"/>
    <row r="37" spans="2:14" ht="16.5" customHeight="1" x14ac:dyDescent="0.3">
      <c r="B37" s="2" t="s">
        <v>144</v>
      </c>
      <c r="C37" s="60">
        <f>Q21</f>
        <v>40.069999999999993</v>
      </c>
    </row>
    <row r="38" spans="2:14" x14ac:dyDescent="0.3">
      <c r="B38" s="2" t="s">
        <v>143</v>
      </c>
      <c r="C38" s="61">
        <v>0.10346547216238228</v>
      </c>
    </row>
    <row r="40" spans="2:14" x14ac:dyDescent="0.3">
      <c r="B40" s="6"/>
    </row>
    <row r="45" spans="2:14" x14ac:dyDescent="0.3">
      <c r="N45"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B1:N45"/>
  <sheetViews>
    <sheetView showGridLines="0" topLeftCell="A2" zoomScale="80" zoomScaleNormal="80" workbookViewId="0">
      <selection activeCell="F17" sqref="F17"/>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8.54296875" style="2" customWidth="1"/>
    <col min="6" max="6" width="26.54296875" style="2" customWidth="1"/>
    <col min="7" max="12" width="8.54296875" style="2" customWidth="1"/>
    <col min="13" max="13" width="37.453125" style="2" customWidth="1"/>
    <col min="14" max="14" width="16.453125" style="2" customWidth="1"/>
    <col min="15" max="21" width="8.81640625" style="2"/>
    <col min="22" max="22" width="10.54296875" style="2" customWidth="1"/>
    <col min="23" max="16384" width="8.81640625" style="2"/>
  </cols>
  <sheetData>
    <row r="1" spans="2:9" s="44" customFormat="1" ht="18.5" x14ac:dyDescent="0.3">
      <c r="B1" s="1" t="s">
        <v>268</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2"/>
      <c r="E3" s="2"/>
      <c r="F3" s="2"/>
      <c r="G3" s="2"/>
      <c r="H3" s="42"/>
      <c r="I3" s="43"/>
    </row>
    <row r="4" spans="2:9" x14ac:dyDescent="0.3">
      <c r="B4" s="12" t="s">
        <v>22</v>
      </c>
      <c r="C4" s="13" t="s">
        <v>293</v>
      </c>
    </row>
    <row r="5" spans="2:9" x14ac:dyDescent="0.3">
      <c r="B5" s="12" t="s">
        <v>25</v>
      </c>
      <c r="C5" s="13" t="s">
        <v>369</v>
      </c>
    </row>
    <row r="6" spans="2:9" x14ac:dyDescent="0.3">
      <c r="B6" s="51" t="s">
        <v>18</v>
      </c>
      <c r="C6" s="52" t="s">
        <v>12</v>
      </c>
    </row>
    <row r="7" spans="2:9" x14ac:dyDescent="0.3">
      <c r="B7" s="51" t="s">
        <v>26</v>
      </c>
      <c r="C7" s="52" t="s">
        <v>39</v>
      </c>
    </row>
    <row r="8" spans="2:9" x14ac:dyDescent="0.3">
      <c r="B8" s="51" t="s">
        <v>74</v>
      </c>
      <c r="C8" s="62">
        <f>'Gates &amp; Shallow dive'!W31</f>
        <v>4.3600000000000003</v>
      </c>
    </row>
    <row r="9" spans="2:9" x14ac:dyDescent="0.3">
      <c r="B9" s="48" t="s">
        <v>44</v>
      </c>
      <c r="C9" s="62">
        <f>(1-$C$38)*$C$37</f>
        <v>0.42689918825068468</v>
      </c>
    </row>
    <row r="11" spans="2:9" x14ac:dyDescent="0.3">
      <c r="B11" s="6"/>
    </row>
    <row r="12" spans="2:9" x14ac:dyDescent="0.3">
      <c r="B12" s="6" t="s">
        <v>28</v>
      </c>
      <c r="F12" s="6" t="s">
        <v>29</v>
      </c>
    </row>
    <row r="13" spans="2:9" ht="26" x14ac:dyDescent="0.3">
      <c r="B13" s="51" t="s">
        <v>30</v>
      </c>
      <c r="C13" s="51" t="s">
        <v>43</v>
      </c>
      <c r="D13" s="55" t="s">
        <v>342</v>
      </c>
      <c r="E13" s="5"/>
      <c r="F13" s="55" t="s">
        <v>175</v>
      </c>
    </row>
    <row r="14" spans="2:9" x14ac:dyDescent="0.3">
      <c r="B14" s="51" t="s">
        <v>32</v>
      </c>
      <c r="C14" s="51" t="s">
        <v>31</v>
      </c>
      <c r="D14" s="55"/>
      <c r="E14" s="5"/>
      <c r="F14" s="55"/>
    </row>
    <row r="15" spans="2:9" ht="26" x14ac:dyDescent="0.3">
      <c r="B15" s="51" t="s">
        <v>33</v>
      </c>
      <c r="C15" s="51" t="s">
        <v>43</v>
      </c>
      <c r="D15" s="55" t="s">
        <v>206</v>
      </c>
      <c r="E15" s="5"/>
      <c r="F15" s="55"/>
    </row>
    <row r="16" spans="2:9" ht="208" x14ac:dyDescent="0.3">
      <c r="B16" s="51" t="s">
        <v>34</v>
      </c>
      <c r="C16" s="38" t="s">
        <v>43</v>
      </c>
      <c r="D16" s="55" t="s">
        <v>391</v>
      </c>
      <c r="E16" s="5"/>
      <c r="F16" s="142" t="s">
        <v>296</v>
      </c>
    </row>
    <row r="17" spans="2:6" ht="221" x14ac:dyDescent="0.3">
      <c r="B17" s="51" t="s">
        <v>35</v>
      </c>
      <c r="C17" s="51" t="s">
        <v>73</v>
      </c>
      <c r="D17" s="55" t="s">
        <v>392</v>
      </c>
      <c r="E17" s="5"/>
      <c r="F17" s="55" t="s">
        <v>297</v>
      </c>
    </row>
    <row r="18" spans="2:6" x14ac:dyDescent="0.3">
      <c r="B18" s="51" t="s">
        <v>36</v>
      </c>
      <c r="C18" s="51" t="s">
        <v>73</v>
      </c>
      <c r="D18" s="55" t="s">
        <v>290</v>
      </c>
      <c r="E18" s="5"/>
      <c r="F18" s="55" t="s">
        <v>207</v>
      </c>
    </row>
    <row r="19" spans="2:6" x14ac:dyDescent="0.3">
      <c r="B19" s="51" t="s">
        <v>37</v>
      </c>
      <c r="C19" s="51" t="s">
        <v>31</v>
      </c>
      <c r="D19" s="55"/>
      <c r="E19" s="5"/>
      <c r="F19" s="55"/>
    </row>
    <row r="20" spans="2:6" x14ac:dyDescent="0.3">
      <c r="B20" s="51" t="s">
        <v>38</v>
      </c>
      <c r="C20" s="51" t="s">
        <v>31</v>
      </c>
      <c r="D20" s="55"/>
      <c r="E20" s="5"/>
      <c r="F20" s="55"/>
    </row>
    <row r="21" spans="2:6" x14ac:dyDescent="0.3">
      <c r="B21" s="58"/>
      <c r="C21" s="58"/>
      <c r="D21" s="58"/>
      <c r="F21" s="58"/>
    </row>
    <row r="22" spans="2:6" x14ac:dyDescent="0.3">
      <c r="B22" s="54"/>
      <c r="C22" s="58"/>
      <c r="D22" s="58"/>
      <c r="F22" s="58"/>
    </row>
    <row r="23" spans="2:6" x14ac:dyDescent="0.3">
      <c r="B23" s="58"/>
      <c r="C23" s="58"/>
      <c r="D23" s="58"/>
      <c r="F23" s="58"/>
    </row>
    <row r="24" spans="2:6" x14ac:dyDescent="0.3">
      <c r="B24" s="58"/>
      <c r="C24" s="58"/>
      <c r="D24" s="58"/>
      <c r="F24" s="58"/>
    </row>
    <row r="25" spans="2:6" ht="14.5" x14ac:dyDescent="0.35">
      <c r="B25" s="58"/>
      <c r="C25" s="58"/>
      <c r="D25" s="58"/>
      <c r="E25" s="36"/>
      <c r="F25" s="58"/>
    </row>
    <row r="26" spans="2:6" x14ac:dyDescent="0.3">
      <c r="B26" s="58"/>
      <c r="C26" s="58"/>
      <c r="D26" s="58"/>
      <c r="F26" s="58"/>
    </row>
    <row r="27" spans="2:6" x14ac:dyDescent="0.3">
      <c r="B27" s="58"/>
      <c r="C27" s="58"/>
      <c r="D27" s="58"/>
      <c r="F27" s="58"/>
    </row>
    <row r="28" spans="2:6" x14ac:dyDescent="0.3">
      <c r="B28" s="58"/>
      <c r="C28" s="58"/>
      <c r="D28" s="58"/>
      <c r="F28" s="58"/>
    </row>
    <row r="37" spans="2:14" x14ac:dyDescent="0.3">
      <c r="B37" s="2" t="s">
        <v>144</v>
      </c>
      <c r="C37" s="60">
        <f>0.5*0.92</f>
        <v>0.46</v>
      </c>
    </row>
    <row r="38" spans="2:14" x14ac:dyDescent="0.3">
      <c r="B38" s="2" t="s">
        <v>143</v>
      </c>
      <c r="C38" s="61">
        <v>7.195828641155512E-2</v>
      </c>
    </row>
    <row r="40" spans="2:14" x14ac:dyDescent="0.3">
      <c r="B40" s="6"/>
    </row>
    <row r="45" spans="2:14" x14ac:dyDescent="0.3">
      <c r="N45"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B1:I40"/>
  <sheetViews>
    <sheetView showGridLines="0" topLeftCell="A17" workbookViewId="0">
      <selection activeCell="G25" sqref="G25"/>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8.54296875" style="2" customWidth="1"/>
    <col min="6" max="6" width="29.81640625" style="2" customWidth="1"/>
    <col min="7" max="8" width="8.54296875" style="2" customWidth="1"/>
    <col min="9" max="9" width="11" style="2" customWidth="1"/>
    <col min="10" max="16384" width="8.81640625" style="2"/>
  </cols>
  <sheetData>
    <row r="1" spans="2:9" s="44" customFormat="1" ht="18.5" x14ac:dyDescent="0.3">
      <c r="B1" s="1" t="s">
        <v>364</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53"/>
      <c r="E3" s="2"/>
      <c r="F3" s="2"/>
      <c r="G3" s="2"/>
      <c r="H3" s="42"/>
      <c r="I3" s="43"/>
    </row>
    <row r="4" spans="2:9" x14ac:dyDescent="0.3">
      <c r="B4" s="12" t="s">
        <v>22</v>
      </c>
      <c r="C4" s="13" t="s">
        <v>293</v>
      </c>
      <c r="D4" s="53"/>
    </row>
    <row r="5" spans="2:9" x14ac:dyDescent="0.3">
      <c r="B5" s="12" t="s">
        <v>25</v>
      </c>
      <c r="C5" s="13" t="s">
        <v>369</v>
      </c>
      <c r="D5" s="53"/>
    </row>
    <row r="6" spans="2:9" x14ac:dyDescent="0.3">
      <c r="B6" s="51" t="s">
        <v>18</v>
      </c>
      <c r="C6" s="52" t="s">
        <v>14</v>
      </c>
      <c r="D6" s="53"/>
    </row>
    <row r="7" spans="2:9" x14ac:dyDescent="0.3">
      <c r="B7" s="51" t="s">
        <v>26</v>
      </c>
      <c r="C7" s="52" t="s">
        <v>39</v>
      </c>
      <c r="D7" s="53"/>
    </row>
    <row r="8" spans="2:9" x14ac:dyDescent="0.3">
      <c r="B8" s="51" t="s">
        <v>74</v>
      </c>
      <c r="C8" s="48">
        <f>'Gates &amp; Shallow dive'!W33</f>
        <v>5.7759999999999998</v>
      </c>
      <c r="D8" s="53"/>
    </row>
    <row r="9" spans="2:9" x14ac:dyDescent="0.3">
      <c r="B9" s="48" t="s">
        <v>44</v>
      </c>
      <c r="C9" s="62">
        <f>(1-$C$38)*$C$37</f>
        <v>5.7750000000000004</v>
      </c>
      <c r="D9" s="53"/>
    </row>
    <row r="11" spans="2:9" x14ac:dyDescent="0.3">
      <c r="B11" s="6" t="s">
        <v>27</v>
      </c>
    </row>
    <row r="12" spans="2:9" x14ac:dyDescent="0.3">
      <c r="B12" s="54" t="s">
        <v>28</v>
      </c>
      <c r="F12" s="6" t="s">
        <v>29</v>
      </c>
    </row>
    <row r="13" spans="2:9" ht="52" x14ac:dyDescent="0.3">
      <c r="B13" s="51" t="s">
        <v>30</v>
      </c>
      <c r="C13" s="51" t="s">
        <v>43</v>
      </c>
      <c r="D13" s="55" t="s">
        <v>387</v>
      </c>
      <c r="F13" s="55" t="s">
        <v>333</v>
      </c>
    </row>
    <row r="14" spans="2:9" x14ac:dyDescent="0.3">
      <c r="B14" s="51" t="s">
        <v>32</v>
      </c>
      <c r="C14" s="51" t="s">
        <v>31</v>
      </c>
      <c r="D14" s="51"/>
      <c r="F14" s="55"/>
    </row>
    <row r="15" spans="2:9" ht="26" x14ac:dyDescent="0.3">
      <c r="B15" s="51" t="s">
        <v>33</v>
      </c>
      <c r="C15" s="51" t="s">
        <v>43</v>
      </c>
      <c r="D15" s="55" t="s">
        <v>388</v>
      </c>
      <c r="F15" s="55"/>
    </row>
    <row r="16" spans="2:9" ht="234" x14ac:dyDescent="0.3">
      <c r="B16" s="51" t="s">
        <v>34</v>
      </c>
      <c r="C16" s="38" t="s">
        <v>73</v>
      </c>
      <c r="D16" s="196" t="s">
        <v>389</v>
      </c>
      <c r="F16" s="55" t="s">
        <v>291</v>
      </c>
    </row>
    <row r="17" spans="2:6" ht="208" x14ac:dyDescent="0.3">
      <c r="B17" s="51" t="s">
        <v>35</v>
      </c>
      <c r="C17" s="51" t="s">
        <v>73</v>
      </c>
      <c r="D17" s="55" t="s">
        <v>390</v>
      </c>
      <c r="F17" s="55" t="s">
        <v>166</v>
      </c>
    </row>
    <row r="18" spans="2:6" x14ac:dyDescent="0.3">
      <c r="B18" s="51" t="s">
        <v>36</v>
      </c>
      <c r="C18" s="51" t="s">
        <v>43</v>
      </c>
      <c r="D18" s="51" t="s">
        <v>167</v>
      </c>
      <c r="F18" s="55"/>
    </row>
    <row r="19" spans="2:6" x14ac:dyDescent="0.3">
      <c r="B19" s="51" t="s">
        <v>37</v>
      </c>
      <c r="C19" s="51" t="s">
        <v>31</v>
      </c>
      <c r="D19" s="51"/>
      <c r="F19" s="55"/>
    </row>
    <row r="20" spans="2:6" x14ac:dyDescent="0.3">
      <c r="B20" s="51" t="s">
        <v>38</v>
      </c>
      <c r="C20" s="51" t="s">
        <v>31</v>
      </c>
      <c r="D20" s="51"/>
      <c r="F20" s="51"/>
    </row>
    <row r="21" spans="2:6" x14ac:dyDescent="0.3">
      <c r="B21" s="58"/>
      <c r="C21" s="58"/>
      <c r="D21" s="58"/>
      <c r="F21" s="58"/>
    </row>
    <row r="22" spans="2:6" x14ac:dyDescent="0.3">
      <c r="B22" s="54"/>
      <c r="C22" s="58"/>
      <c r="D22" s="58"/>
      <c r="F22" s="58"/>
    </row>
    <row r="23" spans="2:6" x14ac:dyDescent="0.3">
      <c r="B23" s="58"/>
      <c r="C23" s="58"/>
      <c r="D23" s="58"/>
      <c r="F23" s="58"/>
    </row>
    <row r="24" spans="2:6" x14ac:dyDescent="0.3">
      <c r="B24" s="58"/>
      <c r="C24" s="58"/>
      <c r="D24" s="58"/>
      <c r="F24" s="58"/>
    </row>
    <row r="25" spans="2:6" ht="63" customHeight="1" x14ac:dyDescent="0.35">
      <c r="B25" s="58"/>
      <c r="C25" s="58"/>
      <c r="D25" s="58"/>
      <c r="E25" s="36"/>
      <c r="F25" s="58"/>
    </row>
    <row r="26" spans="2:6" ht="63" customHeight="1" x14ac:dyDescent="0.3">
      <c r="B26" s="58"/>
      <c r="C26" s="58"/>
      <c r="D26" s="58"/>
      <c r="F26" s="58"/>
    </row>
    <row r="27" spans="2:6" x14ac:dyDescent="0.3">
      <c r="B27" s="58"/>
      <c r="C27" s="58"/>
      <c r="D27" s="58"/>
      <c r="F27" s="58"/>
    </row>
    <row r="28" spans="2:6" x14ac:dyDescent="0.3">
      <c r="B28" s="58"/>
      <c r="C28" s="58"/>
      <c r="D28" s="58"/>
      <c r="F28" s="58"/>
    </row>
    <row r="37" spans="2:3" x14ac:dyDescent="0.3">
      <c r="B37" s="2" t="s">
        <v>144</v>
      </c>
      <c r="C37" s="60">
        <v>5.7750000000000004</v>
      </c>
    </row>
    <row r="38" spans="2:3" x14ac:dyDescent="0.3">
      <c r="B38" s="2" t="s">
        <v>143</v>
      </c>
      <c r="C38" s="61">
        <v>0</v>
      </c>
    </row>
    <row r="40" spans="2:3" x14ac:dyDescent="0.3">
      <c r="B40" s="6"/>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B1:N45"/>
  <sheetViews>
    <sheetView showGridLines="0" topLeftCell="A17" workbookViewId="0">
      <selection activeCell="F29" sqref="F29"/>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8.54296875" style="2" customWidth="1"/>
    <col min="6" max="6" width="26.54296875" style="2" customWidth="1"/>
    <col min="7" max="14" width="8.54296875" style="2" customWidth="1"/>
    <col min="15" max="16384" width="8.81640625" style="2"/>
  </cols>
  <sheetData>
    <row r="1" spans="2:9" s="44" customFormat="1" ht="18.5" x14ac:dyDescent="0.3">
      <c r="B1" s="1" t="s">
        <v>365</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2"/>
      <c r="E3" s="2"/>
      <c r="F3" s="2"/>
      <c r="G3" s="2"/>
      <c r="H3" s="42"/>
      <c r="I3" s="43"/>
    </row>
    <row r="4" spans="2:9" x14ac:dyDescent="0.3">
      <c r="B4" s="12" t="s">
        <v>22</v>
      </c>
      <c r="C4" s="13" t="s">
        <v>293</v>
      </c>
    </row>
    <row r="5" spans="2:9" x14ac:dyDescent="0.3">
      <c r="B5" s="12" t="s">
        <v>25</v>
      </c>
      <c r="C5" s="13" t="s">
        <v>369</v>
      </c>
    </row>
    <row r="6" spans="2:9" x14ac:dyDescent="0.3">
      <c r="B6" s="51" t="s">
        <v>18</v>
      </c>
      <c r="C6" s="52" t="s">
        <v>16</v>
      </c>
    </row>
    <row r="7" spans="2:9" x14ac:dyDescent="0.3">
      <c r="B7" s="51" t="s">
        <v>26</v>
      </c>
      <c r="C7" s="52" t="s">
        <v>39</v>
      </c>
    </row>
    <row r="8" spans="2:9" x14ac:dyDescent="0.3">
      <c r="B8" s="51" t="s">
        <v>74</v>
      </c>
      <c r="C8" s="62">
        <f>'Gates &amp; Shallow dive'!W35</f>
        <v>16.508649147997122</v>
      </c>
    </row>
    <row r="9" spans="2:9" x14ac:dyDescent="0.3">
      <c r="B9" s="48" t="s">
        <v>44</v>
      </c>
      <c r="C9" s="62">
        <f>(1-$C$38)*$C$37</f>
        <v>16.367296221385104</v>
      </c>
    </row>
    <row r="11" spans="2:9" x14ac:dyDescent="0.3">
      <c r="B11" s="6" t="s">
        <v>27</v>
      </c>
    </row>
    <row r="12" spans="2:9" x14ac:dyDescent="0.3">
      <c r="B12" s="54" t="s">
        <v>28</v>
      </c>
      <c r="F12" s="6" t="s">
        <v>29</v>
      </c>
    </row>
    <row r="13" spans="2:9" ht="234" x14ac:dyDescent="0.3">
      <c r="B13" s="51" t="s">
        <v>30</v>
      </c>
      <c r="C13" s="51" t="s">
        <v>43</v>
      </c>
      <c r="D13" s="55" t="s">
        <v>393</v>
      </c>
      <c r="E13" s="5"/>
      <c r="F13" s="55" t="s">
        <v>332</v>
      </c>
    </row>
    <row r="14" spans="2:9" x14ac:dyDescent="0.3">
      <c r="B14" s="51" t="s">
        <v>32</v>
      </c>
      <c r="C14" s="51" t="s">
        <v>31</v>
      </c>
      <c r="D14" s="55"/>
      <c r="E14" s="5"/>
      <c r="F14" s="55"/>
    </row>
    <row r="15" spans="2:9" x14ac:dyDescent="0.3">
      <c r="B15" s="51" t="s">
        <v>33</v>
      </c>
      <c r="C15" s="51" t="s">
        <v>43</v>
      </c>
      <c r="D15" s="55" t="s">
        <v>169</v>
      </c>
      <c r="E15" s="5"/>
      <c r="F15" s="55"/>
    </row>
    <row r="16" spans="2:9" ht="208" x14ac:dyDescent="0.3">
      <c r="B16" s="51" t="s">
        <v>34</v>
      </c>
      <c r="C16" s="38" t="s">
        <v>43</v>
      </c>
      <c r="D16" s="55" t="s">
        <v>394</v>
      </c>
      <c r="E16" s="5"/>
      <c r="F16" s="55" t="s">
        <v>344</v>
      </c>
    </row>
    <row r="17" spans="2:6" ht="260" x14ac:dyDescent="0.3">
      <c r="B17" s="51" t="s">
        <v>35</v>
      </c>
      <c r="C17" s="51" t="s">
        <v>73</v>
      </c>
      <c r="D17" s="55" t="s">
        <v>395</v>
      </c>
      <c r="E17" s="5"/>
      <c r="F17" s="55" t="s">
        <v>345</v>
      </c>
    </row>
    <row r="18" spans="2:6" ht="26" x14ac:dyDescent="0.3">
      <c r="B18" s="51" t="s">
        <v>36</v>
      </c>
      <c r="C18" s="51" t="s">
        <v>43</v>
      </c>
      <c r="D18" s="55" t="s">
        <v>244</v>
      </c>
      <c r="E18" s="5"/>
      <c r="F18" s="55"/>
    </row>
    <row r="19" spans="2:6" x14ac:dyDescent="0.3">
      <c r="B19" s="51" t="s">
        <v>37</v>
      </c>
      <c r="C19" s="51" t="s">
        <v>31</v>
      </c>
      <c r="D19" s="55"/>
      <c r="E19" s="5"/>
      <c r="F19" s="55"/>
    </row>
    <row r="20" spans="2:6" x14ac:dyDescent="0.3">
      <c r="B20" s="51" t="s">
        <v>38</v>
      </c>
      <c r="C20" s="51" t="s">
        <v>31</v>
      </c>
      <c r="D20" s="55"/>
      <c r="E20" s="5"/>
      <c r="F20" s="55"/>
    </row>
    <row r="21" spans="2:6" x14ac:dyDescent="0.3">
      <c r="B21" s="58"/>
      <c r="C21" s="58"/>
      <c r="D21" s="58"/>
      <c r="F21" s="58"/>
    </row>
    <row r="22" spans="2:6" x14ac:dyDescent="0.3">
      <c r="B22" s="54"/>
      <c r="C22" s="58"/>
      <c r="D22" s="58"/>
      <c r="F22" s="58"/>
    </row>
    <row r="23" spans="2:6" x14ac:dyDescent="0.3">
      <c r="B23" s="58"/>
      <c r="C23" s="58"/>
      <c r="D23" s="58"/>
      <c r="F23" s="58"/>
    </row>
    <row r="24" spans="2:6" x14ac:dyDescent="0.3">
      <c r="B24" s="58"/>
      <c r="C24" s="58"/>
      <c r="D24" s="58"/>
      <c r="F24" s="58"/>
    </row>
    <row r="25" spans="2:6" ht="14.5" x14ac:dyDescent="0.35">
      <c r="B25" s="58"/>
      <c r="C25" s="58"/>
      <c r="D25" s="58"/>
      <c r="E25" s="36"/>
      <c r="F25" s="58"/>
    </row>
    <row r="26" spans="2:6" x14ac:dyDescent="0.3">
      <c r="B26" s="58"/>
      <c r="C26" s="58"/>
      <c r="D26" s="58"/>
      <c r="F26" s="58"/>
    </row>
    <row r="27" spans="2:6" x14ac:dyDescent="0.3">
      <c r="B27" s="58"/>
      <c r="C27" s="58"/>
      <c r="D27" s="58"/>
      <c r="F27" s="58"/>
    </row>
    <row r="28" spans="2:6" x14ac:dyDescent="0.3">
      <c r="B28" s="58"/>
      <c r="C28" s="58"/>
      <c r="D28" s="58"/>
      <c r="F28" s="58"/>
    </row>
    <row r="33" spans="2:14" ht="26.25" customHeight="1" x14ac:dyDescent="0.3"/>
    <row r="34" spans="2:14" ht="26.25" customHeight="1" x14ac:dyDescent="0.3"/>
    <row r="35" spans="2:14" ht="26.25" customHeight="1" x14ac:dyDescent="0.3"/>
    <row r="37" spans="2:14" x14ac:dyDescent="0.3">
      <c r="B37" s="2" t="s">
        <v>144</v>
      </c>
      <c r="C37" s="60">
        <f>C8</f>
        <v>16.508649147997122</v>
      </c>
    </row>
    <row r="38" spans="2:14" x14ac:dyDescent="0.3">
      <c r="B38" s="2" t="s">
        <v>143</v>
      </c>
      <c r="C38" s="61">
        <v>8.5623557290976458E-3</v>
      </c>
    </row>
    <row r="40" spans="2:14" x14ac:dyDescent="0.3">
      <c r="B40" s="6"/>
    </row>
    <row r="45" spans="2:14" x14ac:dyDescent="0.3">
      <c r="N45"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B1:N45"/>
  <sheetViews>
    <sheetView showGridLines="0" topLeftCell="A13" zoomScale="90" zoomScaleNormal="90" workbookViewId="0">
      <selection activeCell="D18" sqref="D18"/>
    </sheetView>
  </sheetViews>
  <sheetFormatPr defaultColWidth="8.81640625" defaultRowHeight="13" x14ac:dyDescent="0.3"/>
  <cols>
    <col min="1" max="1" width="2.1796875" style="2" customWidth="1"/>
    <col min="2" max="2" width="37.81640625" style="2" customWidth="1"/>
    <col min="3" max="3" width="16.54296875" style="2" customWidth="1"/>
    <col min="4" max="4" width="95.26953125" style="2" customWidth="1"/>
    <col min="5" max="5" width="8.54296875" style="2" customWidth="1"/>
    <col min="6" max="6" width="26.54296875" style="2" customWidth="1"/>
    <col min="7" max="14" width="8.54296875" style="2" customWidth="1"/>
    <col min="15" max="16384" width="8.81640625" style="2"/>
  </cols>
  <sheetData>
    <row r="1" spans="2:9" s="44" customFormat="1" ht="18.5" x14ac:dyDescent="0.3">
      <c r="B1" s="1" t="s">
        <v>370</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53"/>
      <c r="E3" s="2"/>
      <c r="F3" s="2"/>
      <c r="G3" s="2"/>
      <c r="H3" s="42"/>
      <c r="I3" s="43"/>
    </row>
    <row r="4" spans="2:9" x14ac:dyDescent="0.3">
      <c r="B4" s="12" t="s">
        <v>22</v>
      </c>
      <c r="C4" s="13" t="s">
        <v>293</v>
      </c>
      <c r="D4" s="53"/>
    </row>
    <row r="5" spans="2:9" x14ac:dyDescent="0.3">
      <c r="B5" s="12" t="s">
        <v>25</v>
      </c>
      <c r="C5" s="13" t="s">
        <v>369</v>
      </c>
      <c r="D5" s="53"/>
    </row>
    <row r="6" spans="2:9" x14ac:dyDescent="0.3">
      <c r="B6" s="51" t="s">
        <v>18</v>
      </c>
      <c r="C6" s="52" t="s">
        <v>17</v>
      </c>
      <c r="D6" s="53"/>
    </row>
    <row r="7" spans="2:9" x14ac:dyDescent="0.3">
      <c r="B7" s="51" t="s">
        <v>26</v>
      </c>
      <c r="C7" s="52" t="s">
        <v>39</v>
      </c>
      <c r="D7" s="53"/>
    </row>
    <row r="8" spans="2:9" x14ac:dyDescent="0.3">
      <c r="B8" s="51" t="s">
        <v>74</v>
      </c>
      <c r="C8" s="62">
        <f>'Gates &amp; Shallow dive'!W36</f>
        <v>13.824096319328746</v>
      </c>
      <c r="D8" s="53"/>
    </row>
    <row r="9" spans="2:9" x14ac:dyDescent="0.3">
      <c r="B9" s="48" t="s">
        <v>44</v>
      </c>
      <c r="C9" s="62">
        <f>(1-$C$38)*$C$37</f>
        <v>6.4845636119476042</v>
      </c>
    </row>
    <row r="11" spans="2:9" x14ac:dyDescent="0.3">
      <c r="B11" s="6" t="s">
        <v>27</v>
      </c>
    </row>
    <row r="12" spans="2:9" x14ac:dyDescent="0.3">
      <c r="B12" s="54" t="s">
        <v>28</v>
      </c>
      <c r="F12" s="6" t="s">
        <v>29</v>
      </c>
    </row>
    <row r="13" spans="2:9" ht="104" x14ac:dyDescent="0.3">
      <c r="B13" s="51" t="s">
        <v>30</v>
      </c>
      <c r="C13" s="51" t="s">
        <v>73</v>
      </c>
      <c r="D13" s="55" t="s">
        <v>401</v>
      </c>
      <c r="F13" s="55" t="s">
        <v>298</v>
      </c>
    </row>
    <row r="14" spans="2:9" x14ac:dyDescent="0.3">
      <c r="B14" s="51" t="s">
        <v>32</v>
      </c>
      <c r="C14" s="51" t="s">
        <v>31</v>
      </c>
      <c r="D14" s="55"/>
      <c r="F14" s="51"/>
    </row>
    <row r="15" spans="2:9" x14ac:dyDescent="0.3">
      <c r="B15" s="51" t="s">
        <v>33</v>
      </c>
      <c r="C15" s="51" t="s">
        <v>31</v>
      </c>
      <c r="D15" s="55" t="s">
        <v>299</v>
      </c>
      <c r="F15" s="51"/>
    </row>
    <row r="16" spans="2:9" ht="195" x14ac:dyDescent="0.3">
      <c r="B16" s="51" t="s">
        <v>34</v>
      </c>
      <c r="C16" s="38" t="s">
        <v>73</v>
      </c>
      <c r="D16" s="55" t="s">
        <v>402</v>
      </c>
      <c r="F16" s="55" t="s">
        <v>94</v>
      </c>
    </row>
    <row r="17" spans="2:9" ht="299" x14ac:dyDescent="0.3">
      <c r="B17" s="51" t="s">
        <v>35</v>
      </c>
      <c r="C17" s="51" t="s">
        <v>73</v>
      </c>
      <c r="D17" s="55" t="s">
        <v>403</v>
      </c>
      <c r="F17" s="55" t="s">
        <v>93</v>
      </c>
    </row>
    <row r="18" spans="2:9" ht="52" x14ac:dyDescent="0.3">
      <c r="B18" s="51" t="s">
        <v>36</v>
      </c>
      <c r="C18" s="51" t="s">
        <v>43</v>
      </c>
      <c r="D18" s="55" t="s">
        <v>404</v>
      </c>
      <c r="F18" s="51" t="s">
        <v>92</v>
      </c>
      <c r="I18" s="5"/>
    </row>
    <row r="19" spans="2:9" x14ac:dyDescent="0.3">
      <c r="B19" s="51" t="s">
        <v>37</v>
      </c>
      <c r="C19" s="51" t="s">
        <v>31</v>
      </c>
      <c r="D19" s="55"/>
      <c r="F19" s="55"/>
    </row>
    <row r="20" spans="2:9" x14ac:dyDescent="0.3">
      <c r="B20" s="51" t="s">
        <v>38</v>
      </c>
      <c r="C20" s="51" t="s">
        <v>31</v>
      </c>
      <c r="D20" s="55"/>
      <c r="F20" s="51"/>
    </row>
    <row r="21" spans="2:9" x14ac:dyDescent="0.3">
      <c r="B21" s="58"/>
      <c r="C21" s="58"/>
      <c r="D21" s="58"/>
      <c r="F21" s="58"/>
    </row>
    <row r="22" spans="2:9" x14ac:dyDescent="0.3">
      <c r="B22" s="54"/>
      <c r="C22" s="58"/>
      <c r="D22" s="58"/>
      <c r="F22" s="58"/>
    </row>
    <row r="23" spans="2:9" x14ac:dyDescent="0.3">
      <c r="B23" s="58"/>
      <c r="C23" s="58"/>
      <c r="D23" s="58"/>
      <c r="F23" s="58"/>
    </row>
    <row r="24" spans="2:9" x14ac:dyDescent="0.3">
      <c r="B24" s="58"/>
      <c r="C24" s="58"/>
      <c r="D24" s="58"/>
      <c r="F24" s="58"/>
    </row>
    <row r="25" spans="2:9" ht="14.5" x14ac:dyDescent="0.35">
      <c r="B25" s="58"/>
      <c r="C25" s="58"/>
      <c r="D25" s="58"/>
      <c r="E25" s="36"/>
      <c r="F25" s="58"/>
    </row>
    <row r="26" spans="2:9" x14ac:dyDescent="0.3">
      <c r="B26" s="58"/>
      <c r="C26" s="58"/>
      <c r="D26" s="58"/>
      <c r="F26" s="58"/>
    </row>
    <row r="27" spans="2:9" x14ac:dyDescent="0.3">
      <c r="B27" s="58"/>
      <c r="C27" s="58"/>
      <c r="D27" s="58"/>
      <c r="F27" s="58"/>
    </row>
    <row r="28" spans="2:9" x14ac:dyDescent="0.3">
      <c r="B28" s="58"/>
      <c r="C28" s="58"/>
      <c r="D28" s="58"/>
      <c r="F28" s="58"/>
    </row>
    <row r="37" spans="2:14" x14ac:dyDescent="0.3">
      <c r="B37" s="2" t="s">
        <v>144</v>
      </c>
      <c r="C37" s="60">
        <f>10.6-(4.7*(10.6/13.7))</f>
        <v>6.9635036496350358</v>
      </c>
    </row>
    <row r="38" spans="2:14" x14ac:dyDescent="0.3">
      <c r="B38" s="2" t="s">
        <v>143</v>
      </c>
      <c r="C38" s="61">
        <v>6.8778600799977052E-2</v>
      </c>
    </row>
    <row r="40" spans="2:14" ht="14.5" x14ac:dyDescent="0.35">
      <c r="B40" s="6"/>
      <c r="D40" s="3"/>
    </row>
    <row r="45" spans="2:14" x14ac:dyDescent="0.3">
      <c r="N45"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4"/>
  <sheetViews>
    <sheetView showGridLines="0" zoomScale="80" zoomScaleNormal="80" workbookViewId="0">
      <selection activeCell="M6" sqref="M6"/>
    </sheetView>
  </sheetViews>
  <sheetFormatPr defaultColWidth="9" defaultRowHeight="13" x14ac:dyDescent="0.3"/>
  <cols>
    <col min="1" max="1" width="2.81640625" style="2" customWidth="1"/>
    <col min="2" max="2" width="9" style="2"/>
    <col min="3" max="8" width="10.26953125" style="2" customWidth="1"/>
    <col min="9" max="9" width="20" style="2" customWidth="1"/>
    <col min="10" max="10" width="4.7265625" style="2" customWidth="1"/>
    <col min="11" max="16" width="10.26953125" style="2" customWidth="1"/>
    <col min="17" max="16384" width="9" style="2"/>
  </cols>
  <sheetData>
    <row r="1" spans="1:16" ht="18.5" x14ac:dyDescent="0.45">
      <c r="A1" s="121" t="s">
        <v>275</v>
      </c>
    </row>
    <row r="2" spans="1:16" ht="15.5" x14ac:dyDescent="0.3">
      <c r="A2" s="122" t="s">
        <v>276</v>
      </c>
    </row>
    <row r="4" spans="1:16" x14ac:dyDescent="0.3">
      <c r="B4" s="123" t="str">
        <f>Data!D7</f>
        <v>Investment to address raw water deterioration (THM, nitrates, Crypto, pesticides, others) - capex</v>
      </c>
    </row>
    <row r="6" spans="1:16" ht="52" x14ac:dyDescent="0.3">
      <c r="C6" s="124">
        <v>2021</v>
      </c>
      <c r="D6" s="124">
        <v>2022</v>
      </c>
      <c r="E6" s="124">
        <v>2023</v>
      </c>
      <c r="F6" s="124">
        <v>2024</v>
      </c>
      <c r="G6" s="124">
        <v>2025</v>
      </c>
      <c r="H6" s="125" t="s">
        <v>277</v>
      </c>
      <c r="I6" s="125" t="s">
        <v>359</v>
      </c>
      <c r="K6" s="125" t="s">
        <v>278</v>
      </c>
      <c r="L6" s="125" t="s">
        <v>225</v>
      </c>
      <c r="M6" s="125" t="s">
        <v>360</v>
      </c>
      <c r="N6" s="125" t="s">
        <v>279</v>
      </c>
      <c r="O6" s="125" t="s">
        <v>280</v>
      </c>
      <c r="P6" s="125" t="s">
        <v>281</v>
      </c>
    </row>
    <row r="7" spans="1:16" x14ac:dyDescent="0.3">
      <c r="B7" s="24" t="s">
        <v>0</v>
      </c>
      <c r="C7" s="65">
        <f>SUMIFS(Data!$D$8:$D$122,Data!$B$8:$B$122,$B7,Data!$C$8:$C$122,C$6)</f>
        <v>5.1435874772425203</v>
      </c>
      <c r="D7" s="65">
        <f>SUMIFS(Data!$D$8:$D$112,Data!$B$8:$B$112,$B7,Data!$C$8:$C$112,D$6)</f>
        <v>15.5413618855219</v>
      </c>
      <c r="E7" s="65">
        <f>SUMIFS(Data!$D$8:$D$112,Data!$B$8:$B$112,$B7,Data!$C$8:$C$112,E$6)</f>
        <v>2.09270816777682</v>
      </c>
      <c r="F7" s="65">
        <f>SUMIFS(Data!$D$8:$D$112,Data!$B$8:$B$112,$B7,Data!$C$8:$C$112,F$6)</f>
        <v>0</v>
      </c>
      <c r="G7" s="65">
        <f>SUMIFS(Data!$D$8:$D$112,Data!$B$8:$B$112,$B7,Data!$C$8:$C$112,G$6)</f>
        <v>0</v>
      </c>
      <c r="H7" s="65">
        <f t="shared" ref="H7:H24" si="0">SUM(C7:G7)</f>
        <v>22.777657530541241</v>
      </c>
      <c r="I7" s="65">
        <f>H7+Allowance!F13</f>
        <v>22.777657530541241</v>
      </c>
      <c r="K7" s="126">
        <f>SUMIFS(Data!$E$8:$E$112,Data!$B$8:$B$112,$B7)</f>
        <v>2814.0055180862919</v>
      </c>
      <c r="L7" s="127">
        <f t="shared" ref="L7:L23" si="1">IFERROR(H7/K7,"")</f>
        <v>8.0943897885571818E-3</v>
      </c>
      <c r="M7" s="25">
        <v>0.15</v>
      </c>
      <c r="N7" s="7">
        <v>0</v>
      </c>
      <c r="O7" s="65">
        <f>'Deep dive_ANH'!C9</f>
        <v>15.488807120768042</v>
      </c>
      <c r="P7" s="128">
        <f t="shared" ref="P7:P23" si="2">N7+O7</f>
        <v>15.488807120768042</v>
      </c>
    </row>
    <row r="8" spans="1:16" x14ac:dyDescent="0.3">
      <c r="B8" s="24" t="s">
        <v>70</v>
      </c>
      <c r="C8" s="65">
        <f>SUMIFS(Data!$D$8:$D$122,Data!$B$8:$B$122,$B8,Data!$C$8:$C$122,C$6)</f>
        <v>0</v>
      </c>
      <c r="D8" s="65">
        <f>SUMIFS(Data!$D$8:$D$112,Data!$B$8:$B$112,$B8,Data!$C$8:$C$112,D$6)</f>
        <v>0</v>
      </c>
      <c r="E8" s="65">
        <f>SUMIFS(Data!$D$8:$D$112,Data!$B$8:$B$112,$B8,Data!$C$8:$C$112,E$6)</f>
        <v>0</v>
      </c>
      <c r="F8" s="65">
        <f>SUMIFS(Data!$D$8:$D$112,Data!$B$8:$B$112,$B8,Data!$C$8:$C$112,F$6)</f>
        <v>0</v>
      </c>
      <c r="G8" s="65">
        <f>SUMIFS(Data!$D$8:$D$112,Data!$B$8:$B$112,$B8,Data!$C$8:$C$112,G$6)</f>
        <v>0</v>
      </c>
      <c r="H8" s="65">
        <f t="shared" si="0"/>
        <v>0</v>
      </c>
      <c r="I8" s="65">
        <f>H8+Allowance!F14</f>
        <v>0</v>
      </c>
      <c r="K8" s="126">
        <f>SUMIFS(Data!$E$8:$E$112,Data!$B$8:$B$112,$B8)</f>
        <v>131.30264490490808</v>
      </c>
      <c r="L8" s="127">
        <f t="shared" si="1"/>
        <v>0</v>
      </c>
      <c r="M8" s="25">
        <v>0</v>
      </c>
      <c r="N8" s="8">
        <v>0</v>
      </c>
      <c r="O8" s="65"/>
      <c r="P8" s="128">
        <f t="shared" si="2"/>
        <v>0</v>
      </c>
    </row>
    <row r="9" spans="1:16" x14ac:dyDescent="0.3">
      <c r="B9" s="24" t="s">
        <v>1</v>
      </c>
      <c r="C9" s="65">
        <f>SUMIFS(Data!$D$8:$D$122,Data!$B$8:$B$122,$B9,Data!$C$8:$C$122,C$6)</f>
        <v>0</v>
      </c>
      <c r="D9" s="65">
        <f>SUMIFS(Data!$D$8:$D$112,Data!$B$8:$B$112,$B9,Data!$C$8:$C$112,D$6)</f>
        <v>0</v>
      </c>
      <c r="E9" s="65">
        <f>SUMIFS(Data!$D$8:$D$112,Data!$B$8:$B$112,$B9,Data!$C$8:$C$112,E$6)</f>
        <v>0</v>
      </c>
      <c r="F9" s="65">
        <f>SUMIFS(Data!$D$8:$D$112,Data!$B$8:$B$112,$B9,Data!$C$8:$C$112,F$6)</f>
        <v>0</v>
      </c>
      <c r="G9" s="65">
        <f>SUMIFS(Data!$D$8:$D$112,Data!$B$8:$B$112,$B9,Data!$C$8:$C$112,G$6)</f>
        <v>0</v>
      </c>
      <c r="H9" s="65">
        <f t="shared" si="0"/>
        <v>0</v>
      </c>
      <c r="I9" s="65">
        <f>H9+Allowance!F15</f>
        <v>33.000000000000007</v>
      </c>
      <c r="K9" s="126">
        <f>SUMIFS(Data!$E$8:$E$112,Data!$B$8:$B$112,$B9)</f>
        <v>1729.884</v>
      </c>
      <c r="L9" s="127">
        <f t="shared" si="1"/>
        <v>0</v>
      </c>
      <c r="M9" s="25">
        <v>2.650441955963285E-4</v>
      </c>
      <c r="N9" s="7">
        <v>0</v>
      </c>
      <c r="O9" s="65">
        <f>'Deep dive_NES'!$C$9</f>
        <v>0</v>
      </c>
      <c r="P9" s="128">
        <f t="shared" si="2"/>
        <v>0</v>
      </c>
    </row>
    <row r="10" spans="1:16" x14ac:dyDescent="0.3">
      <c r="B10" s="24" t="s">
        <v>2</v>
      </c>
      <c r="C10" s="65">
        <f>SUMIFS(Data!$D$8:$D$122,Data!$B$8:$B$122,$B10,Data!$C$8:$C$122,C$6)</f>
        <v>5.9093275488069398E-2</v>
      </c>
      <c r="D10" s="65">
        <f>SUMIFS(Data!$D$8:$D$112,Data!$B$8:$B$112,$B10,Data!$C$8:$C$112,D$6)</f>
        <v>5.9093275488069398E-2</v>
      </c>
      <c r="E10" s="65">
        <f>SUMIFS(Data!$D$8:$D$112,Data!$B$8:$B$112,$B10,Data!$C$8:$C$112,E$6)</f>
        <v>5.9093275488069398E-2</v>
      </c>
      <c r="F10" s="65">
        <f>SUMIFS(Data!$D$8:$D$112,Data!$B$8:$B$112,$B10,Data!$C$8:$C$112,F$6)</f>
        <v>5.9093275488069398E-2</v>
      </c>
      <c r="G10" s="65">
        <f>SUMIFS(Data!$D$8:$D$112,Data!$B$8:$B$112,$B10,Data!$C$8:$C$112,G$6)</f>
        <v>5.9093275488069398E-2</v>
      </c>
      <c r="H10" s="65">
        <f t="shared" si="0"/>
        <v>0.29546637744034698</v>
      </c>
      <c r="I10" s="65">
        <f>H10+Allowance!F16</f>
        <v>0.29546637744034698</v>
      </c>
      <c r="K10" s="126">
        <f>SUMIFS(Data!$E$8:$E$112,Data!$B$8:$B$112,$B10)</f>
        <v>2477.5035104607214</v>
      </c>
      <c r="L10" s="127">
        <f t="shared" si="1"/>
        <v>1.1925972100253512E-4</v>
      </c>
      <c r="M10" s="25">
        <v>0</v>
      </c>
      <c r="N10" s="65">
        <f>I10*(1-M10)</f>
        <v>0.29546637744034698</v>
      </c>
      <c r="O10" s="65"/>
      <c r="P10" s="128">
        <f t="shared" si="2"/>
        <v>0.29546637744034698</v>
      </c>
    </row>
    <row r="11" spans="1:16" x14ac:dyDescent="0.3">
      <c r="B11" s="24" t="s">
        <v>3</v>
      </c>
      <c r="C11" s="65">
        <f>SUMIFS(Data!$D$8:$D$122,Data!$B$8:$B$122,$B11,Data!$C$8:$C$122,C$6)</f>
        <v>20.241</v>
      </c>
      <c r="D11" s="65">
        <f>SUMIFS(Data!$D$8:$D$112,Data!$B$8:$B$112,$B11,Data!$C$8:$C$112,D$6)</f>
        <v>22.071999999999999</v>
      </c>
      <c r="E11" s="65">
        <f>SUMIFS(Data!$D$8:$D$112,Data!$B$8:$B$112,$B11,Data!$C$8:$C$112,E$6)</f>
        <v>10.804</v>
      </c>
      <c r="F11" s="65">
        <f>SUMIFS(Data!$D$8:$D$112,Data!$B$8:$B$112,$B11,Data!$C$8:$C$112,F$6)</f>
        <v>1.5289999999999999</v>
      </c>
      <c r="G11" s="65">
        <f>SUMIFS(Data!$D$8:$D$112,Data!$B$8:$B$112,$B11,Data!$C$8:$C$112,G$6)</f>
        <v>0.76500000000000001</v>
      </c>
      <c r="H11" s="65">
        <f t="shared" si="0"/>
        <v>55.411000000000001</v>
      </c>
      <c r="I11" s="65">
        <f>H11+Allowance!F17</f>
        <v>55.411000000000001</v>
      </c>
      <c r="K11" s="126">
        <f>SUMIFS(Data!$E$8:$E$112,Data!$B$8:$B$112,$B11)</f>
        <v>1226.604</v>
      </c>
      <c r="L11" s="127">
        <f t="shared" si="1"/>
        <v>4.5174318688019931E-2</v>
      </c>
      <c r="M11" s="25">
        <v>0.1</v>
      </c>
      <c r="N11" s="7">
        <v>0</v>
      </c>
      <c r="O11" s="65">
        <f>'Deep dive_SRN'!C9</f>
        <v>49.870800000000003</v>
      </c>
      <c r="P11" s="128">
        <f t="shared" si="2"/>
        <v>49.870800000000003</v>
      </c>
    </row>
    <row r="12" spans="1:16" x14ac:dyDescent="0.3">
      <c r="B12" s="24" t="s">
        <v>69</v>
      </c>
      <c r="C12" s="65">
        <f>SUMIFS(Data!$D$8:$D$122,Data!$B$8:$B$122,$B12,Data!$C$8:$C$122,C$6)</f>
        <v>4.016</v>
      </c>
      <c r="D12" s="65">
        <f>SUMIFS(Data!$D$8:$D$112,Data!$B$8:$B$112,$B12,Data!$C$8:$C$112,D$6)</f>
        <v>7.8360000000000003</v>
      </c>
      <c r="E12" s="65">
        <f>SUMIFS(Data!$D$8:$D$112,Data!$B$8:$B$112,$B12,Data!$C$8:$C$112,E$6)</f>
        <v>10.855</v>
      </c>
      <c r="F12" s="65">
        <f>SUMIFS(Data!$D$8:$D$112,Data!$B$8:$B$112,$B12,Data!$C$8:$C$112,F$6)</f>
        <v>7.024</v>
      </c>
      <c r="G12" s="65">
        <f>SUMIFS(Data!$D$8:$D$112,Data!$B$8:$B$112,$B12,Data!$C$8:$C$112,G$6)</f>
        <v>4.3179999999999996</v>
      </c>
      <c r="H12" s="65">
        <f t="shared" si="0"/>
        <v>34.048999999999999</v>
      </c>
      <c r="I12" s="65">
        <f>H12+Allowance!F18</f>
        <v>34.048999999999999</v>
      </c>
      <c r="K12" s="126">
        <f>SUMIFS(Data!$E$8:$E$112,Data!$B$8:$B$112,$B12)</f>
        <v>3115.8041903943272</v>
      </c>
      <c r="L12" s="127">
        <f t="shared" si="1"/>
        <v>1.0927836898406269E-2</v>
      </c>
      <c r="M12" s="25">
        <v>0</v>
      </c>
      <c r="N12" s="8">
        <v>0</v>
      </c>
      <c r="O12" s="65">
        <f>'Deep dive_SVE'!$C$9</f>
        <v>21.811643199999999</v>
      </c>
      <c r="P12" s="128">
        <f t="shared" si="2"/>
        <v>21.811643199999999</v>
      </c>
    </row>
    <row r="13" spans="1:16" x14ac:dyDescent="0.3">
      <c r="B13" s="24" t="s">
        <v>6</v>
      </c>
      <c r="C13" s="65">
        <f>SUMIFS(Data!$D$8:$D$122,Data!$B$8:$B$122,$B13,Data!$C$8:$C$122,C$6)</f>
        <v>6.319</v>
      </c>
      <c r="D13" s="65">
        <f>SUMIFS(Data!$D$8:$D$112,Data!$B$8:$B$112,$B13,Data!$C$8:$C$112,D$6)</f>
        <v>9.9429999999999996</v>
      </c>
      <c r="E13" s="65">
        <f>SUMIFS(Data!$D$8:$D$112,Data!$B$8:$B$112,$B13,Data!$C$8:$C$112,E$6)</f>
        <v>18.523</v>
      </c>
      <c r="F13" s="65">
        <f>SUMIFS(Data!$D$8:$D$112,Data!$B$8:$B$112,$B13,Data!$C$8:$C$112,F$6)</f>
        <v>17.398</v>
      </c>
      <c r="G13" s="65">
        <f>SUMIFS(Data!$D$8:$D$112,Data!$B$8:$B$112,$B13,Data!$C$8:$C$112,G$6)</f>
        <v>11.44</v>
      </c>
      <c r="H13" s="65">
        <f t="shared" si="0"/>
        <v>63.62299999999999</v>
      </c>
      <c r="I13" s="65">
        <f>H13+Allowance!F19</f>
        <v>77.231999999999985</v>
      </c>
      <c r="K13" s="126">
        <f>SUMIFS(Data!$E$8:$E$112,Data!$B$8:$B$112,$B13)</f>
        <v>894.25199999999995</v>
      </c>
      <c r="L13" s="127">
        <f t="shared" si="1"/>
        <v>7.1146611916998781E-2</v>
      </c>
      <c r="M13" s="25">
        <v>0</v>
      </c>
      <c r="N13" s="7">
        <v>0</v>
      </c>
      <c r="O13" s="65">
        <f>'Deep dive_SWB'!$C$9</f>
        <v>41.554372909981055</v>
      </c>
      <c r="P13" s="128">
        <f t="shared" si="2"/>
        <v>41.554372909981055</v>
      </c>
    </row>
    <row r="14" spans="1:16" x14ac:dyDescent="0.3">
      <c r="B14" s="24" t="s">
        <v>7</v>
      </c>
      <c r="C14" s="65">
        <f>SUMIFS(Data!$D$8:$D$122,Data!$B$8:$B$122,$B14,Data!$C$8:$C$122,C$6)</f>
        <v>9.0655388874000007</v>
      </c>
      <c r="D14" s="65">
        <f>SUMIFS(Data!$D$8:$D$112,Data!$B$8:$B$112,$B14,Data!$C$8:$C$112,D$6)</f>
        <v>2.9582078269999998</v>
      </c>
      <c r="E14" s="65">
        <f>SUMIFS(Data!$D$8:$D$112,Data!$B$8:$B$112,$B14,Data!$C$8:$C$112,E$6)</f>
        <v>0.4493920246</v>
      </c>
      <c r="F14" s="65">
        <f>SUMIFS(Data!$D$8:$D$112,Data!$B$8:$B$112,$B14,Data!$C$8:$C$112,F$6)</f>
        <v>0</v>
      </c>
      <c r="G14" s="65">
        <f>SUMIFS(Data!$D$8:$D$112,Data!$B$8:$B$112,$B14,Data!$C$8:$C$112,G$6)</f>
        <v>0</v>
      </c>
      <c r="H14" s="65">
        <f t="shared" si="0"/>
        <v>12.473138739000001</v>
      </c>
      <c r="I14" s="65">
        <f>H14+Allowance!F20</f>
        <v>12.473138739000001</v>
      </c>
      <c r="K14" s="126">
        <f>SUMIFS(Data!$E$8:$E$112,Data!$B$8:$B$112,$B14)</f>
        <v>5658.2039244564403</v>
      </c>
      <c r="L14" s="127">
        <f t="shared" si="1"/>
        <v>2.2044342878996259E-3</v>
      </c>
      <c r="M14" s="25">
        <v>0.13</v>
      </c>
      <c r="N14" s="65">
        <f>I14*(1-M14)</f>
        <v>10.851630702930001</v>
      </c>
      <c r="O14" s="65"/>
      <c r="P14" s="128">
        <f t="shared" si="2"/>
        <v>10.851630702930001</v>
      </c>
    </row>
    <row r="15" spans="1:16" x14ac:dyDescent="0.3">
      <c r="B15" s="24" t="s">
        <v>8</v>
      </c>
      <c r="C15" s="65">
        <f>SUMIFS(Data!$D$8:$D$122,Data!$B$8:$B$122,$B15,Data!$C$8:$C$122,C$6)</f>
        <v>0.48299999999999998</v>
      </c>
      <c r="D15" s="65">
        <f>SUMIFS(Data!$D$8:$D$112,Data!$B$8:$B$112,$B15,Data!$C$8:$C$112,D$6)</f>
        <v>0.505</v>
      </c>
      <c r="E15" s="65">
        <f>SUMIFS(Data!$D$8:$D$112,Data!$B$8:$B$112,$B15,Data!$C$8:$C$112,E$6)</f>
        <v>0.13700000000000001</v>
      </c>
      <c r="F15" s="65">
        <f>SUMIFS(Data!$D$8:$D$112,Data!$B$8:$B$112,$B15,Data!$C$8:$C$112,F$6)</f>
        <v>0.13700000000000001</v>
      </c>
      <c r="G15" s="65">
        <f>SUMIFS(Data!$D$8:$D$112,Data!$B$8:$B$112,$B15,Data!$C$8:$C$112,G$6)</f>
        <v>0.13700000000000001</v>
      </c>
      <c r="H15" s="65">
        <f t="shared" si="0"/>
        <v>1.399</v>
      </c>
      <c r="I15" s="65">
        <f>H15+Allowance!F21</f>
        <v>10.399000000000001</v>
      </c>
      <c r="K15" s="126">
        <f>SUMIFS(Data!$E$8:$E$112,Data!$B$8:$B$112,$B15)</f>
        <v>1646.3919999999998</v>
      </c>
      <c r="L15" s="127">
        <f t="shared" si="1"/>
        <v>8.4973687918794567E-4</v>
      </c>
      <c r="M15" s="25">
        <v>0</v>
      </c>
      <c r="N15" s="65">
        <f>I15*(1-M15)</f>
        <v>10.399000000000001</v>
      </c>
      <c r="O15" s="65"/>
      <c r="P15" s="128">
        <f t="shared" si="2"/>
        <v>10.399000000000001</v>
      </c>
    </row>
    <row r="16" spans="1:16" x14ac:dyDescent="0.3">
      <c r="B16" s="24" t="s">
        <v>9</v>
      </c>
      <c r="C16" s="65">
        <f>SUMIFS(Data!$D$8:$D$122,Data!$B$8:$B$122,$B16,Data!$C$8:$C$122,C$6)</f>
        <v>1.2534092307692299</v>
      </c>
      <c r="D16" s="65">
        <f>SUMIFS(Data!$D$8:$D$112,Data!$B$8:$B$112,$B16,Data!$C$8:$C$112,D$6)</f>
        <v>3.4930124999999999</v>
      </c>
      <c r="E16" s="65">
        <f>SUMIFS(Data!$D$8:$D$112,Data!$B$8:$B$112,$B16,Data!$C$8:$C$112,E$6)</f>
        <v>4.0933228846153904</v>
      </c>
      <c r="F16" s="65">
        <f>SUMIFS(Data!$D$8:$D$112,Data!$B$8:$B$112,$B16,Data!$C$8:$C$112,F$6)</f>
        <v>1.41177461538462</v>
      </c>
      <c r="G16" s="65">
        <f>SUMIFS(Data!$D$8:$D$112,Data!$B$8:$B$112,$B16,Data!$C$8:$C$112,G$6)</f>
        <v>0.105576923076923</v>
      </c>
      <c r="H16" s="65">
        <f t="shared" si="0"/>
        <v>10.357096153846163</v>
      </c>
      <c r="I16" s="65">
        <f>H16+Allowance!F22</f>
        <v>10.357096153846163</v>
      </c>
      <c r="K16" s="126">
        <f>SUMIFS(Data!$E$8:$E$112,Data!$B$8:$B$112,$B16)</f>
        <v>660.34856778321205</v>
      </c>
      <c r="L16" s="127">
        <f t="shared" si="1"/>
        <v>1.5684286540690019E-2</v>
      </c>
      <c r="M16" s="25">
        <v>0</v>
      </c>
      <c r="N16" s="181">
        <v>0</v>
      </c>
      <c r="O16" s="65">
        <f>'Deep dive_WSX'!C9</f>
        <v>8</v>
      </c>
      <c r="P16" s="128">
        <f t="shared" si="2"/>
        <v>8</v>
      </c>
    </row>
    <row r="17" spans="2:16" x14ac:dyDescent="0.3">
      <c r="B17" s="24" t="s">
        <v>10</v>
      </c>
      <c r="C17" s="65">
        <f>SUMIFS(Data!$D$8:$D$122,Data!$B$8:$B$122,$B17,Data!$C$8:$C$122,C$6)</f>
        <v>13.329000000000001</v>
      </c>
      <c r="D17" s="65">
        <f>SUMIFS(Data!$D$8:$D$112,Data!$B$8:$B$112,$B17,Data!$C$8:$C$112,D$6)</f>
        <v>17.021000000000001</v>
      </c>
      <c r="E17" s="65">
        <f>SUMIFS(Data!$D$8:$D$112,Data!$B$8:$B$112,$B17,Data!$C$8:$C$112,E$6)</f>
        <v>13.641999999999999</v>
      </c>
      <c r="F17" s="65">
        <f>SUMIFS(Data!$D$8:$D$112,Data!$B$8:$B$112,$B17,Data!$C$8:$C$112,F$6)</f>
        <v>8.9890000000000008</v>
      </c>
      <c r="G17" s="65">
        <f>SUMIFS(Data!$D$8:$D$112,Data!$B$8:$B$112,$B17,Data!$C$8:$C$112,G$6)</f>
        <v>7.1559999999999997</v>
      </c>
      <c r="H17" s="65">
        <f t="shared" si="0"/>
        <v>60.137000000000008</v>
      </c>
      <c r="I17" s="65">
        <f>H17+Allowance!F23</f>
        <v>60.137000000000008</v>
      </c>
      <c r="K17" s="126">
        <f>SUMIFS(Data!$E$8:$E$112,Data!$B$8:$B$112,$B17)</f>
        <v>2024.423</v>
      </c>
      <c r="L17" s="127">
        <f t="shared" si="1"/>
        <v>2.9705748255181852E-2</v>
      </c>
      <c r="M17" s="25">
        <v>0.10346547216238228</v>
      </c>
      <c r="N17" s="181">
        <v>0</v>
      </c>
      <c r="O17" s="65">
        <f>'Deep dive_YKY'!C9</f>
        <v>35.924138530453341</v>
      </c>
      <c r="P17" s="128">
        <f t="shared" si="2"/>
        <v>35.924138530453341</v>
      </c>
    </row>
    <row r="18" spans="2:16" x14ac:dyDescent="0.3">
      <c r="B18" s="24" t="s">
        <v>11</v>
      </c>
      <c r="C18" s="65">
        <f>SUMIFS(Data!$D$8:$D$122,Data!$B$8:$B$122,$B18,Data!$C$8:$C$122,C$6)</f>
        <v>0.97199999999999998</v>
      </c>
      <c r="D18" s="65">
        <f>SUMIFS(Data!$D$8:$D$112,Data!$B$8:$B$112,$B18,Data!$C$8:$C$112,D$6)</f>
        <v>2.2167396698223798</v>
      </c>
      <c r="E18" s="65">
        <f>SUMIFS(Data!$D$8:$D$112,Data!$B$8:$B$112,$B18,Data!$C$8:$C$112,E$6)</f>
        <v>0.49778374071458198</v>
      </c>
      <c r="F18" s="65">
        <f>SUMIFS(Data!$D$8:$D$112,Data!$B$8:$B$112,$B18,Data!$C$8:$C$112,F$6)</f>
        <v>0</v>
      </c>
      <c r="G18" s="65">
        <f>SUMIFS(Data!$D$8:$D$112,Data!$B$8:$B$112,$B18,Data!$C$8:$C$112,G$6)</f>
        <v>0</v>
      </c>
      <c r="H18" s="65">
        <f t="shared" si="0"/>
        <v>3.686523410536962</v>
      </c>
      <c r="I18" s="65">
        <f>H18+Allowance!F24</f>
        <v>3.686523410536962</v>
      </c>
      <c r="K18" s="126">
        <f>SUMIFS(Data!$E$8:$E$112,Data!$B$8:$B$112,$B18)</f>
        <v>1368.4611030444821</v>
      </c>
      <c r="L18" s="127">
        <f t="shared" si="1"/>
        <v>2.6939190323607837E-3</v>
      </c>
      <c r="M18" s="25">
        <v>6.0705358641883776E-2</v>
      </c>
      <c r="N18" s="65">
        <f>I18*(1-M18)</f>
        <v>3.4627316847586154</v>
      </c>
      <c r="O18" s="65"/>
      <c r="P18" s="128">
        <f t="shared" si="2"/>
        <v>3.4627316847586154</v>
      </c>
    </row>
    <row r="19" spans="2:16" x14ac:dyDescent="0.3">
      <c r="B19" s="24" t="s">
        <v>12</v>
      </c>
      <c r="C19" s="65">
        <f>SUMIFS(Data!$D$8:$D$122,Data!$B$8:$B$122,$B19,Data!$C$8:$C$122,C$6)</f>
        <v>0.78</v>
      </c>
      <c r="D19" s="65">
        <f>SUMIFS(Data!$D$8:$D$112,Data!$B$8:$B$112,$B19,Data!$C$8:$C$112,D$6)</f>
        <v>0.78</v>
      </c>
      <c r="E19" s="65">
        <f>SUMIFS(Data!$D$8:$D$112,Data!$B$8:$B$112,$B19,Data!$C$8:$C$112,E$6)</f>
        <v>1.24</v>
      </c>
      <c r="F19" s="65">
        <f>SUMIFS(Data!$D$8:$D$112,Data!$B$8:$B$112,$B19,Data!$C$8:$C$112,F$6)</f>
        <v>0.78</v>
      </c>
      <c r="G19" s="65">
        <f>SUMIFS(Data!$D$8:$D$112,Data!$B$8:$B$112,$B19,Data!$C$8:$C$112,G$6)</f>
        <v>0.78</v>
      </c>
      <c r="H19" s="65">
        <f t="shared" si="0"/>
        <v>4.3600000000000003</v>
      </c>
      <c r="I19" s="65">
        <f>H19+Allowance!F25</f>
        <v>4.3600000000000003</v>
      </c>
      <c r="K19" s="126">
        <f>SUMIFS(Data!$E$8:$E$112,Data!$B$8:$B$112,$B19)</f>
        <v>457.197</v>
      </c>
      <c r="L19" s="127">
        <f t="shared" si="1"/>
        <v>9.536370536114629E-3</v>
      </c>
      <c r="M19" s="25">
        <v>7.195828641155512E-2</v>
      </c>
      <c r="N19" s="7">
        <v>0</v>
      </c>
      <c r="O19" s="65">
        <f>'Deep dive_BRL'!C9</f>
        <v>0.42689918825068468</v>
      </c>
      <c r="P19" s="128">
        <f t="shared" si="2"/>
        <v>0.42689918825068468</v>
      </c>
    </row>
    <row r="20" spans="2:16" x14ac:dyDescent="0.3">
      <c r="B20" s="24" t="s">
        <v>14</v>
      </c>
      <c r="C20" s="65">
        <f>SUMIFS(Data!$D$8:$D$122,Data!$B$8:$B$122,$B20,Data!$C$8:$C$122,C$6)</f>
        <v>2.8719999999999999</v>
      </c>
      <c r="D20" s="65">
        <f>SUMIFS(Data!$D$8:$D$112,Data!$B$8:$B$112,$B20,Data!$C$8:$C$112,D$6)</f>
        <v>1.1859999999999999</v>
      </c>
      <c r="E20" s="65">
        <f>SUMIFS(Data!$D$8:$D$112,Data!$B$8:$B$112,$B20,Data!$C$8:$C$112,E$6)</f>
        <v>0</v>
      </c>
      <c r="F20" s="65">
        <f>SUMIFS(Data!$D$8:$D$112,Data!$B$8:$B$112,$B20,Data!$C$8:$C$112,F$6)</f>
        <v>1.46</v>
      </c>
      <c r="G20" s="65">
        <f>SUMIFS(Data!$D$8:$D$112,Data!$B$8:$B$112,$B20,Data!$C$8:$C$112,G$6)</f>
        <v>0.25800000000000001</v>
      </c>
      <c r="H20" s="65">
        <f t="shared" si="0"/>
        <v>5.7759999999999998</v>
      </c>
      <c r="I20" s="65">
        <f>H20+Allowance!F26</f>
        <v>5.7759999999999998</v>
      </c>
      <c r="K20" s="126">
        <f>SUMIFS(Data!$E$8:$E$112,Data!$B$8:$B$112,$B20)</f>
        <v>223.94399999999999</v>
      </c>
      <c r="L20" s="127">
        <f t="shared" si="1"/>
        <v>2.5792162326295859E-2</v>
      </c>
      <c r="M20" s="25">
        <v>0</v>
      </c>
      <c r="N20" s="7">
        <v>0</v>
      </c>
      <c r="O20" s="65">
        <f>'Deep dive_PRT'!C9</f>
        <v>5.7750000000000004</v>
      </c>
      <c r="P20" s="128">
        <f t="shared" si="2"/>
        <v>5.7750000000000004</v>
      </c>
    </row>
    <row r="21" spans="2:16" x14ac:dyDescent="0.3">
      <c r="B21" s="24" t="s">
        <v>15</v>
      </c>
      <c r="C21" s="65">
        <f>SUMIFS(Data!$D$8:$D$122,Data!$B$8:$B$122,$B21,Data!$C$8:$C$122,C$6)</f>
        <v>0</v>
      </c>
      <c r="D21" s="65">
        <f>SUMIFS(Data!$D$8:$D$112,Data!$B$8:$B$112,$B21,Data!$C$8:$C$112,D$6)</f>
        <v>0</v>
      </c>
      <c r="E21" s="65">
        <f>SUMIFS(Data!$D$8:$D$112,Data!$B$8:$B$112,$B21,Data!$C$8:$C$112,E$6)</f>
        <v>0</v>
      </c>
      <c r="F21" s="65">
        <f>SUMIFS(Data!$D$8:$D$112,Data!$B$8:$B$112,$B21,Data!$C$8:$C$112,F$6)</f>
        <v>0</v>
      </c>
      <c r="G21" s="65">
        <f>SUMIFS(Data!$D$8:$D$112,Data!$B$8:$B$112,$B21,Data!$C$8:$C$112,G$6)</f>
        <v>0</v>
      </c>
      <c r="H21" s="65">
        <f t="shared" si="0"/>
        <v>0</v>
      </c>
      <c r="I21" s="65">
        <f>H21+Allowance!F27</f>
        <v>0</v>
      </c>
      <c r="K21" s="126">
        <f>SUMIFS(Data!$E$8:$E$112,Data!$B$8:$B$112,$B21)</f>
        <v>253.309</v>
      </c>
      <c r="L21" s="127">
        <f t="shared" si="1"/>
        <v>0</v>
      </c>
      <c r="M21" s="25">
        <v>9.1408261361736784E-2</v>
      </c>
      <c r="N21" s="7">
        <v>0</v>
      </c>
      <c r="O21" s="65"/>
      <c r="P21" s="128">
        <f t="shared" si="2"/>
        <v>0</v>
      </c>
    </row>
    <row r="22" spans="2:16" x14ac:dyDescent="0.3">
      <c r="B22" s="24" t="s">
        <v>16</v>
      </c>
      <c r="C22" s="65">
        <f>SUMIFS(Data!$D$8:$D$122,Data!$B$8:$B$122,$B22,Data!$C$8:$C$122,C$6)</f>
        <v>2.4285005375708901</v>
      </c>
      <c r="D22" s="65">
        <f>SUMIFS(Data!$D$8:$D$112,Data!$B$8:$B$112,$B22,Data!$C$8:$C$112,D$6)</f>
        <v>2.38478752789461</v>
      </c>
      <c r="E22" s="65">
        <f>SUMIFS(Data!$D$8:$D$112,Data!$B$8:$B$112,$B22,Data!$C$8:$C$112,E$6)</f>
        <v>2.9193951850000199</v>
      </c>
      <c r="F22" s="65">
        <f>SUMIFS(Data!$D$8:$D$112,Data!$B$8:$B$112,$B22,Data!$C$8:$C$112,F$6)</f>
        <v>4.8819202308433898</v>
      </c>
      <c r="G22" s="65">
        <f>SUMIFS(Data!$D$8:$D$112,Data!$B$8:$B$112,$B22,Data!$C$8:$C$112,G$6)</f>
        <v>4.7940456666882101</v>
      </c>
      <c r="H22" s="65">
        <f t="shared" si="0"/>
        <v>17.408649147997121</v>
      </c>
      <c r="I22" s="65">
        <f>H22+Allowance!F28</f>
        <v>17.408649147997121</v>
      </c>
      <c r="K22" s="126">
        <f>SUMIFS(Data!$E$8:$E$112,Data!$B$8:$B$112,$B22)</f>
        <v>960.94699999999989</v>
      </c>
      <c r="L22" s="127">
        <f t="shared" si="1"/>
        <v>1.8116138713162248E-2</v>
      </c>
      <c r="M22" s="25">
        <v>8.5623557290976458E-3</v>
      </c>
      <c r="N22" s="7">
        <v>0</v>
      </c>
      <c r="O22" s="65">
        <f>'Deep dive_SEW'!C9</f>
        <v>16.367296221385104</v>
      </c>
      <c r="P22" s="128">
        <f t="shared" si="2"/>
        <v>16.367296221385104</v>
      </c>
    </row>
    <row r="23" spans="2:16" x14ac:dyDescent="0.3">
      <c r="B23" s="24" t="s">
        <v>17</v>
      </c>
      <c r="C23" s="65">
        <f>SUMIFS(Data!$D$8:$D$122,Data!$B$8:$B$122,$B23,Data!$C$8:$C$122,C$6)</f>
        <v>0.29207270639335597</v>
      </c>
      <c r="D23" s="65">
        <f>SUMIFS(Data!$D$8:$D$112,Data!$B$8:$B$112,$B23,Data!$C$8:$C$112,D$6)</f>
        <v>2.2164960087969701</v>
      </c>
      <c r="E23" s="65">
        <f>SUMIFS(Data!$D$8:$D$112,Data!$B$8:$B$112,$B23,Data!$C$8:$C$112,E$6)</f>
        <v>2.2164960087969701</v>
      </c>
      <c r="F23" s="65">
        <f>SUMIFS(Data!$D$8:$D$112,Data!$B$8:$B$112,$B23,Data!$C$8:$C$112,F$6)</f>
        <v>2.2164960087969701</v>
      </c>
      <c r="G23" s="65">
        <f>SUMIFS(Data!$D$8:$D$112,Data!$B$8:$B$112,$B23,Data!$C$8:$C$112,G$6)</f>
        <v>6.8825355865444804</v>
      </c>
      <c r="H23" s="65">
        <f t="shared" si="0"/>
        <v>13.824096319328746</v>
      </c>
      <c r="I23" s="65">
        <f>H23+Allowance!F29</f>
        <v>13.824096319328746</v>
      </c>
      <c r="K23" s="126">
        <f>SUMIFS(Data!$E$8:$E$112,Data!$B$8:$B$112,$B23)</f>
        <v>538.02900167239989</v>
      </c>
      <c r="L23" s="127">
        <f t="shared" si="1"/>
        <v>2.5693961248107754E-2</v>
      </c>
      <c r="M23" s="25">
        <v>6.8778600799977052E-2</v>
      </c>
      <c r="N23" s="7">
        <v>0</v>
      </c>
      <c r="O23" s="65">
        <f>'Deep dive_SSC'!C9</f>
        <v>6.4845636119476042</v>
      </c>
      <c r="P23" s="128">
        <f t="shared" si="2"/>
        <v>6.4845636119476042</v>
      </c>
    </row>
    <row r="24" spans="2:16" x14ac:dyDescent="0.3">
      <c r="B24" s="26" t="s">
        <v>165</v>
      </c>
      <c r="C24" s="128">
        <f>SUM(C7:C23)</f>
        <v>67.254202114864071</v>
      </c>
      <c r="D24" s="128">
        <f>SUM(D7:D23)</f>
        <v>88.212698694523922</v>
      </c>
      <c r="E24" s="128">
        <f>SUM(E7:E23)</f>
        <v>67.529191286991846</v>
      </c>
      <c r="F24" s="128">
        <f>SUM(F7:F23)</f>
        <v>45.886284130513054</v>
      </c>
      <c r="G24" s="128">
        <f>SUM(G7:G23)</f>
        <v>36.695251451797681</v>
      </c>
      <c r="H24" s="128">
        <f t="shared" si="0"/>
        <v>305.57762767869059</v>
      </c>
      <c r="I24" s="128">
        <v>335.70632299658325</v>
      </c>
      <c r="K24" s="129">
        <f>SUM(K7:K23)</f>
        <v>26180.610460802778</v>
      </c>
      <c r="L24" s="130">
        <f>H24/K24</f>
        <v>1.1671906128246966E-2</v>
      </c>
      <c r="P24" s="128">
        <f>SUM(P7:P23)</f>
        <v>226.71234954791478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M30"/>
  <sheetViews>
    <sheetView showGridLines="0" zoomScale="80" zoomScaleNormal="80" workbookViewId="0">
      <selection activeCell="F32" sqref="F32"/>
    </sheetView>
  </sheetViews>
  <sheetFormatPr defaultColWidth="9.1796875" defaultRowHeight="13" x14ac:dyDescent="0.3"/>
  <cols>
    <col min="1" max="1" width="2.54296875" style="2" customWidth="1"/>
    <col min="2" max="2" width="2.81640625" style="2" customWidth="1"/>
    <col min="3" max="3" width="14.453125" style="2" customWidth="1"/>
    <col min="4" max="4" width="19.1796875" style="2" customWidth="1"/>
    <col min="5" max="6" width="14.26953125" style="2" customWidth="1"/>
    <col min="7" max="7" width="12.81640625" style="2" customWidth="1"/>
    <col min="8" max="8" width="14" style="2" customWidth="1"/>
    <col min="9" max="9" width="12" style="2" customWidth="1"/>
    <col min="10" max="10" width="11.54296875" style="2" bestFit="1" customWidth="1"/>
    <col min="11" max="11" width="11.54296875" style="2" customWidth="1"/>
    <col min="12" max="12" width="13" style="2" customWidth="1"/>
    <col min="13" max="13" width="12.81640625" style="2" customWidth="1"/>
    <col min="14" max="14" width="31.453125" style="2" bestFit="1" customWidth="1"/>
    <col min="15" max="16384" width="9.1796875" style="2"/>
  </cols>
  <sheetData>
    <row r="1" spans="2:13" ht="18.5" x14ac:dyDescent="0.45">
      <c r="B1" s="4" t="s">
        <v>226</v>
      </c>
      <c r="C1" s="11"/>
      <c r="D1" s="11"/>
      <c r="E1" s="11"/>
      <c r="F1" s="11"/>
      <c r="G1" s="11"/>
      <c r="H1" s="11"/>
      <c r="I1" s="11"/>
      <c r="J1" s="11"/>
      <c r="K1" s="11"/>
      <c r="L1" s="11"/>
    </row>
    <row r="3" spans="2:13" x14ac:dyDescent="0.3">
      <c r="C3" s="12" t="s">
        <v>22</v>
      </c>
      <c r="D3" s="13" t="s">
        <v>293</v>
      </c>
      <c r="E3" s="14"/>
      <c r="F3" s="14"/>
      <c r="G3" s="14"/>
      <c r="H3" s="14"/>
      <c r="I3" s="14"/>
    </row>
    <row r="4" spans="2:13" x14ac:dyDescent="0.3">
      <c r="C4" s="12" t="s">
        <v>227</v>
      </c>
      <c r="D4" s="13"/>
      <c r="E4" s="14"/>
      <c r="F4" s="14"/>
      <c r="G4" s="14"/>
      <c r="H4" s="14"/>
      <c r="I4" s="14"/>
    </row>
    <row r="5" spans="2:13" x14ac:dyDescent="0.3">
      <c r="C5" s="12" t="s">
        <v>228</v>
      </c>
      <c r="D5" s="13" t="s">
        <v>21</v>
      </c>
      <c r="E5" s="15"/>
      <c r="F5" s="15"/>
      <c r="G5" s="15"/>
      <c r="H5" s="15"/>
      <c r="I5" s="16"/>
      <c r="J5" s="17"/>
      <c r="K5" s="17"/>
    </row>
    <row r="6" spans="2:13" x14ac:dyDescent="0.3">
      <c r="C6" s="12" t="s">
        <v>229</v>
      </c>
      <c r="D6" s="18" t="s">
        <v>358</v>
      </c>
      <c r="E6" s="15"/>
      <c r="F6" s="15"/>
      <c r="G6" s="15"/>
      <c r="H6" s="15"/>
      <c r="I6" s="19"/>
    </row>
    <row r="7" spans="2:13" x14ac:dyDescent="0.3">
      <c r="C7" s="20" t="s">
        <v>26</v>
      </c>
      <c r="D7" s="21" t="s">
        <v>39</v>
      </c>
      <c r="E7" s="14"/>
      <c r="F7" s="14"/>
      <c r="G7" s="14"/>
      <c r="H7" s="14"/>
      <c r="I7" s="14"/>
    </row>
    <row r="10" spans="2:13" ht="12.75" customHeight="1" x14ac:dyDescent="0.3">
      <c r="B10" s="6" t="s">
        <v>230</v>
      </c>
    </row>
    <row r="11" spans="2:13" ht="12.75" customHeight="1" x14ac:dyDescent="0.3">
      <c r="B11" s="17"/>
      <c r="C11" s="17"/>
      <c r="D11" s="17"/>
      <c r="E11" s="17"/>
      <c r="F11" s="17"/>
      <c r="G11" s="17"/>
      <c r="H11" s="17"/>
      <c r="I11" s="17"/>
      <c r="J11" s="22"/>
      <c r="K11" s="17"/>
    </row>
    <row r="12" spans="2:13" ht="52" x14ac:dyDescent="0.3">
      <c r="C12" s="9" t="s">
        <v>18</v>
      </c>
      <c r="D12" s="9" t="s">
        <v>231</v>
      </c>
      <c r="E12" s="9" t="s">
        <v>249</v>
      </c>
      <c r="F12" s="9" t="s">
        <v>250</v>
      </c>
      <c r="G12" s="9" t="s">
        <v>251</v>
      </c>
      <c r="H12" s="9" t="s">
        <v>282</v>
      </c>
      <c r="I12" s="10" t="s">
        <v>283</v>
      </c>
      <c r="J12" s="10" t="s">
        <v>232</v>
      </c>
      <c r="K12" s="9" t="s">
        <v>233</v>
      </c>
      <c r="L12" s="9" t="s">
        <v>234</v>
      </c>
      <c r="M12" s="9" t="s">
        <v>235</v>
      </c>
    </row>
    <row r="13" spans="2:13" x14ac:dyDescent="0.3">
      <c r="B13" s="23">
        <v>1</v>
      </c>
      <c r="C13" s="176" t="s">
        <v>0</v>
      </c>
      <c r="D13" s="183">
        <f>Analysis!H7</f>
        <v>22.777657530541241</v>
      </c>
      <c r="E13" s="183">
        <v>0</v>
      </c>
      <c r="F13" s="183">
        <v>0</v>
      </c>
      <c r="G13" s="183">
        <f>F13-E13</f>
        <v>0</v>
      </c>
      <c r="H13" s="183">
        <f>D13+G13</f>
        <v>22.777657530541241</v>
      </c>
      <c r="I13" s="183">
        <f>Analysis!P7</f>
        <v>15.488807120768042</v>
      </c>
      <c r="J13" s="183">
        <f>MIN(H13,I13)</f>
        <v>15.488807120768042</v>
      </c>
      <c r="K13" s="177">
        <v>0</v>
      </c>
      <c r="L13" s="183">
        <f>$J13*$K13</f>
        <v>0</v>
      </c>
      <c r="M13" s="183">
        <f>$J13*(1-$K13)</f>
        <v>15.488807120768042</v>
      </c>
    </row>
    <row r="14" spans="2:13" x14ac:dyDescent="0.3">
      <c r="B14" s="23">
        <v>2</v>
      </c>
      <c r="C14" s="176" t="s">
        <v>70</v>
      </c>
      <c r="D14" s="183">
        <f>Analysis!H8</f>
        <v>0</v>
      </c>
      <c r="E14" s="183">
        <v>0</v>
      </c>
      <c r="F14" s="183">
        <v>0</v>
      </c>
      <c r="G14" s="183">
        <f t="shared" ref="G14:G29" si="0">F14-E14</f>
        <v>0</v>
      </c>
      <c r="H14" s="183">
        <f>D14+G14</f>
        <v>0</v>
      </c>
      <c r="I14" s="183">
        <f>Analysis!P8</f>
        <v>0</v>
      </c>
      <c r="J14" s="183">
        <f>MIN(H14,I14)</f>
        <v>0</v>
      </c>
      <c r="K14" s="177">
        <v>0</v>
      </c>
      <c r="L14" s="183">
        <f>$J14*$K14</f>
        <v>0</v>
      </c>
      <c r="M14" s="183">
        <f>$J14*(1-$K14)</f>
        <v>0</v>
      </c>
    </row>
    <row r="15" spans="2:13" x14ac:dyDescent="0.3">
      <c r="B15" s="23">
        <v>3</v>
      </c>
      <c r="C15" s="176" t="s">
        <v>1</v>
      </c>
      <c r="D15" s="183">
        <f>Analysis!H9</f>
        <v>0</v>
      </c>
      <c r="E15" s="183">
        <v>0</v>
      </c>
      <c r="F15" s="183">
        <v>33.000000000000007</v>
      </c>
      <c r="G15" s="183">
        <f t="shared" si="0"/>
        <v>33.000000000000007</v>
      </c>
      <c r="H15" s="183">
        <f t="shared" ref="H15:H29" si="1">D15+G15</f>
        <v>33.000000000000007</v>
      </c>
      <c r="I15" s="183">
        <f>Analysis!P9</f>
        <v>0</v>
      </c>
      <c r="J15" s="183">
        <f t="shared" ref="J15:J29" si="2">MIN(H15,I15)</f>
        <v>0</v>
      </c>
      <c r="K15" s="177">
        <v>0</v>
      </c>
      <c r="L15" s="183">
        <f t="shared" ref="L15:L29" si="3">$J15*$K15</f>
        <v>0</v>
      </c>
      <c r="M15" s="183">
        <f t="shared" ref="M15:M29" si="4">$J15*(1-$K15)</f>
        <v>0</v>
      </c>
    </row>
    <row r="16" spans="2:13" x14ac:dyDescent="0.3">
      <c r="B16" s="23">
        <v>4</v>
      </c>
      <c r="C16" s="176" t="s">
        <v>2</v>
      </c>
      <c r="D16" s="183">
        <f>Analysis!H10</f>
        <v>0.29546637744034698</v>
      </c>
      <c r="E16" s="183">
        <v>0</v>
      </c>
      <c r="F16" s="183">
        <v>0</v>
      </c>
      <c r="G16" s="183">
        <f t="shared" si="0"/>
        <v>0</v>
      </c>
      <c r="H16" s="183">
        <f t="shared" si="1"/>
        <v>0.29546637744034698</v>
      </c>
      <c r="I16" s="183">
        <f>Analysis!P10</f>
        <v>0.29546637744034698</v>
      </c>
      <c r="J16" s="183">
        <f t="shared" si="2"/>
        <v>0.29546637744034698</v>
      </c>
      <c r="K16" s="177">
        <v>1</v>
      </c>
      <c r="L16" s="183">
        <f t="shared" si="3"/>
        <v>0.29546637744034698</v>
      </c>
      <c r="M16" s="183">
        <f t="shared" si="4"/>
        <v>0</v>
      </c>
    </row>
    <row r="17" spans="2:13" x14ac:dyDescent="0.3">
      <c r="B17" s="23">
        <v>5</v>
      </c>
      <c r="C17" s="176" t="s">
        <v>3</v>
      </c>
      <c r="D17" s="183">
        <f>Analysis!H11</f>
        <v>55.411000000000001</v>
      </c>
      <c r="E17" s="183">
        <v>0</v>
      </c>
      <c r="F17" s="183">
        <v>0</v>
      </c>
      <c r="G17" s="183">
        <f t="shared" si="0"/>
        <v>0</v>
      </c>
      <c r="H17" s="183">
        <f t="shared" si="1"/>
        <v>55.411000000000001</v>
      </c>
      <c r="I17" s="183">
        <f>Analysis!P11</f>
        <v>49.870800000000003</v>
      </c>
      <c r="J17" s="183">
        <f t="shared" si="2"/>
        <v>49.870800000000003</v>
      </c>
      <c r="K17" s="177">
        <v>5.6180180830521016E-2</v>
      </c>
      <c r="L17" s="183">
        <f t="shared" si="3"/>
        <v>2.8017505621627476</v>
      </c>
      <c r="M17" s="183">
        <f t="shared" si="4"/>
        <v>47.069049437837258</v>
      </c>
    </row>
    <row r="18" spans="2:13" x14ac:dyDescent="0.3">
      <c r="B18" s="23">
        <v>6</v>
      </c>
      <c r="C18" s="176" t="s">
        <v>69</v>
      </c>
      <c r="D18" s="183">
        <f>Analysis!H12</f>
        <v>34.048999999999999</v>
      </c>
      <c r="E18" s="183">
        <v>0</v>
      </c>
      <c r="F18" s="183">
        <v>0</v>
      </c>
      <c r="G18" s="183">
        <f t="shared" si="0"/>
        <v>0</v>
      </c>
      <c r="H18" s="183">
        <f t="shared" si="1"/>
        <v>34.048999999999999</v>
      </c>
      <c r="I18" s="183">
        <f>Analysis!P12</f>
        <v>21.811643199999999</v>
      </c>
      <c r="J18" s="183">
        <f t="shared" si="2"/>
        <v>21.811643199999999</v>
      </c>
      <c r="K18" s="177">
        <v>0</v>
      </c>
      <c r="L18" s="183">
        <f t="shared" si="3"/>
        <v>0</v>
      </c>
      <c r="M18" s="183">
        <f t="shared" si="4"/>
        <v>21.811643199999999</v>
      </c>
    </row>
    <row r="19" spans="2:13" x14ac:dyDescent="0.3">
      <c r="B19" s="23">
        <v>7</v>
      </c>
      <c r="C19" s="176" t="s">
        <v>6</v>
      </c>
      <c r="D19" s="183">
        <f>Analysis!H13</f>
        <v>63.62299999999999</v>
      </c>
      <c r="E19" s="183">
        <v>0</v>
      </c>
      <c r="F19" s="183">
        <v>13.609</v>
      </c>
      <c r="G19" s="183">
        <f t="shared" si="0"/>
        <v>13.609</v>
      </c>
      <c r="H19" s="183">
        <f t="shared" si="1"/>
        <v>77.231999999999985</v>
      </c>
      <c r="I19" s="183">
        <f>Analysis!P13</f>
        <v>41.554372909981055</v>
      </c>
      <c r="J19" s="183">
        <f t="shared" si="2"/>
        <v>41.554372909981055</v>
      </c>
      <c r="K19" s="177">
        <v>0</v>
      </c>
      <c r="L19" s="183">
        <f t="shared" si="3"/>
        <v>0</v>
      </c>
      <c r="M19" s="183">
        <f t="shared" si="4"/>
        <v>41.554372909981055</v>
      </c>
    </row>
    <row r="20" spans="2:13" x14ac:dyDescent="0.3">
      <c r="B20" s="23">
        <v>8</v>
      </c>
      <c r="C20" s="176" t="s">
        <v>7</v>
      </c>
      <c r="D20" s="183">
        <f>Analysis!H14</f>
        <v>12.473138739000001</v>
      </c>
      <c r="E20" s="183">
        <v>0</v>
      </c>
      <c r="F20" s="183">
        <v>0</v>
      </c>
      <c r="G20" s="183">
        <f t="shared" si="0"/>
        <v>0</v>
      </c>
      <c r="H20" s="183">
        <f t="shared" si="1"/>
        <v>12.473138739000001</v>
      </c>
      <c r="I20" s="183">
        <f>Analysis!P14</f>
        <v>10.851630702930001</v>
      </c>
      <c r="J20" s="183">
        <f t="shared" si="2"/>
        <v>10.851630702930001</v>
      </c>
      <c r="K20" s="177">
        <v>0.32423339904453219</v>
      </c>
      <c r="L20" s="183">
        <f t="shared" si="3"/>
        <v>3.5184611079870001</v>
      </c>
      <c r="M20" s="183">
        <f t="shared" si="4"/>
        <v>7.3331695949430005</v>
      </c>
    </row>
    <row r="21" spans="2:13" x14ac:dyDescent="0.3">
      <c r="B21" s="23">
        <v>9</v>
      </c>
      <c r="C21" s="176" t="s">
        <v>8</v>
      </c>
      <c r="D21" s="183">
        <f>Analysis!H15</f>
        <v>1.399</v>
      </c>
      <c r="E21" s="183">
        <v>0</v>
      </c>
      <c r="F21" s="183">
        <v>9.0000000000000018</v>
      </c>
      <c r="G21" s="183">
        <f t="shared" si="0"/>
        <v>9.0000000000000018</v>
      </c>
      <c r="H21" s="183">
        <f t="shared" si="1"/>
        <v>10.399000000000001</v>
      </c>
      <c r="I21" s="183">
        <f>Analysis!P15</f>
        <v>10.399000000000001</v>
      </c>
      <c r="J21" s="183">
        <f t="shared" si="2"/>
        <v>10.399000000000001</v>
      </c>
      <c r="K21" s="177">
        <v>0</v>
      </c>
      <c r="L21" s="183">
        <f t="shared" si="3"/>
        <v>0</v>
      </c>
      <c r="M21" s="183">
        <f t="shared" si="4"/>
        <v>10.399000000000001</v>
      </c>
    </row>
    <row r="22" spans="2:13" x14ac:dyDescent="0.3">
      <c r="B22" s="23">
        <v>10</v>
      </c>
      <c r="C22" s="176" t="s">
        <v>9</v>
      </c>
      <c r="D22" s="183">
        <f>Analysis!H16</f>
        <v>10.357096153846163</v>
      </c>
      <c r="E22" s="183">
        <v>0</v>
      </c>
      <c r="F22" s="183">
        <v>0</v>
      </c>
      <c r="G22" s="183">
        <f t="shared" si="0"/>
        <v>0</v>
      </c>
      <c r="H22" s="183">
        <f t="shared" si="1"/>
        <v>10.357096153846163</v>
      </c>
      <c r="I22" s="183">
        <f>Analysis!P16</f>
        <v>8</v>
      </c>
      <c r="J22" s="183">
        <f t="shared" si="2"/>
        <v>8</v>
      </c>
      <c r="K22" s="177">
        <v>5.0968399592252717E-2</v>
      </c>
      <c r="L22" s="183">
        <f t="shared" si="3"/>
        <v>0.40774719673802173</v>
      </c>
      <c r="M22" s="183">
        <f t="shared" si="4"/>
        <v>7.592252803261978</v>
      </c>
    </row>
    <row r="23" spans="2:13" x14ac:dyDescent="0.3">
      <c r="B23" s="23">
        <v>11</v>
      </c>
      <c r="C23" s="176" t="s">
        <v>10</v>
      </c>
      <c r="D23" s="183">
        <f>Analysis!H17</f>
        <v>60.137000000000008</v>
      </c>
      <c r="E23" s="183">
        <v>0</v>
      </c>
      <c r="F23" s="183">
        <v>0</v>
      </c>
      <c r="G23" s="183">
        <f>F23-E23</f>
        <v>0</v>
      </c>
      <c r="H23" s="183">
        <f t="shared" si="1"/>
        <v>60.137000000000008</v>
      </c>
      <c r="I23" s="183">
        <f>Analysis!P17</f>
        <v>35.924138530453341</v>
      </c>
      <c r="J23" s="183">
        <f t="shared" si="2"/>
        <v>35.924138530453341</v>
      </c>
      <c r="K23" s="177">
        <v>0</v>
      </c>
      <c r="L23" s="183">
        <f t="shared" si="3"/>
        <v>0</v>
      </c>
      <c r="M23" s="183">
        <f t="shared" si="4"/>
        <v>35.924138530453341</v>
      </c>
    </row>
    <row r="24" spans="2:13" ht="14.5" x14ac:dyDescent="0.35">
      <c r="B24" s="23">
        <v>12</v>
      </c>
      <c r="C24" s="178" t="s">
        <v>11</v>
      </c>
      <c r="D24" s="183">
        <f>Analysis!H18</f>
        <v>3.686523410536962</v>
      </c>
      <c r="E24" s="183">
        <v>0</v>
      </c>
      <c r="F24" s="183">
        <v>0</v>
      </c>
      <c r="G24" s="183">
        <f t="shared" si="0"/>
        <v>0</v>
      </c>
      <c r="H24" s="183">
        <f t="shared" si="1"/>
        <v>3.686523410536962</v>
      </c>
      <c r="I24" s="183">
        <f>Analysis!P18</f>
        <v>3.4627316847586154</v>
      </c>
      <c r="J24" s="183">
        <f t="shared" si="2"/>
        <v>3.4627316847586154</v>
      </c>
      <c r="K24" s="177">
        <v>0.32495174086674611</v>
      </c>
      <c r="L24" s="183">
        <f t="shared" si="3"/>
        <v>1.1252206891167527</v>
      </c>
      <c r="M24" s="183">
        <f t="shared" si="4"/>
        <v>2.3375109956418623</v>
      </c>
    </row>
    <row r="25" spans="2:13" x14ac:dyDescent="0.3">
      <c r="B25" s="23">
        <v>13</v>
      </c>
      <c r="C25" s="176" t="s">
        <v>12</v>
      </c>
      <c r="D25" s="183">
        <f>Analysis!H19</f>
        <v>4.3600000000000003</v>
      </c>
      <c r="E25" s="183">
        <v>0</v>
      </c>
      <c r="F25" s="183">
        <v>0</v>
      </c>
      <c r="G25" s="183">
        <f t="shared" si="0"/>
        <v>0</v>
      </c>
      <c r="H25" s="183">
        <f t="shared" si="1"/>
        <v>4.3600000000000003</v>
      </c>
      <c r="I25" s="183">
        <f>Analysis!P19</f>
        <v>0.42689918825068468</v>
      </c>
      <c r="J25" s="183">
        <f t="shared" si="2"/>
        <v>0.42689918825068468</v>
      </c>
      <c r="K25" s="177">
        <v>0.89449541284403666</v>
      </c>
      <c r="L25" s="183">
        <f t="shared" si="3"/>
        <v>0.38185936563708034</v>
      </c>
      <c r="M25" s="183">
        <f t="shared" si="4"/>
        <v>4.5039822613604362E-2</v>
      </c>
    </row>
    <row r="26" spans="2:13" x14ac:dyDescent="0.3">
      <c r="B26" s="23">
        <v>14</v>
      </c>
      <c r="C26" s="176" t="s">
        <v>14</v>
      </c>
      <c r="D26" s="183">
        <f>Analysis!H20</f>
        <v>5.7759999999999998</v>
      </c>
      <c r="E26" s="183">
        <v>0</v>
      </c>
      <c r="F26" s="183">
        <v>0</v>
      </c>
      <c r="G26" s="183">
        <f t="shared" si="0"/>
        <v>0</v>
      </c>
      <c r="H26" s="183">
        <f t="shared" si="1"/>
        <v>5.7759999999999998</v>
      </c>
      <c r="I26" s="183">
        <f>Analysis!P20</f>
        <v>5.7750000000000004</v>
      </c>
      <c r="J26" s="183">
        <f t="shared" si="2"/>
        <v>5.7750000000000004</v>
      </c>
      <c r="K26" s="177">
        <v>0</v>
      </c>
      <c r="L26" s="183">
        <f t="shared" si="3"/>
        <v>0</v>
      </c>
      <c r="M26" s="183">
        <f t="shared" si="4"/>
        <v>5.7750000000000004</v>
      </c>
    </row>
    <row r="27" spans="2:13" x14ac:dyDescent="0.3">
      <c r="B27" s="23">
        <v>15</v>
      </c>
      <c r="C27" s="176" t="s">
        <v>15</v>
      </c>
      <c r="D27" s="183">
        <f>Analysis!H21</f>
        <v>0</v>
      </c>
      <c r="E27" s="183">
        <v>0</v>
      </c>
      <c r="F27" s="183">
        <v>0</v>
      </c>
      <c r="G27" s="183">
        <f t="shared" si="0"/>
        <v>0</v>
      </c>
      <c r="H27" s="183">
        <f t="shared" si="1"/>
        <v>0</v>
      </c>
      <c r="I27" s="183">
        <f>Analysis!P21</f>
        <v>0</v>
      </c>
      <c r="J27" s="183">
        <f t="shared" si="2"/>
        <v>0</v>
      </c>
      <c r="K27" s="177">
        <v>0</v>
      </c>
      <c r="L27" s="183">
        <f t="shared" si="3"/>
        <v>0</v>
      </c>
      <c r="M27" s="183">
        <f t="shared" si="4"/>
        <v>0</v>
      </c>
    </row>
    <row r="28" spans="2:13" x14ac:dyDescent="0.3">
      <c r="B28" s="23">
        <v>16</v>
      </c>
      <c r="C28" s="176" t="s">
        <v>16</v>
      </c>
      <c r="D28" s="183">
        <f>Analysis!H22</f>
        <v>17.408649147997121</v>
      </c>
      <c r="E28" s="183">
        <v>0</v>
      </c>
      <c r="F28" s="183">
        <v>0</v>
      </c>
      <c r="G28" s="183">
        <f t="shared" si="0"/>
        <v>0</v>
      </c>
      <c r="H28" s="183">
        <f t="shared" si="1"/>
        <v>17.408649147997121</v>
      </c>
      <c r="I28" s="183">
        <f>Analysis!P22</f>
        <v>16.367296221385104</v>
      </c>
      <c r="J28" s="183">
        <f t="shared" si="2"/>
        <v>16.367296221385104</v>
      </c>
      <c r="K28" s="177">
        <v>2.2377766229200589E-2</v>
      </c>
      <c r="L28" s="183">
        <f t="shared" si="3"/>
        <v>0.36626352864623396</v>
      </c>
      <c r="M28" s="183">
        <f t="shared" si="4"/>
        <v>16.001032692738868</v>
      </c>
    </row>
    <row r="29" spans="2:13" x14ac:dyDescent="0.3">
      <c r="B29" s="23">
        <v>17</v>
      </c>
      <c r="C29" s="176" t="s">
        <v>17</v>
      </c>
      <c r="D29" s="183">
        <f>Analysis!H23</f>
        <v>13.824096319328746</v>
      </c>
      <c r="E29" s="183">
        <v>0</v>
      </c>
      <c r="F29" s="183">
        <v>0</v>
      </c>
      <c r="G29" s="183">
        <f t="shared" si="0"/>
        <v>0</v>
      </c>
      <c r="H29" s="183">
        <f t="shared" si="1"/>
        <v>13.824096319328746</v>
      </c>
      <c r="I29" s="183">
        <f>Analysis!P23</f>
        <v>6.4845636119476042</v>
      </c>
      <c r="J29" s="183">
        <f t="shared" si="2"/>
        <v>6.4845636119476042</v>
      </c>
      <c r="K29" s="177">
        <v>0.10563898704358061</v>
      </c>
      <c r="L29" s="183">
        <f t="shared" si="3"/>
        <v>0.68502273138580727</v>
      </c>
      <c r="M29" s="183">
        <f t="shared" si="4"/>
        <v>5.7995408805617963</v>
      </c>
    </row>
    <row r="30" spans="2:13" x14ac:dyDescent="0.3">
      <c r="C30" s="179" t="s">
        <v>165</v>
      </c>
      <c r="D30" s="184">
        <f t="shared" ref="D30:J30" si="5">SUM(D13:D29)</f>
        <v>305.57762767869059</v>
      </c>
      <c r="E30" s="184">
        <f t="shared" si="5"/>
        <v>0</v>
      </c>
      <c r="F30" s="184">
        <f t="shared" si="5"/>
        <v>55.609000000000009</v>
      </c>
      <c r="G30" s="184">
        <f t="shared" si="5"/>
        <v>55.609000000000009</v>
      </c>
      <c r="H30" s="184">
        <f t="shared" si="5"/>
        <v>361.18662767869063</v>
      </c>
      <c r="I30" s="184">
        <f t="shared" si="5"/>
        <v>226.71234954791478</v>
      </c>
      <c r="J30" s="184">
        <f t="shared" si="5"/>
        <v>226.71234954791478</v>
      </c>
      <c r="K30" s="180"/>
      <c r="L30" s="184">
        <f>SUM(L13:L29)</f>
        <v>9.5817915591139897</v>
      </c>
      <c r="M30" s="184">
        <f>SUM(M13:M29)</f>
        <v>217.1305579888008</v>
      </c>
    </row>
  </sheetData>
  <conditionalFormatting sqref="G13:G14 G16:G18 G20 G22:G29">
    <cfRule type="cellIs" dxfId="1" priority="1" operator="lessThan">
      <formula>0</formula>
    </cfRule>
    <cfRule type="cellIs" dxfId="0" priority="2" operator="greaterThan">
      <formula>0</formula>
    </cfRule>
  </conditionalFormatting>
  <dataValidations count="1">
    <dataValidation type="list" allowBlank="1" showInputMessage="1" showErrorMessage="1" sqref="D7">
      <formula1>"Wholesale water, Wholesale wastewater"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14"/>
  <sheetViews>
    <sheetView showGridLines="0" zoomScale="80" zoomScaleNormal="80" workbookViewId="0">
      <pane xSplit="3" ySplit="7" topLeftCell="D8" activePane="bottomRight" state="frozen"/>
      <selection activeCell="C1" sqref="A1:XFD1048576"/>
      <selection pane="topRight" activeCell="C1" sqref="A1:XFD1048576"/>
      <selection pane="bottomLeft" activeCell="C1" sqref="A1:XFD1048576"/>
      <selection pane="bottomRight" activeCell="N39" sqref="N39"/>
    </sheetView>
  </sheetViews>
  <sheetFormatPr defaultColWidth="8.54296875" defaultRowHeight="13" x14ac:dyDescent="0.3"/>
  <cols>
    <col min="1" max="1" width="10.54296875" style="29" customWidth="1"/>
    <col min="2" max="2" width="11.453125" style="29" customWidth="1"/>
    <col min="3" max="3" width="10.453125" style="29" customWidth="1"/>
    <col min="4" max="5" width="22.81640625" style="2" customWidth="1"/>
    <col min="6" max="6" width="6" style="2" customWidth="1"/>
    <col min="7" max="16384" width="8.54296875" style="2"/>
  </cols>
  <sheetData>
    <row r="1" spans="1:5" ht="18.5" x14ac:dyDescent="0.3">
      <c r="A1" s="135" t="s">
        <v>286</v>
      </c>
      <c r="C1" s="2"/>
    </row>
    <row r="2" spans="1:5" ht="15.5" x14ac:dyDescent="0.3">
      <c r="A2" s="122" t="s">
        <v>276</v>
      </c>
      <c r="C2" s="2"/>
    </row>
    <row r="3" spans="1:5" x14ac:dyDescent="0.3">
      <c r="C3" s="2"/>
    </row>
    <row r="4" spans="1:5" x14ac:dyDescent="0.3">
      <c r="C4" s="2"/>
    </row>
    <row r="5" spans="1:5" x14ac:dyDescent="0.3">
      <c r="C5" s="2"/>
    </row>
    <row r="6" spans="1:5" s="30" customFormat="1" x14ac:dyDescent="0.3">
      <c r="A6" s="133"/>
      <c r="B6" s="134"/>
      <c r="C6" s="134"/>
      <c r="D6" s="134" t="s">
        <v>76</v>
      </c>
      <c r="E6" s="134" t="s">
        <v>75</v>
      </c>
    </row>
    <row r="7" spans="1:5" ht="52" x14ac:dyDescent="0.3">
      <c r="A7" s="133" t="s">
        <v>284</v>
      </c>
      <c r="B7" s="133" t="s">
        <v>18</v>
      </c>
      <c r="C7" s="133" t="s">
        <v>285</v>
      </c>
      <c r="D7" s="133" t="s">
        <v>294</v>
      </c>
      <c r="E7" s="133" t="s">
        <v>295</v>
      </c>
    </row>
    <row r="8" spans="1:5" x14ac:dyDescent="0.3">
      <c r="A8" s="33" t="str">
        <f>B8&amp;RIGHT(C8,2)</f>
        <v>ANH21</v>
      </c>
      <c r="B8" s="34" t="s">
        <v>0</v>
      </c>
      <c r="C8" s="34">
        <v>2021</v>
      </c>
      <c r="D8" s="31">
        <v>5.1435874772425203</v>
      </c>
      <c r="E8" s="32">
        <v>498.47770338281299</v>
      </c>
    </row>
    <row r="9" spans="1:5" x14ac:dyDescent="0.3">
      <c r="A9" s="33" t="str">
        <f t="shared" ref="A9:A72" si="0">B9&amp;RIGHT(C9,2)</f>
        <v>ANH22</v>
      </c>
      <c r="B9" s="34" t="s">
        <v>0</v>
      </c>
      <c r="C9" s="34">
        <v>2022</v>
      </c>
      <c r="D9" s="31">
        <v>15.5413618855219</v>
      </c>
      <c r="E9" s="32">
        <v>579.18202511472305</v>
      </c>
    </row>
    <row r="10" spans="1:5" x14ac:dyDescent="0.3">
      <c r="A10" s="33" t="str">
        <f t="shared" si="0"/>
        <v>ANH23</v>
      </c>
      <c r="B10" s="34" t="s">
        <v>0</v>
      </c>
      <c r="C10" s="34">
        <v>2023</v>
      </c>
      <c r="D10" s="31">
        <v>2.09270816777682</v>
      </c>
      <c r="E10" s="32">
        <v>637.09420862741194</v>
      </c>
    </row>
    <row r="11" spans="1:5" x14ac:dyDescent="0.3">
      <c r="A11" s="33" t="str">
        <f t="shared" si="0"/>
        <v>ANH24</v>
      </c>
      <c r="B11" s="34" t="s">
        <v>0</v>
      </c>
      <c r="C11" s="34">
        <v>2024</v>
      </c>
      <c r="D11" s="31">
        <v>0</v>
      </c>
      <c r="E11" s="32">
        <v>622.90395098778004</v>
      </c>
    </row>
    <row r="12" spans="1:5" x14ac:dyDescent="0.3">
      <c r="A12" s="33" t="str">
        <f t="shared" si="0"/>
        <v>ANH25</v>
      </c>
      <c r="B12" s="34" t="s">
        <v>0</v>
      </c>
      <c r="C12" s="34">
        <v>2025</v>
      </c>
      <c r="D12" s="31">
        <v>0</v>
      </c>
      <c r="E12" s="32">
        <v>476.34762997356398</v>
      </c>
    </row>
    <row r="13" spans="1:5" x14ac:dyDescent="0.3">
      <c r="A13" s="33" t="str">
        <f t="shared" si="0"/>
        <v>NES21</v>
      </c>
      <c r="B13" s="34" t="s">
        <v>1</v>
      </c>
      <c r="C13" s="34">
        <v>2021</v>
      </c>
      <c r="D13" s="31">
        <v>0</v>
      </c>
      <c r="E13" s="32">
        <v>349.52199999999999</v>
      </c>
    </row>
    <row r="14" spans="1:5" x14ac:dyDescent="0.3">
      <c r="A14" s="33" t="str">
        <f t="shared" si="0"/>
        <v>NES22</v>
      </c>
      <c r="B14" s="34" t="s">
        <v>1</v>
      </c>
      <c r="C14" s="34">
        <v>2022</v>
      </c>
      <c r="D14" s="31">
        <v>0</v>
      </c>
      <c r="E14" s="32">
        <v>369.464</v>
      </c>
    </row>
    <row r="15" spans="1:5" x14ac:dyDescent="0.3">
      <c r="A15" s="33" t="str">
        <f t="shared" si="0"/>
        <v>NES23</v>
      </c>
      <c r="B15" s="34" t="s">
        <v>1</v>
      </c>
      <c r="C15" s="34">
        <v>2023</v>
      </c>
      <c r="D15" s="31">
        <v>0</v>
      </c>
      <c r="E15" s="32">
        <v>361.08300000000003</v>
      </c>
    </row>
    <row r="16" spans="1:5" x14ac:dyDescent="0.3">
      <c r="A16" s="33" t="str">
        <f t="shared" si="0"/>
        <v>NES24</v>
      </c>
      <c r="B16" s="34" t="s">
        <v>1</v>
      </c>
      <c r="C16" s="34">
        <v>2024</v>
      </c>
      <c r="D16" s="31">
        <v>0</v>
      </c>
      <c r="E16" s="32">
        <v>337.65199999999999</v>
      </c>
    </row>
    <row r="17" spans="1:5" x14ac:dyDescent="0.3">
      <c r="A17" s="33" t="str">
        <f t="shared" si="0"/>
        <v>NES25</v>
      </c>
      <c r="B17" s="34" t="s">
        <v>1</v>
      </c>
      <c r="C17" s="34">
        <v>2025</v>
      </c>
      <c r="D17" s="31">
        <v>0</v>
      </c>
      <c r="E17" s="32">
        <v>312.16300000000001</v>
      </c>
    </row>
    <row r="18" spans="1:5" x14ac:dyDescent="0.3">
      <c r="A18" s="33" t="str">
        <f t="shared" si="0"/>
        <v>NWT21</v>
      </c>
      <c r="B18" s="34" t="s">
        <v>2</v>
      </c>
      <c r="C18" s="34">
        <v>2021</v>
      </c>
      <c r="D18" s="31">
        <v>5.9093275488069398E-2</v>
      </c>
      <c r="E18" s="32">
        <v>546.91416406629901</v>
      </c>
    </row>
    <row r="19" spans="1:5" x14ac:dyDescent="0.3">
      <c r="A19" s="33" t="str">
        <f t="shared" si="0"/>
        <v>NWT22</v>
      </c>
      <c r="B19" s="34" t="s">
        <v>2</v>
      </c>
      <c r="C19" s="34">
        <v>2022</v>
      </c>
      <c r="D19" s="31">
        <v>5.9093275488069398E-2</v>
      </c>
      <c r="E19" s="32">
        <v>511.02602983742503</v>
      </c>
    </row>
    <row r="20" spans="1:5" x14ac:dyDescent="0.3">
      <c r="A20" s="33" t="str">
        <f t="shared" si="0"/>
        <v>NWT23</v>
      </c>
      <c r="B20" s="34" t="s">
        <v>2</v>
      </c>
      <c r="C20" s="34">
        <v>2023</v>
      </c>
      <c r="D20" s="31">
        <v>5.9093275488069398E-2</v>
      </c>
      <c r="E20" s="32">
        <v>491.88321983896702</v>
      </c>
    </row>
    <row r="21" spans="1:5" x14ac:dyDescent="0.3">
      <c r="A21" s="33" t="str">
        <f t="shared" si="0"/>
        <v>NWT24</v>
      </c>
      <c r="B21" s="34" t="s">
        <v>2</v>
      </c>
      <c r="C21" s="34">
        <v>2024</v>
      </c>
      <c r="D21" s="31">
        <v>5.9093275488069398E-2</v>
      </c>
      <c r="E21" s="32">
        <v>466.261810421863</v>
      </c>
    </row>
    <row r="22" spans="1:5" x14ac:dyDescent="0.3">
      <c r="A22" s="33" t="str">
        <f t="shared" si="0"/>
        <v>NWT25</v>
      </c>
      <c r="B22" s="34" t="s">
        <v>2</v>
      </c>
      <c r="C22" s="34">
        <v>2025</v>
      </c>
      <c r="D22" s="31">
        <v>5.9093275488069398E-2</v>
      </c>
      <c r="E22" s="32">
        <v>461.41828629616703</v>
      </c>
    </row>
    <row r="23" spans="1:5" x14ac:dyDescent="0.3">
      <c r="A23" s="33" t="str">
        <f t="shared" si="0"/>
        <v>SRN21</v>
      </c>
      <c r="B23" s="34" t="s">
        <v>3</v>
      </c>
      <c r="C23" s="34">
        <v>2021</v>
      </c>
      <c r="D23" s="31">
        <v>20.241</v>
      </c>
      <c r="E23" s="32">
        <v>250.37200000000001</v>
      </c>
    </row>
    <row r="24" spans="1:5" x14ac:dyDescent="0.3">
      <c r="A24" s="33" t="str">
        <f t="shared" si="0"/>
        <v>SRN22</v>
      </c>
      <c r="B24" s="34" t="s">
        <v>3</v>
      </c>
      <c r="C24" s="34">
        <v>2022</v>
      </c>
      <c r="D24" s="31">
        <v>22.071999999999999</v>
      </c>
      <c r="E24" s="32">
        <v>250.60900000000001</v>
      </c>
    </row>
    <row r="25" spans="1:5" x14ac:dyDescent="0.3">
      <c r="A25" s="33" t="str">
        <f t="shared" si="0"/>
        <v>SRN23</v>
      </c>
      <c r="B25" s="34" t="s">
        <v>3</v>
      </c>
      <c r="C25" s="34">
        <v>2023</v>
      </c>
      <c r="D25" s="31">
        <v>10.804</v>
      </c>
      <c r="E25" s="32">
        <v>233.85300000000001</v>
      </c>
    </row>
    <row r="26" spans="1:5" x14ac:dyDescent="0.3">
      <c r="A26" s="33" t="str">
        <f t="shared" si="0"/>
        <v>SRN24</v>
      </c>
      <c r="B26" s="34" t="s">
        <v>3</v>
      </c>
      <c r="C26" s="34">
        <v>2024</v>
      </c>
      <c r="D26" s="31">
        <v>1.5289999999999999</v>
      </c>
      <c r="E26" s="32">
        <v>230.23699999999999</v>
      </c>
    </row>
    <row r="27" spans="1:5" x14ac:dyDescent="0.3">
      <c r="A27" s="33" t="str">
        <f t="shared" si="0"/>
        <v>SRN25</v>
      </c>
      <c r="B27" s="34" t="s">
        <v>3</v>
      </c>
      <c r="C27" s="34">
        <v>2025</v>
      </c>
      <c r="D27" s="31">
        <v>0.76500000000000001</v>
      </c>
      <c r="E27" s="32">
        <v>261.53300000000002</v>
      </c>
    </row>
    <row r="28" spans="1:5" x14ac:dyDescent="0.3">
      <c r="A28" s="33" t="str">
        <f t="shared" si="0"/>
        <v>SVT21</v>
      </c>
      <c r="B28" s="34" t="s">
        <v>4</v>
      </c>
      <c r="C28" s="34">
        <v>2021</v>
      </c>
      <c r="D28" s="31">
        <v>0</v>
      </c>
      <c r="E28" s="32">
        <v>0</v>
      </c>
    </row>
    <row r="29" spans="1:5" x14ac:dyDescent="0.3">
      <c r="A29" s="33" t="str">
        <f t="shared" si="0"/>
        <v>SVT22</v>
      </c>
      <c r="B29" s="34" t="s">
        <v>4</v>
      </c>
      <c r="C29" s="34">
        <v>2022</v>
      </c>
      <c r="D29" s="31">
        <v>0</v>
      </c>
      <c r="E29" s="32">
        <v>0</v>
      </c>
    </row>
    <row r="30" spans="1:5" x14ac:dyDescent="0.3">
      <c r="A30" s="33" t="str">
        <f t="shared" si="0"/>
        <v>SVT23</v>
      </c>
      <c r="B30" s="34" t="s">
        <v>4</v>
      </c>
      <c r="C30" s="34">
        <v>2023</v>
      </c>
      <c r="D30" s="31">
        <v>0</v>
      </c>
      <c r="E30" s="32">
        <v>0</v>
      </c>
    </row>
    <row r="31" spans="1:5" x14ac:dyDescent="0.3">
      <c r="A31" s="33" t="str">
        <f t="shared" si="0"/>
        <v>SVT24</v>
      </c>
      <c r="B31" s="34" t="s">
        <v>4</v>
      </c>
      <c r="C31" s="34">
        <v>2024</v>
      </c>
      <c r="D31" s="31">
        <v>0</v>
      </c>
      <c r="E31" s="32">
        <v>0</v>
      </c>
    </row>
    <row r="32" spans="1:5" x14ac:dyDescent="0.3">
      <c r="A32" s="33" t="str">
        <f t="shared" si="0"/>
        <v>SVT25</v>
      </c>
      <c r="B32" s="34" t="s">
        <v>4</v>
      </c>
      <c r="C32" s="34">
        <v>2025</v>
      </c>
      <c r="D32" s="31">
        <v>0</v>
      </c>
      <c r="E32" s="32">
        <v>0</v>
      </c>
    </row>
    <row r="33" spans="1:8" x14ac:dyDescent="0.3">
      <c r="A33" s="33" t="str">
        <f t="shared" si="0"/>
        <v>SWT21</v>
      </c>
      <c r="B33" s="34" t="s">
        <v>5</v>
      </c>
      <c r="C33" s="34">
        <v>2021</v>
      </c>
      <c r="D33" s="31">
        <v>0</v>
      </c>
      <c r="E33" s="32">
        <v>0</v>
      </c>
    </row>
    <row r="34" spans="1:8" x14ac:dyDescent="0.3">
      <c r="A34" s="33" t="str">
        <f t="shared" si="0"/>
        <v>SWT22</v>
      </c>
      <c r="B34" s="34" t="s">
        <v>5</v>
      </c>
      <c r="C34" s="34">
        <v>2022</v>
      </c>
      <c r="D34" s="31">
        <v>0</v>
      </c>
      <c r="E34" s="32">
        <v>0</v>
      </c>
    </row>
    <row r="35" spans="1:8" x14ac:dyDescent="0.3">
      <c r="A35" s="33" t="str">
        <f t="shared" si="0"/>
        <v>SWT23</v>
      </c>
      <c r="B35" s="34" t="s">
        <v>5</v>
      </c>
      <c r="C35" s="34">
        <v>2023</v>
      </c>
      <c r="D35" s="31">
        <v>0</v>
      </c>
      <c r="E35" s="32">
        <v>0</v>
      </c>
    </row>
    <row r="36" spans="1:8" x14ac:dyDescent="0.3">
      <c r="A36" s="33" t="str">
        <f t="shared" si="0"/>
        <v>SWT24</v>
      </c>
      <c r="B36" s="34" t="s">
        <v>5</v>
      </c>
      <c r="C36" s="34">
        <v>2024</v>
      </c>
      <c r="D36" s="31">
        <v>0</v>
      </c>
      <c r="E36" s="32">
        <v>0</v>
      </c>
    </row>
    <row r="37" spans="1:8" x14ac:dyDescent="0.3">
      <c r="A37" s="33" t="str">
        <f t="shared" si="0"/>
        <v>SWT25</v>
      </c>
      <c r="B37" s="34" t="s">
        <v>5</v>
      </c>
      <c r="C37" s="34">
        <v>2025</v>
      </c>
      <c r="D37" s="31">
        <v>0</v>
      </c>
      <c r="E37" s="32">
        <v>0</v>
      </c>
    </row>
    <row r="38" spans="1:8" x14ac:dyDescent="0.3">
      <c r="A38" s="33" t="str">
        <f t="shared" si="0"/>
        <v>SWB21</v>
      </c>
      <c r="B38" s="34" t="s">
        <v>6</v>
      </c>
      <c r="C38" s="34">
        <v>2021</v>
      </c>
      <c r="D38" s="31">
        <v>6.319</v>
      </c>
      <c r="E38" s="32">
        <v>164.92599999999999</v>
      </c>
    </row>
    <row r="39" spans="1:8" x14ac:dyDescent="0.3">
      <c r="A39" s="33" t="str">
        <f t="shared" si="0"/>
        <v>SWB22</v>
      </c>
      <c r="B39" s="34" t="s">
        <v>6</v>
      </c>
      <c r="C39" s="34">
        <v>2022</v>
      </c>
      <c r="D39" s="31">
        <v>9.9429999999999996</v>
      </c>
      <c r="E39" s="32">
        <v>179.66900000000001</v>
      </c>
    </row>
    <row r="40" spans="1:8" x14ac:dyDescent="0.3">
      <c r="A40" s="33" t="str">
        <f t="shared" si="0"/>
        <v>SWB23</v>
      </c>
      <c r="B40" s="34" t="s">
        <v>6</v>
      </c>
      <c r="C40" s="34">
        <v>2023</v>
      </c>
      <c r="D40" s="31">
        <v>18.523</v>
      </c>
      <c r="E40" s="32">
        <v>192.19399999999999</v>
      </c>
    </row>
    <row r="41" spans="1:8" x14ac:dyDescent="0.3">
      <c r="A41" s="33" t="str">
        <f t="shared" si="0"/>
        <v>SWB24</v>
      </c>
      <c r="B41" s="34" t="s">
        <v>6</v>
      </c>
      <c r="C41" s="34">
        <v>2024</v>
      </c>
      <c r="D41" s="31">
        <v>17.398</v>
      </c>
      <c r="E41" s="32">
        <v>181.702</v>
      </c>
    </row>
    <row r="42" spans="1:8" x14ac:dyDescent="0.3">
      <c r="A42" s="33" t="str">
        <f t="shared" si="0"/>
        <v>SWB25</v>
      </c>
      <c r="B42" s="34" t="s">
        <v>6</v>
      </c>
      <c r="C42" s="34">
        <v>2025</v>
      </c>
      <c r="D42" s="31">
        <v>11.44</v>
      </c>
      <c r="E42" s="32">
        <v>175.761</v>
      </c>
      <c r="H42" s="27"/>
    </row>
    <row r="43" spans="1:8" x14ac:dyDescent="0.3">
      <c r="A43" s="33" t="str">
        <f t="shared" si="0"/>
        <v>TMS21</v>
      </c>
      <c r="B43" s="34" t="s">
        <v>7</v>
      </c>
      <c r="C43" s="34">
        <v>2021</v>
      </c>
      <c r="D43" s="31">
        <v>9.0655388874000007</v>
      </c>
      <c r="E43" s="32">
        <v>1070.0059304862</v>
      </c>
      <c r="F43" s="35"/>
    </row>
    <row r="44" spans="1:8" x14ac:dyDescent="0.3">
      <c r="A44" s="33" t="str">
        <f t="shared" si="0"/>
        <v>TMS22</v>
      </c>
      <c r="B44" s="34" t="s">
        <v>7</v>
      </c>
      <c r="C44" s="34">
        <v>2022</v>
      </c>
      <c r="D44" s="31">
        <v>2.9582078269999998</v>
      </c>
      <c r="E44" s="32">
        <v>1195.82265311585</v>
      </c>
      <c r="F44" s="35"/>
    </row>
    <row r="45" spans="1:8" x14ac:dyDescent="0.3">
      <c r="A45" s="33" t="str">
        <f t="shared" si="0"/>
        <v>TMS23</v>
      </c>
      <c r="B45" s="34" t="s">
        <v>7</v>
      </c>
      <c r="C45" s="34">
        <v>2023</v>
      </c>
      <c r="D45" s="31">
        <v>0.4493920246</v>
      </c>
      <c r="E45" s="32">
        <v>1164.87342744906</v>
      </c>
      <c r="F45" s="35"/>
    </row>
    <row r="46" spans="1:8" x14ac:dyDescent="0.3">
      <c r="A46" s="33" t="str">
        <f t="shared" si="0"/>
        <v>TMS24</v>
      </c>
      <c r="B46" s="34" t="s">
        <v>7</v>
      </c>
      <c r="C46" s="34">
        <v>2024</v>
      </c>
      <c r="D46" s="31">
        <v>0</v>
      </c>
      <c r="E46" s="32">
        <v>1136.5628313935199</v>
      </c>
      <c r="F46" s="35"/>
    </row>
    <row r="47" spans="1:8" x14ac:dyDescent="0.3">
      <c r="A47" s="33" t="str">
        <f t="shared" si="0"/>
        <v>TMS25</v>
      </c>
      <c r="B47" s="34" t="s">
        <v>7</v>
      </c>
      <c r="C47" s="34">
        <v>2025</v>
      </c>
      <c r="D47" s="31">
        <v>0</v>
      </c>
      <c r="E47" s="32">
        <v>1090.9390820118099</v>
      </c>
      <c r="F47" s="35"/>
    </row>
    <row r="48" spans="1:8" x14ac:dyDescent="0.3">
      <c r="A48" s="33" t="str">
        <f t="shared" si="0"/>
        <v>WSH21</v>
      </c>
      <c r="B48" s="34" t="s">
        <v>8</v>
      </c>
      <c r="C48" s="34">
        <v>2021</v>
      </c>
      <c r="D48" s="31">
        <v>0.48299999999999998</v>
      </c>
      <c r="E48" s="32">
        <v>329.959</v>
      </c>
      <c r="F48" s="35"/>
    </row>
    <row r="49" spans="1:6" x14ac:dyDescent="0.3">
      <c r="A49" s="33" t="str">
        <f t="shared" si="0"/>
        <v>WSH22</v>
      </c>
      <c r="B49" s="34" t="s">
        <v>8</v>
      </c>
      <c r="C49" s="34">
        <v>2022</v>
      </c>
      <c r="D49" s="31">
        <v>0.505</v>
      </c>
      <c r="E49" s="32">
        <v>343.76</v>
      </c>
      <c r="F49" s="35"/>
    </row>
    <row r="50" spans="1:6" x14ac:dyDescent="0.3">
      <c r="A50" s="33" t="str">
        <f t="shared" si="0"/>
        <v>WSH23</v>
      </c>
      <c r="B50" s="34" t="s">
        <v>8</v>
      </c>
      <c r="C50" s="34">
        <v>2023</v>
      </c>
      <c r="D50" s="31">
        <v>0.13700000000000001</v>
      </c>
      <c r="E50" s="32">
        <v>335.88499999999999</v>
      </c>
      <c r="F50" s="35"/>
    </row>
    <row r="51" spans="1:6" x14ac:dyDescent="0.3">
      <c r="A51" s="33" t="str">
        <f t="shared" si="0"/>
        <v>WSH24</v>
      </c>
      <c r="B51" s="34" t="s">
        <v>8</v>
      </c>
      <c r="C51" s="34">
        <v>2024</v>
      </c>
      <c r="D51" s="31">
        <v>0.13700000000000001</v>
      </c>
      <c r="E51" s="32">
        <v>322.13900000000001</v>
      </c>
      <c r="F51" s="35"/>
    </row>
    <row r="52" spans="1:6" x14ac:dyDescent="0.3">
      <c r="A52" s="33" t="str">
        <f t="shared" si="0"/>
        <v>WSH25</v>
      </c>
      <c r="B52" s="34" t="s">
        <v>8</v>
      </c>
      <c r="C52" s="34">
        <v>2025</v>
      </c>
      <c r="D52" s="31">
        <v>0.13700000000000001</v>
      </c>
      <c r="E52" s="32">
        <v>314.649</v>
      </c>
      <c r="F52" s="35"/>
    </row>
    <row r="53" spans="1:6" x14ac:dyDescent="0.3">
      <c r="A53" s="33" t="str">
        <f t="shared" si="0"/>
        <v>WSX21</v>
      </c>
      <c r="B53" s="34" t="s">
        <v>9</v>
      </c>
      <c r="C53" s="34">
        <v>2021</v>
      </c>
      <c r="D53" s="31">
        <v>1.2534092307692299</v>
      </c>
      <c r="E53" s="32">
        <v>136.11830693204701</v>
      </c>
      <c r="F53" s="35"/>
    </row>
    <row r="54" spans="1:6" x14ac:dyDescent="0.3">
      <c r="A54" s="33" t="str">
        <f t="shared" si="0"/>
        <v>WSX22</v>
      </c>
      <c r="B54" s="34" t="s">
        <v>9</v>
      </c>
      <c r="C54" s="34">
        <v>2022</v>
      </c>
      <c r="D54" s="31">
        <v>3.4930124999999999</v>
      </c>
      <c r="E54" s="32">
        <v>127.600640139625</v>
      </c>
      <c r="F54" s="35"/>
    </row>
    <row r="55" spans="1:6" x14ac:dyDescent="0.3">
      <c r="A55" s="33" t="str">
        <f t="shared" si="0"/>
        <v>WSX23</v>
      </c>
      <c r="B55" s="34" t="s">
        <v>9</v>
      </c>
      <c r="C55" s="34">
        <v>2023</v>
      </c>
      <c r="D55" s="31">
        <v>4.0933228846153904</v>
      </c>
      <c r="E55" s="32">
        <v>146.37373859446299</v>
      </c>
      <c r="F55" s="35"/>
    </row>
    <row r="56" spans="1:6" x14ac:dyDescent="0.3">
      <c r="A56" s="33" t="str">
        <f t="shared" si="0"/>
        <v>WSX24</v>
      </c>
      <c r="B56" s="34" t="s">
        <v>9</v>
      </c>
      <c r="C56" s="34">
        <v>2024</v>
      </c>
      <c r="D56" s="31">
        <v>1.41177461538462</v>
      </c>
      <c r="E56" s="32">
        <v>127.48123932778</v>
      </c>
      <c r="F56" s="35"/>
    </row>
    <row r="57" spans="1:6" x14ac:dyDescent="0.3">
      <c r="A57" s="33" t="str">
        <f t="shared" si="0"/>
        <v>WSX25</v>
      </c>
      <c r="B57" s="34" t="s">
        <v>9</v>
      </c>
      <c r="C57" s="34">
        <v>2025</v>
      </c>
      <c r="D57" s="31">
        <v>0.105576923076923</v>
      </c>
      <c r="E57" s="32">
        <v>122.774642789297</v>
      </c>
      <c r="F57" s="35"/>
    </row>
    <row r="58" spans="1:6" x14ac:dyDescent="0.3">
      <c r="A58" s="33" t="str">
        <f t="shared" si="0"/>
        <v>YKY21</v>
      </c>
      <c r="B58" s="34" t="s">
        <v>10</v>
      </c>
      <c r="C58" s="34">
        <v>2021</v>
      </c>
      <c r="D58" s="31">
        <v>13.329000000000001</v>
      </c>
      <c r="E58" s="32">
        <v>414.65499999999997</v>
      </c>
      <c r="F58" s="35"/>
    </row>
    <row r="59" spans="1:6" x14ac:dyDescent="0.3">
      <c r="A59" s="33" t="str">
        <f t="shared" si="0"/>
        <v>YKY22</v>
      </c>
      <c r="B59" s="34" t="s">
        <v>10</v>
      </c>
      <c r="C59" s="34">
        <v>2022</v>
      </c>
      <c r="D59" s="31">
        <v>17.021000000000001</v>
      </c>
      <c r="E59" s="32">
        <v>412.077</v>
      </c>
      <c r="F59" s="35"/>
    </row>
    <row r="60" spans="1:6" x14ac:dyDescent="0.3">
      <c r="A60" s="33" t="str">
        <f t="shared" si="0"/>
        <v>YKY23</v>
      </c>
      <c r="B60" s="34" t="s">
        <v>10</v>
      </c>
      <c r="C60" s="34">
        <v>2023</v>
      </c>
      <c r="D60" s="31">
        <v>13.641999999999999</v>
      </c>
      <c r="E60" s="32">
        <v>420.154</v>
      </c>
      <c r="F60" s="35"/>
    </row>
    <row r="61" spans="1:6" x14ac:dyDescent="0.3">
      <c r="A61" s="33" t="str">
        <f t="shared" si="0"/>
        <v>YKY24</v>
      </c>
      <c r="B61" s="34" t="s">
        <v>10</v>
      </c>
      <c r="C61" s="34">
        <v>2024</v>
      </c>
      <c r="D61" s="31">
        <v>8.9890000000000008</v>
      </c>
      <c r="E61" s="32">
        <v>402.70400000000001</v>
      </c>
      <c r="F61" s="35"/>
    </row>
    <row r="62" spans="1:6" x14ac:dyDescent="0.3">
      <c r="A62" s="33" t="str">
        <f t="shared" si="0"/>
        <v>YKY25</v>
      </c>
      <c r="B62" s="34" t="s">
        <v>10</v>
      </c>
      <c r="C62" s="34">
        <v>2025</v>
      </c>
      <c r="D62" s="31">
        <v>7.1559999999999997</v>
      </c>
      <c r="E62" s="32">
        <v>374.83300000000003</v>
      </c>
      <c r="F62" s="35"/>
    </row>
    <row r="63" spans="1:6" x14ac:dyDescent="0.3">
      <c r="A63" s="33" t="str">
        <f t="shared" si="0"/>
        <v>AFW21</v>
      </c>
      <c r="B63" s="34" t="s">
        <v>11</v>
      </c>
      <c r="C63" s="34">
        <v>2021</v>
      </c>
      <c r="D63" s="31">
        <v>0.97199999999999998</v>
      </c>
      <c r="E63" s="32">
        <v>294.21575712666902</v>
      </c>
      <c r="F63" s="35"/>
    </row>
    <row r="64" spans="1:6" x14ac:dyDescent="0.3">
      <c r="A64" s="33" t="str">
        <f t="shared" si="0"/>
        <v>AFW22</v>
      </c>
      <c r="B64" s="34" t="s">
        <v>11</v>
      </c>
      <c r="C64" s="34">
        <v>2022</v>
      </c>
      <c r="D64" s="31">
        <v>2.2167396698223798</v>
      </c>
      <c r="E64" s="32">
        <v>293.25057516172097</v>
      </c>
      <c r="F64" s="35"/>
    </row>
    <row r="65" spans="1:6" x14ac:dyDescent="0.3">
      <c r="A65" s="33" t="str">
        <f t="shared" si="0"/>
        <v>AFW23</v>
      </c>
      <c r="B65" s="34" t="s">
        <v>11</v>
      </c>
      <c r="C65" s="34">
        <v>2023</v>
      </c>
      <c r="D65" s="31">
        <v>0.49778374071458198</v>
      </c>
      <c r="E65" s="32">
        <v>281.71299825291601</v>
      </c>
      <c r="F65" s="35"/>
    </row>
    <row r="66" spans="1:6" x14ac:dyDescent="0.3">
      <c r="A66" s="33" t="str">
        <f t="shared" si="0"/>
        <v>AFW24</v>
      </c>
      <c r="B66" s="34" t="s">
        <v>11</v>
      </c>
      <c r="C66" s="34">
        <v>2024</v>
      </c>
      <c r="D66" s="31">
        <v>0</v>
      </c>
      <c r="E66" s="32">
        <v>263.00993647553798</v>
      </c>
      <c r="F66" s="35"/>
    </row>
    <row r="67" spans="1:6" x14ac:dyDescent="0.3">
      <c r="A67" s="33" t="str">
        <f t="shared" si="0"/>
        <v>AFW25</v>
      </c>
      <c r="B67" s="34" t="s">
        <v>11</v>
      </c>
      <c r="C67" s="34">
        <v>2025</v>
      </c>
      <c r="D67" s="31">
        <v>0</v>
      </c>
      <c r="E67" s="32">
        <v>236.27183602763799</v>
      </c>
      <c r="F67" s="35"/>
    </row>
    <row r="68" spans="1:6" x14ac:dyDescent="0.3">
      <c r="A68" s="33" t="str">
        <f t="shared" si="0"/>
        <v>BRL21</v>
      </c>
      <c r="B68" s="34" t="s">
        <v>12</v>
      </c>
      <c r="C68" s="34">
        <v>2021</v>
      </c>
      <c r="D68" s="31">
        <v>0.78</v>
      </c>
      <c r="E68" s="32">
        <v>90.980999999999995</v>
      </c>
      <c r="F68" s="35"/>
    </row>
    <row r="69" spans="1:6" x14ac:dyDescent="0.3">
      <c r="A69" s="33" t="str">
        <f t="shared" si="0"/>
        <v>BRL22</v>
      </c>
      <c r="B69" s="34" t="s">
        <v>12</v>
      </c>
      <c r="C69" s="34">
        <v>2022</v>
      </c>
      <c r="D69" s="31">
        <v>0.78</v>
      </c>
      <c r="E69" s="32">
        <v>90.581999999999994</v>
      </c>
      <c r="F69" s="35"/>
    </row>
    <row r="70" spans="1:6" x14ac:dyDescent="0.3">
      <c r="A70" s="33" t="str">
        <f t="shared" si="0"/>
        <v>BRL23</v>
      </c>
      <c r="B70" s="34" t="s">
        <v>12</v>
      </c>
      <c r="C70" s="34">
        <v>2023</v>
      </c>
      <c r="D70" s="31">
        <v>1.24</v>
      </c>
      <c r="E70" s="32">
        <v>91.372</v>
      </c>
      <c r="F70" s="35"/>
    </row>
    <row r="71" spans="1:6" x14ac:dyDescent="0.3">
      <c r="A71" s="33" t="str">
        <f t="shared" si="0"/>
        <v>BRL24</v>
      </c>
      <c r="B71" s="34" t="s">
        <v>12</v>
      </c>
      <c r="C71" s="34">
        <v>2024</v>
      </c>
      <c r="D71" s="31">
        <v>0.78</v>
      </c>
      <c r="E71" s="32">
        <v>91.606999999999999</v>
      </c>
      <c r="F71" s="35"/>
    </row>
    <row r="72" spans="1:6" x14ac:dyDescent="0.3">
      <c r="A72" s="33" t="str">
        <f t="shared" si="0"/>
        <v>BRL25</v>
      </c>
      <c r="B72" s="34" t="s">
        <v>12</v>
      </c>
      <c r="C72" s="34">
        <v>2025</v>
      </c>
      <c r="D72" s="31">
        <v>0.78</v>
      </c>
      <c r="E72" s="32">
        <v>92.655000000000001</v>
      </c>
      <c r="F72" s="35"/>
    </row>
    <row r="73" spans="1:6" x14ac:dyDescent="0.3">
      <c r="A73" s="33" t="str">
        <f t="shared" ref="A73:A112" si="1">B73&amp;RIGHT(C73,2)</f>
        <v>BWH21</v>
      </c>
      <c r="B73" s="34" t="s">
        <v>68</v>
      </c>
      <c r="C73" s="34">
        <v>2021</v>
      </c>
      <c r="D73" s="31">
        <v>0</v>
      </c>
      <c r="E73" s="32">
        <v>0</v>
      </c>
      <c r="F73" s="35"/>
    </row>
    <row r="74" spans="1:6" x14ac:dyDescent="0.3">
      <c r="A74" s="33" t="str">
        <f t="shared" si="1"/>
        <v>BWH22</v>
      </c>
      <c r="B74" s="34" t="s">
        <v>68</v>
      </c>
      <c r="C74" s="34">
        <v>2022</v>
      </c>
      <c r="D74" s="31">
        <v>0</v>
      </c>
      <c r="E74" s="32">
        <v>0</v>
      </c>
      <c r="F74" s="35"/>
    </row>
    <row r="75" spans="1:6" x14ac:dyDescent="0.3">
      <c r="A75" s="33" t="str">
        <f t="shared" si="1"/>
        <v>BWH23</v>
      </c>
      <c r="B75" s="34" t="s">
        <v>68</v>
      </c>
      <c r="C75" s="34">
        <v>2023</v>
      </c>
      <c r="D75" s="31">
        <v>0</v>
      </c>
      <c r="E75" s="32">
        <v>0</v>
      </c>
      <c r="F75" s="35"/>
    </row>
    <row r="76" spans="1:6" x14ac:dyDescent="0.3">
      <c r="A76" s="33" t="str">
        <f t="shared" si="1"/>
        <v>BWH24</v>
      </c>
      <c r="B76" s="34" t="s">
        <v>68</v>
      </c>
      <c r="C76" s="34">
        <v>2024</v>
      </c>
      <c r="D76" s="31">
        <v>0</v>
      </c>
      <c r="E76" s="32">
        <v>0</v>
      </c>
      <c r="F76" s="35"/>
    </row>
    <row r="77" spans="1:6" x14ac:dyDescent="0.3">
      <c r="A77" s="33" t="str">
        <f t="shared" si="1"/>
        <v>BWH25</v>
      </c>
      <c r="B77" s="34" t="s">
        <v>68</v>
      </c>
      <c r="C77" s="34">
        <v>2025</v>
      </c>
      <c r="D77" s="31">
        <v>0</v>
      </c>
      <c r="E77" s="32">
        <v>0</v>
      </c>
      <c r="F77" s="35"/>
    </row>
    <row r="78" spans="1:6" x14ac:dyDescent="0.3">
      <c r="A78" s="33" t="str">
        <f t="shared" si="1"/>
        <v>DVW21</v>
      </c>
      <c r="B78" s="34" t="s">
        <v>13</v>
      </c>
      <c r="C78" s="34">
        <v>2021</v>
      </c>
      <c r="D78" s="31">
        <v>0</v>
      </c>
      <c r="E78" s="32">
        <v>0</v>
      </c>
      <c r="F78" s="35"/>
    </row>
    <row r="79" spans="1:6" x14ac:dyDescent="0.3">
      <c r="A79" s="33" t="str">
        <f t="shared" si="1"/>
        <v>DVW22</v>
      </c>
      <c r="B79" s="34" t="s">
        <v>13</v>
      </c>
      <c r="C79" s="34">
        <v>2022</v>
      </c>
      <c r="D79" s="31">
        <v>0</v>
      </c>
      <c r="E79" s="32">
        <v>0</v>
      </c>
      <c r="F79" s="35"/>
    </row>
    <row r="80" spans="1:6" x14ac:dyDescent="0.3">
      <c r="A80" s="33" t="str">
        <f t="shared" si="1"/>
        <v>DVW23</v>
      </c>
      <c r="B80" s="34" t="s">
        <v>13</v>
      </c>
      <c r="C80" s="34">
        <v>2023</v>
      </c>
      <c r="D80" s="31">
        <v>0</v>
      </c>
      <c r="E80" s="32">
        <v>0</v>
      </c>
      <c r="F80" s="35"/>
    </row>
    <row r="81" spans="1:6" x14ac:dyDescent="0.3">
      <c r="A81" s="33" t="str">
        <f t="shared" si="1"/>
        <v>DVW24</v>
      </c>
      <c r="B81" s="34" t="s">
        <v>13</v>
      </c>
      <c r="C81" s="34">
        <v>2024</v>
      </c>
      <c r="D81" s="31">
        <v>0</v>
      </c>
      <c r="E81" s="32">
        <v>0</v>
      </c>
      <c r="F81" s="35"/>
    </row>
    <row r="82" spans="1:6" x14ac:dyDescent="0.3">
      <c r="A82" s="33" t="str">
        <f t="shared" si="1"/>
        <v>DVW25</v>
      </c>
      <c r="B82" s="34" t="s">
        <v>13</v>
      </c>
      <c r="C82" s="34">
        <v>2025</v>
      </c>
      <c r="D82" s="31">
        <v>0</v>
      </c>
      <c r="E82" s="32">
        <v>0</v>
      </c>
      <c r="F82" s="35"/>
    </row>
    <row r="83" spans="1:6" x14ac:dyDescent="0.3">
      <c r="A83" s="33" t="str">
        <f t="shared" si="1"/>
        <v>PRT21</v>
      </c>
      <c r="B83" s="34" t="s">
        <v>14</v>
      </c>
      <c r="C83" s="34">
        <v>2021</v>
      </c>
      <c r="D83" s="31">
        <v>2.8719999999999999</v>
      </c>
      <c r="E83" s="32">
        <v>40.406999999999996</v>
      </c>
      <c r="F83" s="35"/>
    </row>
    <row r="84" spans="1:6" x14ac:dyDescent="0.3">
      <c r="A84" s="33" t="str">
        <f t="shared" si="1"/>
        <v>PRT22</v>
      </c>
      <c r="B84" s="34" t="s">
        <v>14</v>
      </c>
      <c r="C84" s="34">
        <v>2022</v>
      </c>
      <c r="D84" s="31">
        <v>1.1859999999999999</v>
      </c>
      <c r="E84" s="32">
        <v>38.174999999999997</v>
      </c>
      <c r="F84" s="35"/>
    </row>
    <row r="85" spans="1:6" x14ac:dyDescent="0.3">
      <c r="A85" s="33" t="str">
        <f t="shared" si="1"/>
        <v>PRT23</v>
      </c>
      <c r="B85" s="34" t="s">
        <v>14</v>
      </c>
      <c r="C85" s="34">
        <v>2023</v>
      </c>
      <c r="D85" s="31">
        <v>0</v>
      </c>
      <c r="E85" s="32">
        <v>38.857999999999997</v>
      </c>
      <c r="F85" s="35"/>
    </row>
    <row r="86" spans="1:6" x14ac:dyDescent="0.3">
      <c r="A86" s="33" t="str">
        <f t="shared" si="1"/>
        <v>PRT24</v>
      </c>
      <c r="B86" s="34" t="s">
        <v>14</v>
      </c>
      <c r="C86" s="34">
        <v>2024</v>
      </c>
      <c r="D86" s="31">
        <v>1.46</v>
      </c>
      <c r="E86" s="32">
        <v>51.771999999999998</v>
      </c>
      <c r="F86" s="35"/>
    </row>
    <row r="87" spans="1:6" x14ac:dyDescent="0.3">
      <c r="A87" s="33" t="str">
        <f t="shared" si="1"/>
        <v>PRT25</v>
      </c>
      <c r="B87" s="34" t="s">
        <v>14</v>
      </c>
      <c r="C87" s="34">
        <v>2025</v>
      </c>
      <c r="D87" s="31">
        <v>0.25800000000000001</v>
      </c>
      <c r="E87" s="32">
        <v>54.731999999999999</v>
      </c>
      <c r="F87" s="35"/>
    </row>
    <row r="88" spans="1:6" x14ac:dyDescent="0.3">
      <c r="A88" s="33" t="str">
        <f t="shared" si="1"/>
        <v>SES21</v>
      </c>
      <c r="B88" s="34" t="s">
        <v>15</v>
      </c>
      <c r="C88" s="34">
        <v>2021</v>
      </c>
      <c r="D88" s="31">
        <v>0</v>
      </c>
      <c r="E88" s="32">
        <v>52.654000000000003</v>
      </c>
      <c r="F88" s="35"/>
    </row>
    <row r="89" spans="1:6" x14ac:dyDescent="0.3">
      <c r="A89" s="33" t="str">
        <f t="shared" si="1"/>
        <v>SES22</v>
      </c>
      <c r="B89" s="34" t="s">
        <v>15</v>
      </c>
      <c r="C89" s="34">
        <v>2022</v>
      </c>
      <c r="D89" s="31">
        <v>0</v>
      </c>
      <c r="E89" s="32">
        <v>57.351999999999997</v>
      </c>
      <c r="F89" s="35"/>
    </row>
    <row r="90" spans="1:6" x14ac:dyDescent="0.3">
      <c r="A90" s="33" t="str">
        <f t="shared" si="1"/>
        <v>SES23</v>
      </c>
      <c r="B90" s="34" t="s">
        <v>15</v>
      </c>
      <c r="C90" s="34">
        <v>2023</v>
      </c>
      <c r="D90" s="31">
        <v>0</v>
      </c>
      <c r="E90" s="32">
        <v>51.917999999999999</v>
      </c>
      <c r="F90" s="35"/>
    </row>
    <row r="91" spans="1:6" x14ac:dyDescent="0.3">
      <c r="A91" s="33" t="str">
        <f t="shared" si="1"/>
        <v>SES24</v>
      </c>
      <c r="B91" s="34" t="s">
        <v>15</v>
      </c>
      <c r="C91" s="34">
        <v>2024</v>
      </c>
      <c r="D91" s="31">
        <v>0</v>
      </c>
      <c r="E91" s="32">
        <v>46.165999999999997</v>
      </c>
      <c r="F91" s="35"/>
    </row>
    <row r="92" spans="1:6" x14ac:dyDescent="0.3">
      <c r="A92" s="33" t="str">
        <f t="shared" si="1"/>
        <v>SES25</v>
      </c>
      <c r="B92" s="34" t="s">
        <v>15</v>
      </c>
      <c r="C92" s="34">
        <v>2025</v>
      </c>
      <c r="D92" s="31">
        <v>0</v>
      </c>
      <c r="E92" s="32">
        <v>45.219000000000001</v>
      </c>
      <c r="F92" s="35"/>
    </row>
    <row r="93" spans="1:6" x14ac:dyDescent="0.3">
      <c r="A93" s="33" t="str">
        <f t="shared" si="1"/>
        <v>SEW21</v>
      </c>
      <c r="B93" s="34" t="s">
        <v>16</v>
      </c>
      <c r="C93" s="34">
        <v>2021</v>
      </c>
      <c r="D93" s="31">
        <v>2.4285005375708901</v>
      </c>
      <c r="E93" s="32">
        <v>172.16200000000001</v>
      </c>
      <c r="F93" s="35"/>
    </row>
    <row r="94" spans="1:6" x14ac:dyDescent="0.3">
      <c r="A94" s="33" t="str">
        <f t="shared" si="1"/>
        <v>SEW22</v>
      </c>
      <c r="B94" s="34" t="s">
        <v>16</v>
      </c>
      <c r="C94" s="34">
        <v>2022</v>
      </c>
      <c r="D94" s="31">
        <v>2.38478752789461</v>
      </c>
      <c r="E94" s="32">
        <v>199.673</v>
      </c>
      <c r="F94" s="35"/>
    </row>
    <row r="95" spans="1:6" x14ac:dyDescent="0.3">
      <c r="A95" s="33" t="str">
        <f t="shared" si="1"/>
        <v>SEW23</v>
      </c>
      <c r="B95" s="34" t="s">
        <v>16</v>
      </c>
      <c r="C95" s="34">
        <v>2023</v>
      </c>
      <c r="D95" s="31">
        <v>2.9193951850000199</v>
      </c>
      <c r="E95" s="32">
        <v>208.291</v>
      </c>
      <c r="F95" s="35"/>
    </row>
    <row r="96" spans="1:6" x14ac:dyDescent="0.3">
      <c r="A96" s="33" t="str">
        <f t="shared" si="1"/>
        <v>SEW24</v>
      </c>
      <c r="B96" s="34" t="s">
        <v>16</v>
      </c>
      <c r="C96" s="34">
        <v>2024</v>
      </c>
      <c r="D96" s="31">
        <v>4.8819202308433898</v>
      </c>
      <c r="E96" s="32">
        <v>186.22200000000001</v>
      </c>
      <c r="F96" s="35"/>
    </row>
    <row r="97" spans="1:6" x14ac:dyDescent="0.3">
      <c r="A97" s="33" t="str">
        <f t="shared" si="1"/>
        <v>SEW25</v>
      </c>
      <c r="B97" s="34" t="s">
        <v>16</v>
      </c>
      <c r="C97" s="34">
        <v>2025</v>
      </c>
      <c r="D97" s="31">
        <v>4.7940456666882101</v>
      </c>
      <c r="E97" s="32">
        <v>194.59899999999999</v>
      </c>
      <c r="F97" s="35"/>
    </row>
    <row r="98" spans="1:6" x14ac:dyDescent="0.3">
      <c r="A98" s="33" t="str">
        <f t="shared" si="1"/>
        <v>SSC21</v>
      </c>
      <c r="B98" s="34" t="s">
        <v>17</v>
      </c>
      <c r="C98" s="34">
        <v>2021</v>
      </c>
      <c r="D98" s="31">
        <v>0.29207270639335597</v>
      </c>
      <c r="E98" s="32">
        <v>112.527432753265</v>
      </c>
      <c r="F98" s="35"/>
    </row>
    <row r="99" spans="1:6" x14ac:dyDescent="0.3">
      <c r="A99" s="33" t="str">
        <f t="shared" si="1"/>
        <v>SSC22</v>
      </c>
      <c r="B99" s="34" t="s">
        <v>17</v>
      </c>
      <c r="C99" s="34">
        <v>2022</v>
      </c>
      <c r="D99" s="31">
        <v>2.2164960087969701</v>
      </c>
      <c r="E99" s="32">
        <v>116.29561663750501</v>
      </c>
      <c r="F99" s="35"/>
    </row>
    <row r="100" spans="1:6" x14ac:dyDescent="0.3">
      <c r="A100" s="33" t="str">
        <f t="shared" si="1"/>
        <v>SSC23</v>
      </c>
      <c r="B100" s="34" t="s">
        <v>17</v>
      </c>
      <c r="C100" s="34">
        <v>2023</v>
      </c>
      <c r="D100" s="31">
        <v>2.2164960087969701</v>
      </c>
      <c r="E100" s="32">
        <v>117.955781425252</v>
      </c>
      <c r="F100" s="35"/>
    </row>
    <row r="101" spans="1:6" x14ac:dyDescent="0.3">
      <c r="A101" s="33" t="str">
        <f t="shared" si="1"/>
        <v>SSC24</v>
      </c>
      <c r="B101" s="34" t="s">
        <v>17</v>
      </c>
      <c r="C101" s="34">
        <v>2024</v>
      </c>
      <c r="D101" s="31">
        <v>2.2164960087969701</v>
      </c>
      <c r="E101" s="32">
        <v>94.121966414052807</v>
      </c>
      <c r="F101" s="35"/>
    </row>
    <row r="102" spans="1:6" x14ac:dyDescent="0.3">
      <c r="A102" s="33" t="str">
        <f t="shared" si="1"/>
        <v>SSC25</v>
      </c>
      <c r="B102" s="34" t="s">
        <v>17</v>
      </c>
      <c r="C102" s="34">
        <v>2025</v>
      </c>
      <c r="D102" s="31">
        <v>6.8825355865444804</v>
      </c>
      <c r="E102" s="32">
        <v>97.128204442325099</v>
      </c>
      <c r="F102" s="35"/>
    </row>
    <row r="103" spans="1:6" x14ac:dyDescent="0.3">
      <c r="A103" s="33" t="str">
        <f t="shared" si="1"/>
        <v>SVE21</v>
      </c>
      <c r="B103" s="34" t="s">
        <v>69</v>
      </c>
      <c r="C103" s="34">
        <v>2021</v>
      </c>
      <c r="D103" s="31">
        <v>4.016</v>
      </c>
      <c r="E103" s="32">
        <v>575.06571742576398</v>
      </c>
      <c r="F103" s="35"/>
    </row>
    <row r="104" spans="1:6" x14ac:dyDescent="0.3">
      <c r="A104" s="33" t="str">
        <f t="shared" si="1"/>
        <v>SVE22</v>
      </c>
      <c r="B104" s="34" t="s">
        <v>69</v>
      </c>
      <c r="C104" s="34">
        <v>2022</v>
      </c>
      <c r="D104" s="31">
        <v>7.8360000000000003</v>
      </c>
      <c r="E104" s="32">
        <v>631.12859132579104</v>
      </c>
      <c r="F104" s="35"/>
    </row>
    <row r="105" spans="1:6" x14ac:dyDescent="0.3">
      <c r="A105" s="33" t="str">
        <f t="shared" si="1"/>
        <v>SVE23</v>
      </c>
      <c r="B105" s="34" t="s">
        <v>69</v>
      </c>
      <c r="C105" s="34">
        <v>2023</v>
      </c>
      <c r="D105" s="31">
        <v>10.855</v>
      </c>
      <c r="E105" s="32">
        <v>643.43469392974998</v>
      </c>
      <c r="F105" s="35"/>
    </row>
    <row r="106" spans="1:6" x14ac:dyDescent="0.3">
      <c r="A106" s="33" t="str">
        <f t="shared" si="1"/>
        <v>SVE24</v>
      </c>
      <c r="B106" s="34" t="s">
        <v>69</v>
      </c>
      <c r="C106" s="34">
        <v>2024</v>
      </c>
      <c r="D106" s="31">
        <v>7.024</v>
      </c>
      <c r="E106" s="32">
        <v>635.41164547131598</v>
      </c>
      <c r="F106" s="35"/>
    </row>
    <row r="107" spans="1:6" x14ac:dyDescent="0.3">
      <c r="A107" s="33" t="str">
        <f t="shared" si="1"/>
        <v>SVE25</v>
      </c>
      <c r="B107" s="34" t="s">
        <v>69</v>
      </c>
      <c r="C107" s="34">
        <v>2025</v>
      </c>
      <c r="D107" s="31">
        <v>4.3179999999999996</v>
      </c>
      <c r="E107" s="32">
        <v>630.76354224170598</v>
      </c>
      <c r="F107" s="35"/>
    </row>
    <row r="108" spans="1:6" x14ac:dyDescent="0.3">
      <c r="A108" s="33" t="str">
        <f t="shared" si="1"/>
        <v>HDD21</v>
      </c>
      <c r="B108" s="34" t="s">
        <v>70</v>
      </c>
      <c r="C108" s="34">
        <v>2021</v>
      </c>
      <c r="D108" s="31">
        <v>0</v>
      </c>
      <c r="E108" s="32">
        <v>26.872050951823599</v>
      </c>
      <c r="F108" s="35"/>
    </row>
    <row r="109" spans="1:6" x14ac:dyDescent="0.3">
      <c r="A109" s="33" t="str">
        <f t="shared" si="1"/>
        <v>HDD22</v>
      </c>
      <c r="B109" s="34" t="s">
        <v>70</v>
      </c>
      <c r="C109" s="34">
        <v>2022</v>
      </c>
      <c r="D109" s="31">
        <v>0</v>
      </c>
      <c r="E109" s="32">
        <v>26.692718899269298</v>
      </c>
      <c r="F109" s="35"/>
    </row>
    <row r="110" spans="1:6" x14ac:dyDescent="0.3">
      <c r="A110" s="33" t="str">
        <f t="shared" si="1"/>
        <v>HDD23</v>
      </c>
      <c r="B110" s="34" t="s">
        <v>70</v>
      </c>
      <c r="C110" s="34">
        <v>2023</v>
      </c>
      <c r="D110" s="31">
        <v>0</v>
      </c>
      <c r="E110" s="32">
        <v>26.203587153191499</v>
      </c>
      <c r="F110" s="35"/>
    </row>
    <row r="111" spans="1:6" x14ac:dyDescent="0.3">
      <c r="A111" s="33" t="str">
        <f t="shared" si="1"/>
        <v>HDD24</v>
      </c>
      <c r="B111" s="34" t="s">
        <v>70</v>
      </c>
      <c r="C111" s="34">
        <v>2024</v>
      </c>
      <c r="D111" s="31">
        <v>0</v>
      </c>
      <c r="E111" s="32">
        <v>25.616950688549899</v>
      </c>
      <c r="F111" s="35"/>
    </row>
    <row r="112" spans="1:6" x14ac:dyDescent="0.3">
      <c r="A112" s="33" t="str">
        <f t="shared" si="1"/>
        <v>HDD25</v>
      </c>
      <c r="B112" s="34" t="s">
        <v>70</v>
      </c>
      <c r="C112" s="34">
        <v>2025</v>
      </c>
      <c r="D112" s="31">
        <v>0</v>
      </c>
      <c r="E112" s="32">
        <v>25.9173372120738</v>
      </c>
      <c r="F112" s="35"/>
    </row>
    <row r="113" spans="4:4" x14ac:dyDescent="0.3">
      <c r="D113" s="28"/>
    </row>
    <row r="114" spans="4:4" x14ac:dyDescent="0.3">
      <c r="D114"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E55"/>
  <sheetViews>
    <sheetView showGridLines="0" zoomScale="85" zoomScaleNormal="85" workbookViewId="0">
      <selection sqref="A1:XFD1048576"/>
    </sheetView>
  </sheetViews>
  <sheetFormatPr defaultColWidth="8.81640625" defaultRowHeight="13" x14ac:dyDescent="0.3"/>
  <cols>
    <col min="1" max="1" width="2.1796875" style="2" customWidth="1"/>
    <col min="2" max="2" width="34.1796875" style="2" customWidth="1"/>
    <col min="3" max="3" width="11.54296875" style="2" customWidth="1"/>
    <col min="4" max="6" width="12.453125" style="2" customWidth="1"/>
    <col min="7" max="7" width="12" style="2" customWidth="1"/>
    <col min="8" max="9" width="12.453125" style="2" customWidth="1"/>
    <col min="10" max="10" width="79" style="30" bestFit="1" customWidth="1"/>
    <col min="11" max="11" width="19.54296875" style="2" customWidth="1"/>
    <col min="12" max="12" width="12.453125" style="2" customWidth="1"/>
    <col min="13" max="13" width="45" style="30" customWidth="1"/>
    <col min="14" max="14" width="11.1796875" style="2" customWidth="1"/>
    <col min="15" max="15" width="12.453125" style="2" customWidth="1"/>
    <col min="16" max="17" width="10.1796875" style="2" customWidth="1"/>
    <col min="18" max="18" width="12" style="2" customWidth="1"/>
    <col min="19" max="19" width="26.453125" style="30" customWidth="1"/>
    <col min="20" max="20" width="10.54296875" style="2" customWidth="1"/>
    <col min="21" max="21" width="43.81640625" style="89" customWidth="1"/>
    <col min="22" max="22" width="20.1796875" style="2" customWidth="1"/>
    <col min="23" max="23" width="15.1796875" style="2" customWidth="1"/>
    <col min="24" max="24" width="4.81640625" style="2" customWidth="1"/>
    <col min="25" max="25" width="15.1796875" style="2" customWidth="1"/>
    <col min="26" max="26" width="14.1796875" style="2" customWidth="1"/>
    <col min="27" max="16384" width="8.81640625" style="2"/>
  </cols>
  <sheetData>
    <row r="1" spans="2:26" s="44" customFormat="1" ht="18.5" x14ac:dyDescent="0.3">
      <c r="B1" s="1" t="s">
        <v>416</v>
      </c>
      <c r="C1" s="1"/>
      <c r="D1" s="1"/>
      <c r="E1" s="1"/>
      <c r="F1" s="1"/>
      <c r="G1" s="1"/>
      <c r="H1" s="1"/>
      <c r="I1" s="1"/>
      <c r="J1" s="172"/>
      <c r="K1" s="1"/>
      <c r="L1" s="1"/>
      <c r="M1" s="172"/>
      <c r="N1" s="1"/>
      <c r="O1" s="1"/>
      <c r="P1" s="1"/>
      <c r="Q1" s="1"/>
      <c r="R1" s="1"/>
      <c r="S1" s="172"/>
      <c r="T1" s="1"/>
      <c r="U1" s="167"/>
      <c r="V1" s="1"/>
      <c r="W1" s="1"/>
      <c r="X1" s="1"/>
      <c r="Y1" s="1"/>
      <c r="Z1" s="1"/>
    </row>
    <row r="2" spans="2:26" s="44" customFormat="1" ht="14.9" customHeight="1" x14ac:dyDescent="0.3">
      <c r="B2" s="6"/>
      <c r="C2" s="45"/>
      <c r="D2" s="45"/>
      <c r="E2" s="45"/>
      <c r="F2" s="45"/>
      <c r="G2" s="2"/>
      <c r="H2" s="2"/>
      <c r="I2" s="2"/>
      <c r="J2" s="30"/>
      <c r="K2" s="2"/>
      <c r="L2" s="2"/>
      <c r="M2" s="173"/>
      <c r="N2" s="42"/>
      <c r="O2" s="43"/>
      <c r="S2" s="173"/>
      <c r="U2" s="168"/>
    </row>
    <row r="3" spans="2:26" s="44" customFormat="1" ht="18.5" x14ac:dyDescent="0.3">
      <c r="B3" s="6" t="s">
        <v>54</v>
      </c>
      <c r="C3" s="45"/>
      <c r="D3" s="45"/>
      <c r="E3" s="45"/>
      <c r="F3" s="45"/>
      <c r="G3" s="2"/>
      <c r="H3" s="2"/>
      <c r="I3" s="2"/>
      <c r="J3" s="173"/>
      <c r="K3" s="43"/>
      <c r="M3" s="174"/>
      <c r="S3" s="174"/>
      <c r="U3" s="169"/>
    </row>
    <row r="4" spans="2:26" x14ac:dyDescent="0.3">
      <c r="B4" s="12" t="s">
        <v>22</v>
      </c>
      <c r="C4" s="203" t="s">
        <v>293</v>
      </c>
      <c r="D4" s="203"/>
      <c r="E4" s="72"/>
      <c r="F4" s="72"/>
    </row>
    <row r="5" spans="2:26" x14ac:dyDescent="0.3">
      <c r="B5" s="12" t="s">
        <v>23</v>
      </c>
      <c r="C5" s="204">
        <v>43375</v>
      </c>
      <c r="D5" s="203"/>
      <c r="E5" s="72"/>
      <c r="F5" s="72"/>
    </row>
    <row r="6" spans="2:26" x14ac:dyDescent="0.3">
      <c r="B6" s="12" t="s">
        <v>24</v>
      </c>
      <c r="C6" s="204">
        <v>43430</v>
      </c>
      <c r="D6" s="203"/>
      <c r="E6" s="72"/>
      <c r="F6" s="72"/>
    </row>
    <row r="7" spans="2:26" x14ac:dyDescent="0.3">
      <c r="B7" s="12" t="s">
        <v>25</v>
      </c>
      <c r="C7" s="203" t="s">
        <v>417</v>
      </c>
      <c r="D7" s="203"/>
      <c r="E7" s="72"/>
      <c r="F7" s="72"/>
    </row>
    <row r="8" spans="2:26" x14ac:dyDescent="0.3">
      <c r="B8" s="15"/>
      <c r="C8" s="15"/>
      <c r="D8" s="46"/>
      <c r="E8" s="46"/>
      <c r="F8" s="46"/>
    </row>
    <row r="9" spans="2:26" x14ac:dyDescent="0.3">
      <c r="B9" s="6" t="s">
        <v>65</v>
      </c>
      <c r="C9" s="15"/>
      <c r="D9" s="46"/>
      <c r="E9" s="46"/>
      <c r="F9" s="46"/>
    </row>
    <row r="10" spans="2:26" x14ac:dyDescent="0.3">
      <c r="B10" s="47" t="s">
        <v>66</v>
      </c>
      <c r="C10" s="48" t="s">
        <v>67</v>
      </c>
      <c r="D10" s="73"/>
      <c r="E10" s="73"/>
      <c r="F10" s="73"/>
      <c r="G10" s="74"/>
    </row>
    <row r="11" spans="2:26" x14ac:dyDescent="0.3">
      <c r="B11" s="49"/>
      <c r="C11" s="15"/>
      <c r="D11" s="15"/>
      <c r="E11" s="15"/>
      <c r="F11" s="15"/>
      <c r="G11" s="15"/>
    </row>
    <row r="12" spans="2:26" x14ac:dyDescent="0.3">
      <c r="B12" s="6" t="s">
        <v>78</v>
      </c>
    </row>
    <row r="13" spans="2:26" x14ac:dyDescent="0.3">
      <c r="B13" s="12" t="s">
        <v>41</v>
      </c>
      <c r="C13" s="50" t="s">
        <v>76</v>
      </c>
      <c r="D13" s="75"/>
      <c r="E13" s="46"/>
      <c r="F13" s="46"/>
    </row>
    <row r="14" spans="2:26" ht="65" x14ac:dyDescent="0.3">
      <c r="B14" s="12" t="s">
        <v>42</v>
      </c>
      <c r="C14" s="76" t="s">
        <v>269</v>
      </c>
      <c r="D14" s="75"/>
      <c r="E14" s="46"/>
      <c r="F14" s="46"/>
      <c r="M14" s="55" t="s">
        <v>271</v>
      </c>
    </row>
    <row r="15" spans="2:26" x14ac:dyDescent="0.3">
      <c r="B15" s="51" t="s">
        <v>40</v>
      </c>
      <c r="C15" s="202" t="s">
        <v>39</v>
      </c>
      <c r="D15" s="202"/>
      <c r="E15" s="77"/>
      <c r="F15" s="77"/>
    </row>
    <row r="16" spans="2:26" x14ac:dyDescent="0.3">
      <c r="B16" s="15"/>
      <c r="C16" s="15"/>
      <c r="D16" s="46"/>
      <c r="E16" s="46"/>
      <c r="F16" s="46"/>
      <c r="H16" s="2" t="s">
        <v>208</v>
      </c>
    </row>
    <row r="17" spans="2:31" x14ac:dyDescent="0.3">
      <c r="B17" s="6" t="s">
        <v>45</v>
      </c>
    </row>
    <row r="18" spans="2:31" x14ac:dyDescent="0.3">
      <c r="B18" s="200" t="s">
        <v>18</v>
      </c>
      <c r="C18" s="198" t="s">
        <v>58</v>
      </c>
      <c r="D18" s="78" t="s">
        <v>46</v>
      </c>
      <c r="E18" s="78"/>
      <c r="F18" s="78"/>
      <c r="G18" s="73"/>
      <c r="H18" s="73"/>
      <c r="I18" s="73"/>
      <c r="J18" s="83"/>
      <c r="K18" s="79" t="s">
        <v>47</v>
      </c>
      <c r="L18" s="73"/>
      <c r="M18" s="83"/>
      <c r="N18" s="79" t="s">
        <v>48</v>
      </c>
      <c r="O18" s="79"/>
      <c r="P18" s="73"/>
      <c r="Q18" s="73"/>
      <c r="R18" s="73"/>
      <c r="S18" s="83"/>
      <c r="T18" s="79" t="s">
        <v>49</v>
      </c>
      <c r="U18" s="86"/>
      <c r="V18" s="80" t="s">
        <v>51</v>
      </c>
      <c r="W18" s="74"/>
      <c r="X18" s="15"/>
      <c r="Y18" s="79" t="s">
        <v>53</v>
      </c>
      <c r="Z18" s="74"/>
    </row>
    <row r="19" spans="2:31" s="89" customFormat="1" ht="91" x14ac:dyDescent="0.35">
      <c r="B19" s="201"/>
      <c r="C19" s="199"/>
      <c r="D19" s="81" t="s">
        <v>85</v>
      </c>
      <c r="E19" s="82" t="s">
        <v>84</v>
      </c>
      <c r="F19" s="82" t="s">
        <v>80</v>
      </c>
      <c r="G19" s="82" t="s">
        <v>81</v>
      </c>
      <c r="H19" s="82" t="s">
        <v>82</v>
      </c>
      <c r="I19" s="82" t="s">
        <v>59</v>
      </c>
      <c r="J19" s="83" t="s">
        <v>55</v>
      </c>
      <c r="K19" s="81" t="s">
        <v>83</v>
      </c>
      <c r="L19" s="82" t="s">
        <v>60</v>
      </c>
      <c r="M19" s="83" t="s">
        <v>55</v>
      </c>
      <c r="N19" s="84" t="s">
        <v>71</v>
      </c>
      <c r="O19" s="85" t="s">
        <v>61</v>
      </c>
      <c r="P19" s="82" t="s">
        <v>79</v>
      </c>
      <c r="Q19" s="82" t="s">
        <v>56</v>
      </c>
      <c r="R19" s="82" t="s">
        <v>62</v>
      </c>
      <c r="S19" s="83" t="s">
        <v>55</v>
      </c>
      <c r="T19" s="81" t="s">
        <v>50</v>
      </c>
      <c r="U19" s="86" t="s">
        <v>55</v>
      </c>
      <c r="V19" s="81" t="s">
        <v>52</v>
      </c>
      <c r="W19" s="83" t="s">
        <v>63</v>
      </c>
      <c r="X19" s="67"/>
      <c r="Y19" s="87" t="s">
        <v>57</v>
      </c>
      <c r="Z19" s="88" t="s">
        <v>64</v>
      </c>
    </row>
    <row r="20" spans="2:31" s="89" customFormat="1" ht="52" x14ac:dyDescent="0.35">
      <c r="B20" s="51" t="s">
        <v>0</v>
      </c>
      <c r="C20" s="90">
        <f>SUMIF(Data!$B$8:$B$112,'Gates &amp; Shallow dive'!$B20,Data!$D$8:$D$112)+VLOOKUP(B20,Allowance!$C$13:$M$30,4,FALSE)</f>
        <v>22.777657530541241</v>
      </c>
      <c r="D20" s="90">
        <v>0</v>
      </c>
      <c r="E20" s="90"/>
      <c r="F20" s="90"/>
      <c r="G20" s="90">
        <v>0</v>
      </c>
      <c r="H20" s="90">
        <v>0</v>
      </c>
      <c r="I20" s="91">
        <f t="shared" ref="I20:I36" si="0">IFERROR(C20-SUM(D20:H20),"")</f>
        <v>22.777657530541241</v>
      </c>
      <c r="J20" s="55" t="s">
        <v>209</v>
      </c>
      <c r="K20" s="92">
        <v>0</v>
      </c>
      <c r="L20" s="93">
        <f>IFERROR(I20-K20,"")</f>
        <v>22.777657530541241</v>
      </c>
      <c r="M20" s="55" t="s">
        <v>88</v>
      </c>
      <c r="N20" s="92">
        <f>SUMIF(Data!$B$8:$B$112,'Gates &amp; Shallow dive'!$B20,Data!$E$8:$E$112)</f>
        <v>2814.0055180862919</v>
      </c>
      <c r="O20" s="94">
        <f t="shared" ref="O20:O31" si="1">IFERROR(L20/N20,"")</f>
        <v>8.0943897885571818E-3</v>
      </c>
      <c r="P20" s="93" t="s">
        <v>19</v>
      </c>
      <c r="Q20" s="93" t="s">
        <v>20</v>
      </c>
      <c r="R20" s="93">
        <f>IFERROR(L20,"")</f>
        <v>22.777657530541241</v>
      </c>
      <c r="S20" s="55" t="s">
        <v>354</v>
      </c>
      <c r="T20" s="51"/>
      <c r="U20" s="55"/>
      <c r="V20" s="89" t="s">
        <v>89</v>
      </c>
      <c r="W20" s="95">
        <f>IFERROR(R20,"")</f>
        <v>22.777657530541241</v>
      </c>
      <c r="X20" s="58"/>
      <c r="Y20" s="96">
        <v>0.15</v>
      </c>
      <c r="Z20" s="93">
        <f>W20*(1-Y20)</f>
        <v>19.361008900960055</v>
      </c>
    </row>
    <row r="21" spans="2:31" s="22" customFormat="1" ht="52" x14ac:dyDescent="0.3">
      <c r="B21" s="97" t="s">
        <v>1</v>
      </c>
      <c r="C21" s="90">
        <f>SUMIF(Data!$B$8:$B$112,'Gates &amp; Shallow dive'!$B21,Data!$D$8:$D$112)+VLOOKUP(B21,Allowance!$C$13:$M$30,4,FALSE)</f>
        <v>33.000000000000007</v>
      </c>
      <c r="D21" s="98"/>
      <c r="E21" s="98"/>
      <c r="F21" s="98"/>
      <c r="G21" s="98"/>
      <c r="H21" s="98">
        <v>0</v>
      </c>
      <c r="I21" s="99">
        <f t="shared" si="0"/>
        <v>33.000000000000007</v>
      </c>
      <c r="J21" s="170" t="s">
        <v>346</v>
      </c>
      <c r="K21" s="100"/>
      <c r="L21" s="101">
        <f>IFERROR(I21-K21,"")</f>
        <v>33.000000000000007</v>
      </c>
      <c r="M21" s="170" t="s">
        <v>350</v>
      </c>
      <c r="N21" s="92">
        <f>SUMIF(Data!$B$8:$B$112,'Gates &amp; Shallow dive'!$B21,Data!$E$8:$E$112)</f>
        <v>1729.884</v>
      </c>
      <c r="O21" s="96">
        <f t="shared" si="1"/>
        <v>1.9076423621468264E-2</v>
      </c>
      <c r="P21" s="101" t="s">
        <v>19</v>
      </c>
      <c r="Q21" s="101" t="s">
        <v>19</v>
      </c>
      <c r="R21" s="102">
        <f>IFERROR(L21,"")</f>
        <v>33.000000000000007</v>
      </c>
      <c r="S21" s="55" t="s">
        <v>354</v>
      </c>
      <c r="T21" s="97"/>
      <c r="U21" s="170"/>
      <c r="V21" s="97" t="s">
        <v>89</v>
      </c>
      <c r="W21" s="103">
        <f t="shared" ref="W21:W36" si="2">IFERROR(R21,"")</f>
        <v>33.000000000000007</v>
      </c>
      <c r="X21" s="104"/>
      <c r="Y21" s="96">
        <v>2.650441955963285E-4</v>
      </c>
      <c r="Z21" s="101">
        <f t="shared" ref="Z21:Z38" si="3">W21*(1-Y21)</f>
        <v>32.991253541545326</v>
      </c>
    </row>
    <row r="22" spans="2:31" ht="208" x14ac:dyDescent="0.3">
      <c r="B22" s="51" t="s">
        <v>2</v>
      </c>
      <c r="C22" s="90">
        <f>SUMIF(Data!$B$8:$B$112,'Gates &amp; Shallow dive'!$B22,Data!$D$8:$D$112)+VLOOKUP(B22,Allowance!$C$13:$M$30,4,FALSE)</f>
        <v>0.29546637744034698</v>
      </c>
      <c r="D22" s="90">
        <v>0</v>
      </c>
      <c r="E22" s="90"/>
      <c r="F22" s="90"/>
      <c r="G22" s="90">
        <v>0</v>
      </c>
      <c r="H22" s="90">
        <v>0</v>
      </c>
      <c r="I22" s="91">
        <f t="shared" si="0"/>
        <v>0.29546637744034698</v>
      </c>
      <c r="J22" s="55" t="s">
        <v>347</v>
      </c>
      <c r="K22" s="92">
        <v>0</v>
      </c>
      <c r="L22" s="93">
        <f t="shared" ref="L22:L36" si="4">IFERROR(I22-K22,"")</f>
        <v>0.29546637744034698</v>
      </c>
      <c r="M22" s="55" t="s">
        <v>351</v>
      </c>
      <c r="N22" s="92">
        <f>SUMIF(Data!$B$8:$B$112,'Gates &amp; Shallow dive'!$B22,Data!$E$8:$E$112)</f>
        <v>2477.5035104607214</v>
      </c>
      <c r="O22" s="94">
        <f t="shared" si="1"/>
        <v>1.1925972100253512E-4</v>
      </c>
      <c r="P22" s="93" t="s">
        <v>20</v>
      </c>
      <c r="Q22" s="93" t="s">
        <v>19</v>
      </c>
      <c r="R22" s="105">
        <f t="shared" ref="R22:R36" si="5">IFERROR(L22,"")</f>
        <v>0.29546637744034698</v>
      </c>
      <c r="S22" s="55" t="s">
        <v>223</v>
      </c>
      <c r="T22" s="51"/>
      <c r="U22" s="55" t="s">
        <v>355</v>
      </c>
      <c r="V22" s="51" t="s">
        <v>87</v>
      </c>
      <c r="W22" s="95">
        <f t="shared" si="2"/>
        <v>0.29546637744034698</v>
      </c>
      <c r="X22" s="58"/>
      <c r="Y22" s="94">
        <v>0</v>
      </c>
      <c r="Z22" s="93">
        <f t="shared" si="3"/>
        <v>0.29546637744034698</v>
      </c>
    </row>
    <row r="23" spans="2:31" ht="65" x14ac:dyDescent="0.3">
      <c r="B23" s="51" t="s">
        <v>3</v>
      </c>
      <c r="C23" s="90">
        <f>SUMIF(Data!$B$8:$B$112,'Gates &amp; Shallow dive'!$B23,Data!$D$8:$D$112)+VLOOKUP(B23,Allowance!$C$13:$M$30,4,FALSE)</f>
        <v>55.411000000000001</v>
      </c>
      <c r="D23" s="90">
        <v>0</v>
      </c>
      <c r="E23" s="90"/>
      <c r="F23" s="90"/>
      <c r="G23" s="90">
        <v>0</v>
      </c>
      <c r="H23" s="90">
        <v>0</v>
      </c>
      <c r="I23" s="91">
        <f t="shared" si="0"/>
        <v>55.411000000000001</v>
      </c>
      <c r="J23" s="55" t="s">
        <v>210</v>
      </c>
      <c r="K23" s="92">
        <v>0</v>
      </c>
      <c r="L23" s="93">
        <f t="shared" si="4"/>
        <v>55.411000000000001</v>
      </c>
      <c r="M23" s="55" t="s">
        <v>90</v>
      </c>
      <c r="N23" s="92">
        <f>SUMIF(Data!$B$8:$B$112,'Gates &amp; Shallow dive'!$B23,Data!$E$8:$E$112)</f>
        <v>1226.604</v>
      </c>
      <c r="O23" s="94">
        <f t="shared" si="1"/>
        <v>4.5174318688019931E-2</v>
      </c>
      <c r="P23" s="93" t="s">
        <v>19</v>
      </c>
      <c r="Q23" s="93" t="s">
        <v>19</v>
      </c>
      <c r="R23" s="105">
        <f>IFERROR(L23,"")</f>
        <v>55.411000000000001</v>
      </c>
      <c r="S23" s="55" t="s">
        <v>354</v>
      </c>
      <c r="T23" s="51"/>
      <c r="U23" s="55"/>
      <c r="V23" s="89" t="s">
        <v>89</v>
      </c>
      <c r="W23" s="106">
        <f t="shared" si="2"/>
        <v>55.411000000000001</v>
      </c>
      <c r="X23" s="58"/>
      <c r="Y23" s="94">
        <v>0.1</v>
      </c>
      <c r="Z23" s="91">
        <f t="shared" si="3"/>
        <v>49.869900000000001</v>
      </c>
    </row>
    <row r="24" spans="2:31" s="116" customFormat="1" x14ac:dyDescent="0.3">
      <c r="B24" s="107" t="s">
        <v>4</v>
      </c>
      <c r="C24" s="90" t="e">
        <f>SUMIF(Data!$B$8:$B$112,'Gates &amp; Shallow dive'!$B24,Data!$D$8:$D$112)+VLOOKUP(B24,Allowance!$C$13:$M$30,4,FALSE)</f>
        <v>#N/A</v>
      </c>
      <c r="D24" s="108"/>
      <c r="E24" s="108"/>
      <c r="F24" s="108"/>
      <c r="G24" s="108"/>
      <c r="H24" s="108"/>
      <c r="I24" s="109"/>
      <c r="J24" s="171"/>
      <c r="K24" s="110"/>
      <c r="L24" s="111"/>
      <c r="M24" s="171"/>
      <c r="N24" s="92">
        <f>SUMIF(Data!$B$8:$B$112,'Gates &amp; Shallow dive'!$B24,Data!$E$8:$E$112)</f>
        <v>0</v>
      </c>
      <c r="O24" s="112"/>
      <c r="P24" s="111"/>
      <c r="Q24" s="111"/>
      <c r="R24" s="113"/>
      <c r="S24" s="171"/>
      <c r="T24" s="107"/>
      <c r="U24" s="171"/>
      <c r="V24" s="107"/>
      <c r="W24" s="114"/>
      <c r="X24" s="115"/>
      <c r="Y24" s="112" t="e">
        <v>#N/A</v>
      </c>
      <c r="Z24" s="111" t="e">
        <f t="shared" si="3"/>
        <v>#N/A</v>
      </c>
    </row>
    <row r="25" spans="2:31" ht="214.4" customHeight="1" x14ac:dyDescent="0.3">
      <c r="B25" s="51" t="s">
        <v>6</v>
      </c>
      <c r="C25" s="90">
        <f>SUMIF(Data!$B$8:$B$112,'Gates &amp; Shallow dive'!$B25,Data!$D$8:$D$112)+VLOOKUP(B25,Allowance!$C$13:$M$30,4,FALSE)</f>
        <v>77.231999999999985</v>
      </c>
      <c r="D25" s="90">
        <v>0</v>
      </c>
      <c r="E25" s="90"/>
      <c r="F25" s="90"/>
      <c r="G25" s="90">
        <v>22.175000000000001</v>
      </c>
      <c r="H25" s="90">
        <v>0</v>
      </c>
      <c r="I25" s="91">
        <f t="shared" si="0"/>
        <v>55.056999999999988</v>
      </c>
      <c r="J25" s="55" t="s">
        <v>415</v>
      </c>
      <c r="K25" s="92">
        <v>0</v>
      </c>
      <c r="L25" s="93">
        <f t="shared" si="4"/>
        <v>55.056999999999988</v>
      </c>
      <c r="M25" s="55" t="s">
        <v>95</v>
      </c>
      <c r="N25" s="92">
        <f>SUMIF(Data!$B$8:$B$112,'Gates &amp; Shallow dive'!$B25,Data!$E$8:$E$112)</f>
        <v>894.25199999999995</v>
      </c>
      <c r="O25" s="94">
        <f t="shared" si="1"/>
        <v>6.1567656544240318E-2</v>
      </c>
      <c r="P25" s="93" t="s">
        <v>19</v>
      </c>
      <c r="Q25" s="93" t="s">
        <v>19</v>
      </c>
      <c r="R25" s="105">
        <f t="shared" si="5"/>
        <v>55.056999999999988</v>
      </c>
      <c r="S25" s="55" t="s">
        <v>96</v>
      </c>
      <c r="T25" s="51"/>
      <c r="U25" s="55"/>
      <c r="V25" s="51" t="s">
        <v>89</v>
      </c>
      <c r="W25" s="95">
        <f t="shared" si="2"/>
        <v>55.056999999999988</v>
      </c>
      <c r="X25" s="58"/>
      <c r="Y25" s="94">
        <v>0</v>
      </c>
      <c r="Z25" s="93">
        <f t="shared" si="3"/>
        <v>55.056999999999988</v>
      </c>
    </row>
    <row r="26" spans="2:31" ht="130" x14ac:dyDescent="0.3">
      <c r="B26" s="51" t="s">
        <v>7</v>
      </c>
      <c r="C26" s="90">
        <f>SUMIF(Data!$B$8:$B$112,'Gates &amp; Shallow dive'!$B26,Data!$D$8:$D$112)+VLOOKUP(B26,Allowance!$C$13:$M$30,4,FALSE)</f>
        <v>12.473138739000001</v>
      </c>
      <c r="D26" s="90"/>
      <c r="E26" s="90"/>
      <c r="F26" s="90"/>
      <c r="G26" s="90">
        <v>0</v>
      </c>
      <c r="H26" s="90" t="s">
        <v>91</v>
      </c>
      <c r="I26" s="91">
        <f t="shared" si="0"/>
        <v>12.473138739000001</v>
      </c>
      <c r="J26" s="55" t="s">
        <v>222</v>
      </c>
      <c r="K26" s="92"/>
      <c r="L26" s="93">
        <f t="shared" si="4"/>
        <v>12.473138739000001</v>
      </c>
      <c r="M26" s="70" t="s">
        <v>272</v>
      </c>
      <c r="N26" s="92">
        <f>SUMIF(Data!$B$8:$B$112,'Gates &amp; Shallow dive'!$B26,Data!$E$8:$E$112)</f>
        <v>5658.2039244564403</v>
      </c>
      <c r="O26" s="94">
        <f t="shared" si="1"/>
        <v>2.2044342878996259E-3</v>
      </c>
      <c r="P26" s="93" t="s">
        <v>20</v>
      </c>
      <c r="Q26" s="93" t="s">
        <v>19</v>
      </c>
      <c r="R26" s="105">
        <f t="shared" si="5"/>
        <v>12.473138739000001</v>
      </c>
      <c r="S26" s="55" t="s">
        <v>223</v>
      </c>
      <c r="T26" s="51"/>
      <c r="U26" s="55" t="s">
        <v>273</v>
      </c>
      <c r="V26" s="51" t="s">
        <v>87</v>
      </c>
      <c r="W26" s="95">
        <f t="shared" si="2"/>
        <v>12.473138739000001</v>
      </c>
      <c r="X26" s="58"/>
      <c r="Y26" s="94">
        <v>0.13</v>
      </c>
      <c r="Z26" s="93">
        <f t="shared" si="3"/>
        <v>10.851630702930001</v>
      </c>
    </row>
    <row r="27" spans="2:31" ht="247" x14ac:dyDescent="0.3">
      <c r="B27" s="51" t="s">
        <v>8</v>
      </c>
      <c r="C27" s="90">
        <f>SUMIF(Data!$B$8:$B$112,'Gates &amp; Shallow dive'!$B27,Data!$D$8:$D$112)+VLOOKUP(B27,Allowance!$C$13:$M$30,4,FALSE)</f>
        <v>10.399000000000001</v>
      </c>
      <c r="D27" s="90"/>
      <c r="E27" s="90"/>
      <c r="F27" s="90"/>
      <c r="G27" s="90"/>
      <c r="H27" s="90">
        <v>0</v>
      </c>
      <c r="I27" s="91">
        <f t="shared" si="0"/>
        <v>10.399000000000001</v>
      </c>
      <c r="J27" s="55" t="s">
        <v>348</v>
      </c>
      <c r="K27" s="92"/>
      <c r="L27" s="93">
        <f>IFERROR(I27-K27,"")</f>
        <v>10.399000000000001</v>
      </c>
      <c r="M27" s="70" t="s">
        <v>352</v>
      </c>
      <c r="N27" s="92">
        <f>SUMIF(Data!$B$8:$B$112,'Gates &amp; Shallow dive'!$B27,Data!$E$8:$E$112)</f>
        <v>1646.3919999999998</v>
      </c>
      <c r="O27" s="94">
        <f t="shared" si="1"/>
        <v>6.3162357445857376E-3</v>
      </c>
      <c r="P27" s="93" t="s">
        <v>20</v>
      </c>
      <c r="Q27" s="93" t="s">
        <v>19</v>
      </c>
      <c r="R27" s="105">
        <f t="shared" si="5"/>
        <v>10.399000000000001</v>
      </c>
      <c r="S27" s="55" t="s">
        <v>223</v>
      </c>
      <c r="T27" s="51"/>
      <c r="U27" s="55" t="s">
        <v>356</v>
      </c>
      <c r="V27" s="51" t="s">
        <v>87</v>
      </c>
      <c r="W27" s="95">
        <f t="shared" si="2"/>
        <v>10.399000000000001</v>
      </c>
      <c r="X27" s="58"/>
      <c r="Y27" s="94">
        <v>0</v>
      </c>
      <c r="Z27" s="93">
        <f t="shared" si="3"/>
        <v>10.399000000000001</v>
      </c>
    </row>
    <row r="28" spans="2:31" ht="26" x14ac:dyDescent="0.3">
      <c r="B28" s="51" t="s">
        <v>9</v>
      </c>
      <c r="C28" s="90">
        <f>SUMIF(Data!$B$8:$B$112,'Gates &amp; Shallow dive'!$B28,Data!$D$8:$D$112)+VLOOKUP(B28,Allowance!$C$13:$M$30,4,FALSE)</f>
        <v>10.357096153846163</v>
      </c>
      <c r="D28" s="90">
        <v>0</v>
      </c>
      <c r="E28" s="90"/>
      <c r="F28" s="90"/>
      <c r="G28" s="90">
        <v>0</v>
      </c>
      <c r="H28" s="90"/>
      <c r="I28" s="91">
        <f t="shared" si="0"/>
        <v>10.357096153846163</v>
      </c>
      <c r="J28" s="55"/>
      <c r="K28" s="92">
        <v>0</v>
      </c>
      <c r="L28" s="93">
        <f t="shared" si="4"/>
        <v>10.357096153846163</v>
      </c>
      <c r="M28" s="55" t="s">
        <v>211</v>
      </c>
      <c r="N28" s="92">
        <f>SUMIF(Data!$B$8:$B$112,'Gates &amp; Shallow dive'!$B28,Data!$E$8:$E$112)</f>
        <v>660.34856778321205</v>
      </c>
      <c r="O28" s="94">
        <f t="shared" si="1"/>
        <v>1.5684286540690019E-2</v>
      </c>
      <c r="P28" s="93" t="s">
        <v>19</v>
      </c>
      <c r="Q28" s="93" t="s">
        <v>19</v>
      </c>
      <c r="R28" s="105">
        <f t="shared" si="5"/>
        <v>10.357096153846163</v>
      </c>
      <c r="S28" s="55" t="s">
        <v>354</v>
      </c>
      <c r="T28" s="51"/>
      <c r="U28" s="55"/>
      <c r="V28" s="51" t="s">
        <v>89</v>
      </c>
      <c r="W28" s="95">
        <f t="shared" si="2"/>
        <v>10.357096153846163</v>
      </c>
      <c r="X28" s="58"/>
      <c r="Y28" s="94">
        <v>0</v>
      </c>
      <c r="Z28" s="93">
        <f t="shared" si="3"/>
        <v>10.357096153846163</v>
      </c>
    </row>
    <row r="29" spans="2:31" ht="104" x14ac:dyDescent="0.3">
      <c r="B29" s="51" t="s">
        <v>10</v>
      </c>
      <c r="C29" s="90">
        <f>SUMIF(Data!$B$8:$B$112,'Gates &amp; Shallow dive'!$B29,Data!$D$8:$D$112)+VLOOKUP(B29,Allowance!$C$13:$M$30,4,FALSE)</f>
        <v>60.137000000000008</v>
      </c>
      <c r="D29" s="90"/>
      <c r="E29" s="90"/>
      <c r="F29" s="90"/>
      <c r="G29" s="90">
        <v>0</v>
      </c>
      <c r="H29" s="90">
        <v>0</v>
      </c>
      <c r="I29" s="91">
        <f t="shared" si="0"/>
        <v>60.137000000000008</v>
      </c>
      <c r="J29" s="55" t="s">
        <v>168</v>
      </c>
      <c r="K29" s="92">
        <v>1.6679999999999999</v>
      </c>
      <c r="L29" s="93">
        <f t="shared" si="4"/>
        <v>58.469000000000008</v>
      </c>
      <c r="M29" s="55" t="s">
        <v>212</v>
      </c>
      <c r="N29" s="92">
        <f>SUMIF(Data!$B$8:$B$112,'Gates &amp; Shallow dive'!$B29,Data!$E$8:$E$112)</f>
        <v>2024.423</v>
      </c>
      <c r="O29" s="94">
        <f t="shared" si="1"/>
        <v>2.8881809779873084E-2</v>
      </c>
      <c r="P29" s="93" t="s">
        <v>19</v>
      </c>
      <c r="Q29" s="93" t="s">
        <v>19</v>
      </c>
      <c r="R29" s="105">
        <f t="shared" si="5"/>
        <v>58.469000000000008</v>
      </c>
      <c r="S29" s="55" t="s">
        <v>354</v>
      </c>
      <c r="T29" s="51"/>
      <c r="U29" s="55"/>
      <c r="V29" s="51" t="s">
        <v>89</v>
      </c>
      <c r="W29" s="95">
        <f t="shared" si="2"/>
        <v>58.469000000000008</v>
      </c>
      <c r="X29" s="58"/>
      <c r="Y29" s="94">
        <v>0.10346547216238228</v>
      </c>
      <c r="Z29" s="93">
        <f t="shared" si="3"/>
        <v>52.419477308137679</v>
      </c>
      <c r="AC29" s="2">
        <v>60.137000000000008</v>
      </c>
      <c r="AD29" s="2">
        <v>16.820999999999998</v>
      </c>
      <c r="AE29" s="2">
        <f>AD29+AC29</f>
        <v>76.957999999999998</v>
      </c>
    </row>
    <row r="30" spans="2:31" ht="182" x14ac:dyDescent="0.3">
      <c r="B30" s="51" t="s">
        <v>11</v>
      </c>
      <c r="C30" s="90">
        <f>SUMIF(Data!$B$8:$B$112,'Gates &amp; Shallow dive'!$B30,Data!$D$8:$D$112)+VLOOKUP(B30,Allowance!$C$13:$M$30,4,FALSE)</f>
        <v>3.686523410536962</v>
      </c>
      <c r="D30" s="90"/>
      <c r="E30" s="90"/>
      <c r="F30" s="90"/>
      <c r="G30" s="90"/>
      <c r="H30" s="90"/>
      <c r="I30" s="91">
        <f t="shared" si="0"/>
        <v>3.686523410536962</v>
      </c>
      <c r="J30" s="55" t="s">
        <v>349</v>
      </c>
      <c r="K30" s="92"/>
      <c r="L30" s="93">
        <f t="shared" si="4"/>
        <v>3.686523410536962</v>
      </c>
      <c r="M30" s="55" t="s">
        <v>353</v>
      </c>
      <c r="N30" s="92">
        <f>SUMIF(Data!$B$8:$B$112,'Gates &amp; Shallow dive'!$B30,Data!$E$8:$E$112)</f>
        <v>1368.4611030444821</v>
      </c>
      <c r="O30" s="94">
        <f t="shared" si="1"/>
        <v>2.6939190323607837E-3</v>
      </c>
      <c r="P30" s="93" t="s">
        <v>20</v>
      </c>
      <c r="Q30" s="93" t="s">
        <v>19</v>
      </c>
      <c r="R30" s="105">
        <f t="shared" si="5"/>
        <v>3.686523410536962</v>
      </c>
      <c r="S30" s="55"/>
      <c r="T30" s="51"/>
      <c r="U30" s="55" t="s">
        <v>357</v>
      </c>
      <c r="V30" s="51" t="s">
        <v>87</v>
      </c>
      <c r="W30" s="103">
        <f>IFERROR(R30,"")*0.8</f>
        <v>2.9492187284295697</v>
      </c>
      <c r="X30" s="58"/>
      <c r="Y30" s="94">
        <v>6.0705358641883776E-2</v>
      </c>
      <c r="Z30" s="93">
        <f t="shared" si="3"/>
        <v>2.7701853478068923</v>
      </c>
    </row>
    <row r="31" spans="2:31" ht="65" x14ac:dyDescent="0.3">
      <c r="B31" s="51" t="s">
        <v>12</v>
      </c>
      <c r="C31" s="90">
        <f>SUMIF(Data!$B$8:$B$112,'Gates &amp; Shallow dive'!$B31,Data!$D$8:$D$112)+VLOOKUP(B31,Allowance!$C$13:$M$30,4,FALSE)</f>
        <v>4.3600000000000003</v>
      </c>
      <c r="D31" s="90"/>
      <c r="E31" s="90"/>
      <c r="F31" s="90"/>
      <c r="G31" s="90">
        <v>0</v>
      </c>
      <c r="H31" s="90">
        <v>0</v>
      </c>
      <c r="I31" s="91">
        <f>IFERROR(C31-SUM(D31:H31),"")</f>
        <v>4.3600000000000003</v>
      </c>
      <c r="J31" s="55" t="s">
        <v>205</v>
      </c>
      <c r="K31" s="92"/>
      <c r="L31" s="93">
        <f t="shared" si="4"/>
        <v>4.3600000000000003</v>
      </c>
      <c r="M31" s="55" t="s">
        <v>213</v>
      </c>
      <c r="N31" s="92">
        <f>SUMIF(Data!$B$8:$B$112,'Gates &amp; Shallow dive'!$B31,Data!$E$8:$E$112)</f>
        <v>457.197</v>
      </c>
      <c r="O31" s="94">
        <f t="shared" si="1"/>
        <v>9.536370536114629E-3</v>
      </c>
      <c r="P31" s="93" t="s">
        <v>19</v>
      </c>
      <c r="Q31" s="93" t="s">
        <v>19</v>
      </c>
      <c r="R31" s="105">
        <f t="shared" si="5"/>
        <v>4.3600000000000003</v>
      </c>
      <c r="S31" s="55" t="s">
        <v>354</v>
      </c>
      <c r="T31" s="51"/>
      <c r="U31" s="55"/>
      <c r="V31" s="51" t="s">
        <v>89</v>
      </c>
      <c r="W31" s="95">
        <f t="shared" si="2"/>
        <v>4.3600000000000003</v>
      </c>
      <c r="X31" s="58"/>
      <c r="Y31" s="94">
        <v>7.195828641155512E-2</v>
      </c>
      <c r="Z31" s="93">
        <f t="shared" si="3"/>
        <v>4.04626187124562</v>
      </c>
    </row>
    <row r="32" spans="2:31" s="116" customFormat="1" x14ac:dyDescent="0.3">
      <c r="B32" s="107" t="s">
        <v>13</v>
      </c>
      <c r="C32" s="90" t="e">
        <f>SUMIF(Data!$B$8:$B$112,'Gates &amp; Shallow dive'!$B32,Data!$D$8:$D$112)+VLOOKUP(B32,Allowance!$C$13:$M$30,4,FALSE)</f>
        <v>#N/A</v>
      </c>
      <c r="D32" s="108"/>
      <c r="E32" s="108"/>
      <c r="F32" s="108"/>
      <c r="G32" s="108"/>
      <c r="H32" s="108"/>
      <c r="I32" s="109"/>
      <c r="J32" s="171"/>
      <c r="K32" s="110"/>
      <c r="L32" s="111"/>
      <c r="M32" s="171"/>
      <c r="N32" s="92">
        <f>SUMIF(Data!$B$8:$B$112,'Gates &amp; Shallow dive'!$B32,Data!$E$8:$E$112)</f>
        <v>0</v>
      </c>
      <c r="O32" s="112"/>
      <c r="P32" s="111"/>
      <c r="Q32" s="111"/>
      <c r="R32" s="113"/>
      <c r="S32" s="171"/>
      <c r="T32" s="107"/>
      <c r="U32" s="171"/>
      <c r="V32" s="107"/>
      <c r="W32" s="114"/>
      <c r="X32" s="115"/>
      <c r="Y32" s="112" t="e">
        <v>#N/A</v>
      </c>
      <c r="Z32" s="111" t="e">
        <f t="shared" si="3"/>
        <v>#N/A</v>
      </c>
    </row>
    <row r="33" spans="2:26" ht="52" x14ac:dyDescent="0.3">
      <c r="B33" s="51" t="s">
        <v>14</v>
      </c>
      <c r="C33" s="90">
        <f>SUMIF(Data!$B$8:$B$112,'Gates &amp; Shallow dive'!$B33,Data!$D$8:$D$112)+VLOOKUP(B33,Allowance!$C$13:$M$30,4,FALSE)</f>
        <v>5.7759999999999998</v>
      </c>
      <c r="D33" s="90">
        <v>0</v>
      </c>
      <c r="E33" s="90"/>
      <c r="F33" s="90"/>
      <c r="G33" s="90">
        <v>0</v>
      </c>
      <c r="H33" s="90">
        <v>0</v>
      </c>
      <c r="I33" s="91">
        <f t="shared" si="0"/>
        <v>5.7759999999999998</v>
      </c>
      <c r="J33" s="55" t="s">
        <v>214</v>
      </c>
      <c r="K33" s="92"/>
      <c r="L33" s="93">
        <f t="shared" si="4"/>
        <v>5.7759999999999998</v>
      </c>
      <c r="M33" s="55" t="s">
        <v>215</v>
      </c>
      <c r="N33" s="92">
        <f>SUMIF(Data!$B$8:$B$112,'Gates &amp; Shallow dive'!$B33,Data!$E$8:$E$112)</f>
        <v>223.94399999999999</v>
      </c>
      <c r="O33" s="94">
        <f t="shared" ref="O33:O36" si="6">IFERROR(L33/N33,"")</f>
        <v>2.5792162326295859E-2</v>
      </c>
      <c r="P33" s="93" t="s">
        <v>19</v>
      </c>
      <c r="Q33" s="93" t="s">
        <v>19</v>
      </c>
      <c r="R33" s="105">
        <f t="shared" si="5"/>
        <v>5.7759999999999998</v>
      </c>
      <c r="S33" s="55" t="s">
        <v>354</v>
      </c>
      <c r="T33" s="51"/>
      <c r="U33" s="55"/>
      <c r="V33" s="51" t="s">
        <v>89</v>
      </c>
      <c r="W33" s="95">
        <f t="shared" si="2"/>
        <v>5.7759999999999998</v>
      </c>
      <c r="X33" s="58"/>
      <c r="Y33" s="94">
        <v>0</v>
      </c>
      <c r="Z33" s="93">
        <f t="shared" si="3"/>
        <v>5.7759999999999998</v>
      </c>
    </row>
    <row r="34" spans="2:26" s="116" customFormat="1" x14ac:dyDescent="0.3">
      <c r="B34" s="107" t="s">
        <v>15</v>
      </c>
      <c r="C34" s="90">
        <f>SUMIF(Data!$B$8:$B$112,'Gates &amp; Shallow dive'!$B34,Data!$D$8:$D$112)+VLOOKUP(B34,Allowance!$C$13:$M$30,4,FALSE)</f>
        <v>0</v>
      </c>
      <c r="D34" s="108"/>
      <c r="E34" s="108"/>
      <c r="F34" s="108"/>
      <c r="G34" s="108"/>
      <c r="H34" s="108"/>
      <c r="I34" s="109">
        <f t="shared" si="0"/>
        <v>0</v>
      </c>
      <c r="J34" s="171" t="s">
        <v>86</v>
      </c>
      <c r="K34" s="110"/>
      <c r="L34" s="111">
        <f t="shared" si="4"/>
        <v>0</v>
      </c>
      <c r="M34" s="171"/>
      <c r="N34" s="92">
        <f>SUMIF(Data!$B$8:$B$112,'Gates &amp; Shallow dive'!$B34,Data!$E$8:$E$112)</f>
        <v>253.309</v>
      </c>
      <c r="O34" s="112">
        <f t="shared" si="6"/>
        <v>0</v>
      </c>
      <c r="P34" s="111"/>
      <c r="Q34" s="111"/>
      <c r="R34" s="113">
        <f t="shared" si="5"/>
        <v>0</v>
      </c>
      <c r="S34" s="171"/>
      <c r="T34" s="107"/>
      <c r="U34" s="171"/>
      <c r="V34" s="107"/>
      <c r="W34" s="114">
        <f t="shared" si="2"/>
        <v>0</v>
      </c>
      <c r="X34" s="115"/>
      <c r="Y34" s="112">
        <v>9.1408261361736784E-2</v>
      </c>
      <c r="Z34" s="111">
        <f t="shared" si="3"/>
        <v>0</v>
      </c>
    </row>
    <row r="35" spans="2:26" ht="52" x14ac:dyDescent="0.3">
      <c r="B35" s="51" t="s">
        <v>16</v>
      </c>
      <c r="C35" s="90">
        <f>SUMIF(Data!$B$8:$B$112,'Gates &amp; Shallow dive'!$B35,Data!$D$8:$D$112)+VLOOKUP(B35,Allowance!$C$13:$M$30,4,FALSE)</f>
        <v>17.408649147997121</v>
      </c>
      <c r="D35" s="90">
        <v>0</v>
      </c>
      <c r="E35" s="90"/>
      <c r="F35" s="90"/>
      <c r="G35" s="90">
        <v>0</v>
      </c>
      <c r="H35" s="90">
        <v>0</v>
      </c>
      <c r="I35" s="91">
        <f t="shared" si="0"/>
        <v>17.408649147997121</v>
      </c>
      <c r="J35" s="55" t="s">
        <v>216</v>
      </c>
      <c r="K35" s="92">
        <v>0.9</v>
      </c>
      <c r="L35" s="93">
        <f t="shared" si="4"/>
        <v>16.508649147997122</v>
      </c>
      <c r="M35" s="55" t="s">
        <v>274</v>
      </c>
      <c r="N35" s="92">
        <f>SUMIF(Data!$B$8:$B$112,'Gates &amp; Shallow dive'!$B35,Data!$E$8:$E$112)</f>
        <v>960.94699999999989</v>
      </c>
      <c r="O35" s="94">
        <f t="shared" si="6"/>
        <v>1.71795626064675E-2</v>
      </c>
      <c r="P35" s="93" t="s">
        <v>19</v>
      </c>
      <c r="Q35" s="93" t="s">
        <v>19</v>
      </c>
      <c r="R35" s="105">
        <f t="shared" si="5"/>
        <v>16.508649147997122</v>
      </c>
      <c r="S35" s="55" t="s">
        <v>354</v>
      </c>
      <c r="T35" s="51"/>
      <c r="U35" s="55"/>
      <c r="V35" s="51" t="s">
        <v>89</v>
      </c>
      <c r="W35" s="95">
        <f>IFERROR(R35,"")</f>
        <v>16.508649147997122</v>
      </c>
      <c r="X35" s="58"/>
      <c r="Y35" s="94">
        <v>8.5623557290976458E-3</v>
      </c>
      <c r="Z35" s="93">
        <f t="shared" si="3"/>
        <v>16.367296221385104</v>
      </c>
    </row>
    <row r="36" spans="2:26" ht="52" x14ac:dyDescent="0.3">
      <c r="B36" s="51" t="s">
        <v>17</v>
      </c>
      <c r="C36" s="90">
        <f>SUMIF(Data!$B$8:$B$112,'Gates &amp; Shallow dive'!$B36,Data!$D$8:$D$112)+VLOOKUP(B36,Allowance!$C$13:$M$30,4,FALSE)</f>
        <v>13.824096319328746</v>
      </c>
      <c r="D36" s="90">
        <v>0</v>
      </c>
      <c r="E36" s="90"/>
      <c r="F36" s="90"/>
      <c r="G36" s="90">
        <v>0</v>
      </c>
      <c r="H36" s="90">
        <v>0</v>
      </c>
      <c r="I36" s="91">
        <f t="shared" si="0"/>
        <v>13.824096319328746</v>
      </c>
      <c r="J36" s="55" t="s">
        <v>217</v>
      </c>
      <c r="K36" s="92"/>
      <c r="L36" s="93">
        <f t="shared" si="4"/>
        <v>13.824096319328746</v>
      </c>
      <c r="M36" s="55" t="s">
        <v>218</v>
      </c>
      <c r="N36" s="92">
        <f>SUMIF(Data!$B$8:$B$112,'Gates &amp; Shallow dive'!$B36,Data!$E$8:$E$112)</f>
        <v>538.02900167239989</v>
      </c>
      <c r="O36" s="94">
        <f t="shared" si="6"/>
        <v>2.5693961248107754E-2</v>
      </c>
      <c r="P36" s="93" t="s">
        <v>19</v>
      </c>
      <c r="Q36" s="93" t="s">
        <v>19</v>
      </c>
      <c r="R36" s="105">
        <f t="shared" si="5"/>
        <v>13.824096319328746</v>
      </c>
      <c r="S36" s="55" t="s">
        <v>354</v>
      </c>
      <c r="T36" s="51"/>
      <c r="U36" s="55"/>
      <c r="V36" s="51" t="s">
        <v>89</v>
      </c>
      <c r="W36" s="95">
        <f t="shared" si="2"/>
        <v>13.824096319328746</v>
      </c>
      <c r="X36" s="58"/>
      <c r="Y36" s="94">
        <v>6.8778600799977052E-2</v>
      </c>
      <c r="Z36" s="93">
        <f t="shared" si="3"/>
        <v>12.873294317161202</v>
      </c>
    </row>
    <row r="37" spans="2:26" x14ac:dyDescent="0.3">
      <c r="B37" s="117" t="s">
        <v>69</v>
      </c>
      <c r="C37" s="90">
        <f>SUMIF(Data!$B$8:$B$112,'Gates &amp; Shallow dive'!$B37,Data!$D$8:$D$112)+VLOOKUP(B37,Allowance!$C$13:$M$30,4,FALSE)</f>
        <v>34.048999999999999</v>
      </c>
      <c r="D37" s="90">
        <v>0</v>
      </c>
      <c r="E37" s="90"/>
      <c r="F37" s="90"/>
      <c r="G37" s="90">
        <v>0</v>
      </c>
      <c r="H37" s="90">
        <v>0</v>
      </c>
      <c r="I37" s="91">
        <f>IFERROR(C37-SUM(D37:H37),"")</f>
        <v>34.048999999999999</v>
      </c>
      <c r="J37" s="55" t="s">
        <v>170</v>
      </c>
      <c r="K37" s="92">
        <v>0</v>
      </c>
      <c r="L37" s="93">
        <f>IFERROR(I37-K37,"")</f>
        <v>34.048999999999999</v>
      </c>
      <c r="M37" s="55" t="s">
        <v>219</v>
      </c>
      <c r="N37" s="92">
        <f>SUMIF(Data!$B$8:$B$112,'Gates &amp; Shallow dive'!$B37,Data!$E$8:$E$112)</f>
        <v>3115.8041903943272</v>
      </c>
      <c r="O37" s="94">
        <f>IFERROR(L37/N37,"")</f>
        <v>1.0927836898406269E-2</v>
      </c>
      <c r="P37" s="93" t="s">
        <v>19</v>
      </c>
      <c r="Q37" s="93" t="s">
        <v>19</v>
      </c>
      <c r="R37" s="105">
        <f>IFERROR(L37,"")</f>
        <v>34.048999999999999</v>
      </c>
      <c r="S37" s="55" t="s">
        <v>354</v>
      </c>
      <c r="T37" s="51"/>
      <c r="U37" s="55"/>
      <c r="V37" s="51" t="s">
        <v>89</v>
      </c>
      <c r="W37" s="95">
        <f>IFERROR(R37,"")</f>
        <v>34.048999999999999</v>
      </c>
      <c r="X37" s="58"/>
      <c r="Y37" s="94">
        <v>0</v>
      </c>
      <c r="Z37" s="93">
        <f t="shared" si="3"/>
        <v>34.048999999999999</v>
      </c>
    </row>
    <row r="38" spans="2:26" s="116" customFormat="1" x14ac:dyDescent="0.3">
      <c r="B38" s="107" t="s">
        <v>70</v>
      </c>
      <c r="C38" s="90">
        <f>SUMIF(Data!$B$8:$B$112,'Gates &amp; Shallow dive'!$B38,Data!$D$8:$D$112)+VLOOKUP(B38,Allowance!$C$13:$M$30,4,FALSE)</f>
        <v>0</v>
      </c>
      <c r="D38" s="108"/>
      <c r="E38" s="108"/>
      <c r="F38" s="108"/>
      <c r="G38" s="108"/>
      <c r="H38" s="108"/>
      <c r="I38" s="118">
        <f>IFERROR(C38-SUM(D38:H38),"")</f>
        <v>0</v>
      </c>
      <c r="J38" s="171" t="s">
        <v>86</v>
      </c>
      <c r="K38" s="110"/>
      <c r="L38" s="111">
        <f>IFERROR(I38-K38,"")</f>
        <v>0</v>
      </c>
      <c r="M38" s="171"/>
      <c r="N38" s="92">
        <f>SUMIF(Data!$B$8:$B$112,'Gates &amp; Shallow dive'!$B38,Data!$E$8:$E$112)</f>
        <v>131.30264490490808</v>
      </c>
      <c r="O38" s="112">
        <f t="shared" ref="O38" si="7">IFERROR(L38/N38,"")</f>
        <v>0</v>
      </c>
      <c r="P38" s="111"/>
      <c r="Q38" s="111"/>
      <c r="R38" s="113">
        <f>IFERROR(L38,"")</f>
        <v>0</v>
      </c>
      <c r="S38" s="171"/>
      <c r="T38" s="107"/>
      <c r="U38" s="107"/>
      <c r="V38" s="107"/>
      <c r="W38" s="114">
        <f>IFERROR(R38,"")</f>
        <v>0</v>
      </c>
      <c r="X38" s="115"/>
      <c r="Y38" s="112">
        <v>0</v>
      </c>
      <c r="Z38" s="111">
        <f t="shared" si="3"/>
        <v>0</v>
      </c>
    </row>
    <row r="39" spans="2:26" x14ac:dyDescent="0.3">
      <c r="B39" s="58"/>
      <c r="C39" s="58" t="e">
        <f>SUM(C20:C38)=(Allowance!D30+Allowance!F30)</f>
        <v>#N/A</v>
      </c>
      <c r="D39" s="58"/>
      <c r="F39" s="58"/>
    </row>
    <row r="40" spans="2:26" x14ac:dyDescent="0.3">
      <c r="B40" s="58"/>
      <c r="C40" s="119"/>
      <c r="D40" s="58"/>
      <c r="E40" s="120"/>
      <c r="F40" s="58"/>
    </row>
    <row r="41" spans="2:26" ht="14.5" x14ac:dyDescent="0.35">
      <c r="B41" s="58"/>
      <c r="C41" s="58"/>
      <c r="D41" s="58"/>
      <c r="E41" s="58"/>
      <c r="F41" s="58"/>
      <c r="G41" s="36"/>
      <c r="H41" s="36"/>
      <c r="I41" s="36"/>
      <c r="J41" s="175"/>
      <c r="K41" s="36"/>
    </row>
    <row r="42" spans="2:26" x14ac:dyDescent="0.3">
      <c r="B42" s="58"/>
      <c r="C42" s="58"/>
      <c r="D42" s="58"/>
      <c r="E42" s="58"/>
      <c r="F42" s="58"/>
    </row>
    <row r="43" spans="2:26" x14ac:dyDescent="0.3">
      <c r="B43" s="58"/>
      <c r="C43" s="58"/>
      <c r="D43" s="58"/>
      <c r="E43" s="58"/>
      <c r="F43" s="58"/>
    </row>
    <row r="44" spans="2:26" x14ac:dyDescent="0.3">
      <c r="B44" s="58"/>
      <c r="C44" s="58"/>
      <c r="D44" s="58"/>
      <c r="E44" s="58"/>
      <c r="F44" s="58"/>
    </row>
    <row r="55" spans="23:24" x14ac:dyDescent="0.3">
      <c r="W55" s="42"/>
      <c r="X55" s="42"/>
    </row>
  </sheetData>
  <mergeCells count="7">
    <mergeCell ref="C18:C19"/>
    <mergeCell ref="B18:B19"/>
    <mergeCell ref="C15:D15"/>
    <mergeCell ref="C4:D4"/>
    <mergeCell ref="C5:D5"/>
    <mergeCell ref="C6:D6"/>
    <mergeCell ref="C7:D7"/>
  </mergeCells>
  <conditionalFormatting sqref="C39">
    <cfRule type="cellIs" dxfId="2" priority="1" operator="equal">
      <formula>TRUE</formula>
    </cfRule>
  </conditionalFormatting>
  <dataValidations count="4">
    <dataValidation type="list" allowBlank="1" showInputMessage="1" showErrorMessage="1" sqref="C15">
      <formula1>"Wholesale water, Wholesale wastewater"</formula1>
    </dataValidation>
    <dataValidation type="list" allowBlank="1" showInputMessage="1" showErrorMessage="1" sqref="C41:C44">
      <formula1>"Pass,Marginal pass, Partial pass, Fail, ,Not assessed, N/A"</formula1>
    </dataValidation>
    <dataValidation type="list" allowBlank="1" showInputMessage="1" showErrorMessage="1" sqref="T20:T23 P20:Q23 T25:T31 T33:T38 P33:Q38 P25:Q31">
      <formula1>"Yes,No"</formula1>
    </dataValidation>
    <dataValidation type="list" allowBlank="1" showInputMessage="1" showErrorMessage="1" sqref="V20:V23 V25:V31 V33:V38">
      <formula1>"Reject/re-allocate (whole amount), Shallow dive (whole or part), Deep dive (whole or part)"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B1:N34"/>
  <sheetViews>
    <sheetView showGridLines="0" topLeftCell="A9" workbookViewId="0">
      <selection activeCell="D17" sqref="D17"/>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8.54296875" style="2" customWidth="1"/>
    <col min="6" max="6" width="26.54296875" style="2" customWidth="1"/>
    <col min="7" max="14" width="8.54296875" style="2" customWidth="1"/>
    <col min="15" max="16384" width="8.81640625" style="2"/>
  </cols>
  <sheetData>
    <row r="1" spans="2:9" s="44" customFormat="1" ht="18.5" x14ac:dyDescent="0.3">
      <c r="B1" s="1" t="s">
        <v>361</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53"/>
      <c r="E3" s="2"/>
      <c r="F3" s="2"/>
      <c r="G3" s="2"/>
      <c r="H3" s="42"/>
      <c r="I3" s="43"/>
    </row>
    <row r="4" spans="2:9" x14ac:dyDescent="0.3">
      <c r="B4" s="12" t="s">
        <v>22</v>
      </c>
      <c r="C4" s="13" t="s">
        <v>293</v>
      </c>
      <c r="D4" s="53"/>
    </row>
    <row r="5" spans="2:9" x14ac:dyDescent="0.3">
      <c r="B5" s="12" t="s">
        <v>25</v>
      </c>
      <c r="C5" s="13" t="s">
        <v>369</v>
      </c>
      <c r="D5" s="53"/>
    </row>
    <row r="6" spans="2:9" x14ac:dyDescent="0.3">
      <c r="B6" s="51" t="s">
        <v>18</v>
      </c>
      <c r="C6" s="52" t="s">
        <v>0</v>
      </c>
      <c r="D6" s="53"/>
    </row>
    <row r="7" spans="2:9" x14ac:dyDescent="0.3">
      <c r="B7" s="51" t="s">
        <v>26</v>
      </c>
      <c r="C7" s="52" t="s">
        <v>39</v>
      </c>
      <c r="D7" s="53"/>
    </row>
    <row r="8" spans="2:9" x14ac:dyDescent="0.3">
      <c r="B8" s="51" t="s">
        <v>74</v>
      </c>
      <c r="C8" s="62">
        <f>'Gates &amp; Shallow dive'!W20</f>
        <v>22.777657530541241</v>
      </c>
      <c r="D8" s="53"/>
    </row>
    <row r="9" spans="2:9" x14ac:dyDescent="0.3">
      <c r="B9" s="48" t="s">
        <v>44</v>
      </c>
      <c r="C9" s="132">
        <f>(1-$C$27)*$C$26</f>
        <v>15.488807120768042</v>
      </c>
      <c r="D9" s="53"/>
    </row>
    <row r="11" spans="2:9" x14ac:dyDescent="0.3">
      <c r="B11" s="6" t="s">
        <v>27</v>
      </c>
    </row>
    <row r="12" spans="2:9" x14ac:dyDescent="0.3">
      <c r="B12" s="54" t="s">
        <v>28</v>
      </c>
      <c r="F12" s="6" t="s">
        <v>29</v>
      </c>
    </row>
    <row r="13" spans="2:9" ht="104" x14ac:dyDescent="0.3">
      <c r="B13" s="51" t="s">
        <v>30</v>
      </c>
      <c r="C13" s="51" t="s">
        <v>43</v>
      </c>
      <c r="D13" s="55" t="s">
        <v>379</v>
      </c>
      <c r="E13" s="5"/>
      <c r="F13" s="55" t="s">
        <v>340</v>
      </c>
    </row>
    <row r="14" spans="2:9" x14ac:dyDescent="0.3">
      <c r="B14" s="51" t="s">
        <v>32</v>
      </c>
      <c r="C14" s="51" t="s">
        <v>31</v>
      </c>
      <c r="D14" s="55"/>
      <c r="E14" s="5"/>
      <c r="F14" s="55"/>
    </row>
    <row r="15" spans="2:9" ht="26" x14ac:dyDescent="0.3">
      <c r="B15" s="51" t="s">
        <v>33</v>
      </c>
      <c r="C15" s="51" t="s">
        <v>43</v>
      </c>
      <c r="D15" s="55" t="s">
        <v>292</v>
      </c>
      <c r="E15" s="5"/>
      <c r="F15" s="55" t="s">
        <v>98</v>
      </c>
    </row>
    <row r="16" spans="2:9" ht="117" x14ac:dyDescent="0.3">
      <c r="B16" s="51" t="s">
        <v>34</v>
      </c>
      <c r="C16" s="38" t="s">
        <v>43</v>
      </c>
      <c r="D16" s="55" t="s">
        <v>380</v>
      </c>
      <c r="E16" s="5"/>
      <c r="F16" s="55" t="s">
        <v>100</v>
      </c>
    </row>
    <row r="17" spans="2:6" ht="221" x14ac:dyDescent="0.3">
      <c r="B17" s="51" t="s">
        <v>35</v>
      </c>
      <c r="C17" s="51" t="s">
        <v>72</v>
      </c>
      <c r="D17" s="55" t="s">
        <v>381</v>
      </c>
      <c r="E17" s="5"/>
      <c r="F17" s="55" t="s">
        <v>341</v>
      </c>
    </row>
    <row r="18" spans="2:6" x14ac:dyDescent="0.3">
      <c r="B18" s="51" t="s">
        <v>36</v>
      </c>
      <c r="C18" s="51" t="s">
        <v>43</v>
      </c>
      <c r="D18" s="55" t="s">
        <v>99</v>
      </c>
      <c r="E18" s="5"/>
      <c r="F18" s="55"/>
    </row>
    <row r="19" spans="2:6" x14ac:dyDescent="0.3">
      <c r="B19" s="51" t="s">
        <v>37</v>
      </c>
      <c r="C19" s="51" t="s">
        <v>31</v>
      </c>
      <c r="D19" s="55"/>
      <c r="E19" s="5"/>
      <c r="F19" s="55"/>
    </row>
    <row r="20" spans="2:6" x14ac:dyDescent="0.3">
      <c r="B20" s="51" t="s">
        <v>38</v>
      </c>
      <c r="C20" s="51" t="s">
        <v>31</v>
      </c>
      <c r="D20" s="55"/>
      <c r="E20" s="5"/>
      <c r="F20" s="55"/>
    </row>
    <row r="21" spans="2:6" x14ac:dyDescent="0.3">
      <c r="B21" s="58"/>
      <c r="C21" s="58"/>
      <c r="D21" s="58"/>
      <c r="F21" s="58"/>
    </row>
    <row r="22" spans="2:6" x14ac:dyDescent="0.3">
      <c r="B22" s="54"/>
      <c r="C22" s="58"/>
      <c r="D22" s="58"/>
      <c r="F22" s="58"/>
    </row>
    <row r="26" spans="2:6" x14ac:dyDescent="0.3">
      <c r="B26" s="2" t="s">
        <v>144</v>
      </c>
      <c r="C26" s="60">
        <f>C8*0.8</f>
        <v>18.222126024432992</v>
      </c>
    </row>
    <row r="27" spans="2:6" x14ac:dyDescent="0.3">
      <c r="B27" s="2" t="s">
        <v>143</v>
      </c>
      <c r="C27" s="61">
        <v>0.15</v>
      </c>
    </row>
    <row r="29" spans="2:6" x14ac:dyDescent="0.3">
      <c r="B29" s="6"/>
    </row>
    <row r="34" spans="14:14" x14ac:dyDescent="0.3">
      <c r="N34"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2">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B1:N47"/>
  <sheetViews>
    <sheetView showGridLines="0" topLeftCell="A14" zoomScale="90" zoomScaleNormal="90" workbookViewId="0">
      <selection activeCell="D18" sqref="D18"/>
    </sheetView>
  </sheetViews>
  <sheetFormatPr defaultColWidth="8.81640625" defaultRowHeight="13" x14ac:dyDescent="0.3"/>
  <cols>
    <col min="1" max="1" width="2.1796875" style="2" customWidth="1"/>
    <col min="2" max="2" width="37.81640625" style="2" customWidth="1"/>
    <col min="3" max="3" width="16.54296875" style="2" customWidth="1"/>
    <col min="4" max="4" width="75.54296875" style="2" customWidth="1"/>
    <col min="5" max="5" width="8.54296875" style="2" customWidth="1"/>
    <col min="6" max="6" width="26.54296875" style="2" customWidth="1"/>
    <col min="7" max="7" width="8.54296875" style="2" customWidth="1"/>
    <col min="8" max="8" width="7.1796875" style="2" customWidth="1"/>
    <col min="9" max="9" width="81.1796875" style="2" customWidth="1"/>
    <col min="10" max="10" width="80.26953125" style="2" customWidth="1"/>
    <col min="11" max="11" width="8.54296875" style="2" customWidth="1"/>
    <col min="12" max="12" width="14.54296875" style="2" customWidth="1"/>
    <col min="13" max="14" width="8.54296875" style="2" customWidth="1"/>
    <col min="15" max="16384" width="8.81640625" style="2"/>
  </cols>
  <sheetData>
    <row r="1" spans="2:10" s="44" customFormat="1" ht="18.5" x14ac:dyDescent="0.3">
      <c r="B1" s="1" t="s">
        <v>362</v>
      </c>
      <c r="C1" s="1"/>
      <c r="D1" s="1"/>
      <c r="E1" s="1"/>
      <c r="F1" s="1"/>
      <c r="G1" s="2"/>
      <c r="H1" s="42"/>
      <c r="I1" s="43"/>
    </row>
    <row r="2" spans="2:10" s="44" customFormat="1" ht="18.5" x14ac:dyDescent="0.3">
      <c r="B2" s="6"/>
      <c r="C2" s="45"/>
      <c r="D2" s="45"/>
      <c r="E2" s="2"/>
      <c r="F2" s="2"/>
      <c r="G2" s="2"/>
      <c r="H2" s="42"/>
      <c r="I2" s="43"/>
    </row>
    <row r="3" spans="2:10" s="44" customFormat="1" ht="18.5" x14ac:dyDescent="0.3">
      <c r="B3" s="6" t="s">
        <v>270</v>
      </c>
      <c r="C3" s="45"/>
      <c r="D3" s="45"/>
      <c r="E3" s="2"/>
      <c r="F3" s="2"/>
      <c r="G3" s="2"/>
      <c r="H3" s="42"/>
      <c r="I3" s="43"/>
    </row>
    <row r="4" spans="2:10" ht="14.25" customHeight="1" x14ac:dyDescent="0.3">
      <c r="B4" s="12" t="s">
        <v>22</v>
      </c>
      <c r="C4" s="12" t="s">
        <v>293</v>
      </c>
      <c r="D4" s="45"/>
    </row>
    <row r="5" spans="2:10" ht="14.25" customHeight="1" x14ac:dyDescent="0.3">
      <c r="B5" s="12" t="s">
        <v>25</v>
      </c>
      <c r="C5" s="13" t="s">
        <v>369</v>
      </c>
      <c r="D5" s="45"/>
    </row>
    <row r="6" spans="2:10" ht="14.25" customHeight="1" x14ac:dyDescent="0.3">
      <c r="B6" s="12" t="s">
        <v>18</v>
      </c>
      <c r="C6" s="12" t="s">
        <v>1</v>
      </c>
      <c r="D6" s="45"/>
    </row>
    <row r="7" spans="2:10" ht="13.5" customHeight="1" x14ac:dyDescent="0.3">
      <c r="B7" s="12" t="s">
        <v>26</v>
      </c>
      <c r="C7" s="12" t="s">
        <v>39</v>
      </c>
      <c r="D7" s="45"/>
      <c r="I7" s="22"/>
      <c r="J7" s="22"/>
    </row>
    <row r="8" spans="2:10" ht="12.65" customHeight="1" x14ac:dyDescent="0.3">
      <c r="B8" s="12" t="s">
        <v>74</v>
      </c>
      <c r="C8" s="182">
        <f>'Gates &amp; Shallow dive'!W21</f>
        <v>33.000000000000007</v>
      </c>
      <c r="I8" s="186"/>
      <c r="J8" s="187"/>
    </row>
    <row r="9" spans="2:10" x14ac:dyDescent="0.3">
      <c r="B9" s="48" t="s">
        <v>44</v>
      </c>
      <c r="C9" s="132">
        <f>(1-$C$38)*$C$37</f>
        <v>0</v>
      </c>
      <c r="I9" s="189" t="s">
        <v>246</v>
      </c>
      <c r="J9" s="190" t="s">
        <v>247</v>
      </c>
    </row>
    <row r="10" spans="2:10" x14ac:dyDescent="0.3">
      <c r="B10" s="131"/>
      <c r="C10" s="131"/>
      <c r="I10" s="191"/>
      <c r="J10" s="192"/>
    </row>
    <row r="11" spans="2:10" x14ac:dyDescent="0.3">
      <c r="B11" s="6" t="s">
        <v>27</v>
      </c>
      <c r="I11" s="191"/>
      <c r="J11" s="192"/>
    </row>
    <row r="12" spans="2:10" x14ac:dyDescent="0.3">
      <c r="B12" s="54" t="s">
        <v>28</v>
      </c>
      <c r="F12" s="6" t="s">
        <v>29</v>
      </c>
      <c r="I12" s="193" t="s">
        <v>372</v>
      </c>
      <c r="J12" s="194" t="s">
        <v>377</v>
      </c>
    </row>
    <row r="13" spans="2:10" ht="175.5" customHeight="1" x14ac:dyDescent="0.3">
      <c r="B13" s="51" t="s">
        <v>30</v>
      </c>
      <c r="C13" s="51" t="s">
        <v>73</v>
      </c>
      <c r="D13" s="55" t="s">
        <v>378</v>
      </c>
      <c r="E13" s="5"/>
      <c r="F13" s="55" t="s">
        <v>253</v>
      </c>
      <c r="I13" s="195" t="s">
        <v>374</v>
      </c>
      <c r="J13" s="195" t="s">
        <v>375</v>
      </c>
    </row>
    <row r="14" spans="2:10" x14ac:dyDescent="0.3">
      <c r="B14" s="51" t="s">
        <v>32</v>
      </c>
      <c r="C14" s="51" t="s">
        <v>31</v>
      </c>
      <c r="D14" s="55"/>
      <c r="E14" s="5"/>
      <c r="F14" s="55"/>
      <c r="I14" s="188"/>
      <c r="J14" s="22"/>
    </row>
    <row r="15" spans="2:10" ht="91" x14ac:dyDescent="0.3">
      <c r="B15" s="51" t="s">
        <v>33</v>
      </c>
      <c r="C15" s="51" t="s">
        <v>43</v>
      </c>
      <c r="D15" s="55" t="s">
        <v>413</v>
      </c>
      <c r="E15" s="5"/>
      <c r="F15" s="55" t="s">
        <v>245</v>
      </c>
      <c r="I15" s="188"/>
      <c r="J15" s="22"/>
    </row>
    <row r="16" spans="2:10" ht="182" x14ac:dyDescent="0.3">
      <c r="B16" s="51" t="s">
        <v>34</v>
      </c>
      <c r="C16" s="38" t="s">
        <v>73</v>
      </c>
      <c r="D16" s="55" t="s">
        <v>373</v>
      </c>
      <c r="E16" s="5"/>
      <c r="F16" s="55" t="s">
        <v>287</v>
      </c>
      <c r="I16" s="188"/>
      <c r="J16" s="188"/>
    </row>
    <row r="17" spans="2:10" ht="169" x14ac:dyDescent="0.3">
      <c r="B17" s="51" t="s">
        <v>35</v>
      </c>
      <c r="C17" s="51" t="s">
        <v>72</v>
      </c>
      <c r="D17" s="55" t="s">
        <v>376</v>
      </c>
      <c r="E17" s="5"/>
      <c r="F17" s="55"/>
      <c r="I17" s="188"/>
      <c r="J17" s="188"/>
    </row>
    <row r="18" spans="2:10" ht="39" x14ac:dyDescent="0.3">
      <c r="B18" s="51" t="s">
        <v>36</v>
      </c>
      <c r="C18" s="51" t="s">
        <v>72</v>
      </c>
      <c r="D18" s="55" t="s">
        <v>371</v>
      </c>
      <c r="E18" s="5"/>
      <c r="F18" s="55"/>
    </row>
    <row r="19" spans="2:10" ht="13" customHeight="1" x14ac:dyDescent="0.3">
      <c r="B19" s="51" t="s">
        <v>37</v>
      </c>
      <c r="C19" s="51" t="s">
        <v>31</v>
      </c>
      <c r="D19" s="55"/>
      <c r="E19" s="5"/>
      <c r="F19" s="55"/>
    </row>
    <row r="20" spans="2:10" x14ac:dyDescent="0.3">
      <c r="B20" s="51" t="s">
        <v>38</v>
      </c>
      <c r="C20" s="51" t="s">
        <v>31</v>
      </c>
      <c r="D20" s="55"/>
      <c r="E20" s="5"/>
      <c r="F20" s="55"/>
    </row>
    <row r="21" spans="2:10" x14ac:dyDescent="0.3">
      <c r="B21" s="58"/>
      <c r="C21" s="58"/>
      <c r="D21" s="58"/>
      <c r="F21" s="58"/>
    </row>
    <row r="22" spans="2:10" x14ac:dyDescent="0.3">
      <c r="B22" s="54"/>
      <c r="C22" s="58"/>
      <c r="D22" s="58"/>
      <c r="F22" s="58"/>
    </row>
    <row r="23" spans="2:10" x14ac:dyDescent="0.3">
      <c r="B23" s="58"/>
      <c r="C23" s="58"/>
      <c r="D23" s="58"/>
      <c r="F23" s="58"/>
    </row>
    <row r="24" spans="2:10" x14ac:dyDescent="0.3">
      <c r="B24" s="58"/>
      <c r="C24" s="58"/>
      <c r="D24" s="58"/>
      <c r="F24" s="58"/>
    </row>
    <row r="25" spans="2:10" ht="14.5" x14ac:dyDescent="0.35">
      <c r="B25" s="58"/>
      <c r="C25" s="58"/>
      <c r="D25" s="58"/>
      <c r="E25" s="36"/>
      <c r="F25" s="58"/>
    </row>
    <row r="26" spans="2:10" x14ac:dyDescent="0.3">
      <c r="B26" s="58"/>
      <c r="C26" s="58"/>
      <c r="D26" s="58"/>
      <c r="F26" s="58"/>
    </row>
    <row r="27" spans="2:10" x14ac:dyDescent="0.3">
      <c r="B27" s="58"/>
      <c r="C27" s="58"/>
      <c r="D27" s="58"/>
      <c r="F27" s="58"/>
    </row>
    <row r="28" spans="2:10" x14ac:dyDescent="0.3">
      <c r="B28" s="58"/>
      <c r="C28" s="58"/>
      <c r="D28" s="58"/>
      <c r="F28" s="58"/>
    </row>
    <row r="37" spans="2:14" x14ac:dyDescent="0.3">
      <c r="B37" s="2" t="s">
        <v>144</v>
      </c>
      <c r="C37" s="60">
        <v>0</v>
      </c>
      <c r="D37" s="2" t="s">
        <v>248</v>
      </c>
    </row>
    <row r="38" spans="2:14" x14ac:dyDescent="0.3">
      <c r="B38" s="2" t="s">
        <v>143</v>
      </c>
      <c r="C38" s="61">
        <v>2.650441955963285E-4</v>
      </c>
    </row>
    <row r="39" spans="2:14" x14ac:dyDescent="0.3">
      <c r="B39" s="6"/>
    </row>
    <row r="47" spans="2:14" x14ac:dyDescent="0.3">
      <c r="N47" s="42"/>
    </row>
  </sheetData>
  <dataValidations count="4">
    <dataValidation type="list" allowBlank="1" showInputMessage="1" showErrorMessage="1" sqref="C6">
      <formula1>"ANH,NES,NWT,SRN,SVE,SWB,TMS,WSH,WSX,YKY,AFW,BRL,HDD,PRT,SES,SEW,SSC"</formula1>
    </dataValidation>
    <dataValidation type="list" allowBlank="1" showInputMessage="1" showErrorMessage="1" sqref="C21:C28">
      <formula1>"Pass,Marginal 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13:C20">
      <formula1>"Pass,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B1:AQ84"/>
  <sheetViews>
    <sheetView showGridLines="0" topLeftCell="H18" zoomScaleNormal="100" workbookViewId="0">
      <selection activeCell="Q28" sqref="Q28"/>
    </sheetView>
  </sheetViews>
  <sheetFormatPr defaultColWidth="8.81640625" defaultRowHeight="13" x14ac:dyDescent="0.3"/>
  <cols>
    <col min="1" max="1" width="2.1796875" style="2" customWidth="1"/>
    <col min="2" max="2" width="37.81640625" style="2" customWidth="1"/>
    <col min="3" max="3" width="16.54296875" style="2" customWidth="1"/>
    <col min="4" max="4" width="79.54296875" style="2" customWidth="1"/>
    <col min="5" max="5" width="8.54296875" style="2" customWidth="1"/>
    <col min="6" max="6" width="26.54296875" style="2" customWidth="1"/>
    <col min="7" max="10" width="8.54296875" style="2" customWidth="1"/>
    <col min="11" max="11" width="39.26953125" style="2" customWidth="1"/>
    <col min="12" max="14" width="8.54296875" style="2" customWidth="1"/>
    <col min="15" max="15" width="8.81640625" style="2"/>
    <col min="16" max="16" width="12.1796875" style="2" customWidth="1"/>
    <col min="17" max="17" width="12.81640625" style="2" customWidth="1"/>
    <col min="18" max="18" width="37" style="2" customWidth="1"/>
    <col min="19" max="19" width="14.81640625" style="2" customWidth="1"/>
    <col min="20" max="22" width="13.453125" style="2" customWidth="1"/>
    <col min="23" max="25" width="8.81640625" style="2"/>
    <col min="26" max="26" width="15.1796875" style="2" customWidth="1"/>
    <col min="27" max="16384" width="8.81640625" style="2"/>
  </cols>
  <sheetData>
    <row r="1" spans="2:43" s="44" customFormat="1" ht="18.5" x14ac:dyDescent="0.3">
      <c r="B1" s="1" t="s">
        <v>366</v>
      </c>
      <c r="C1" s="1"/>
      <c r="D1" s="1"/>
      <c r="E1" s="1"/>
      <c r="F1" s="1"/>
      <c r="G1" s="2"/>
      <c r="H1" s="42"/>
      <c r="I1" s="43"/>
    </row>
    <row r="2" spans="2:43" s="44" customFormat="1" ht="18.5" x14ac:dyDescent="0.3">
      <c r="B2" s="6"/>
      <c r="C2" s="45"/>
      <c r="D2" s="45"/>
      <c r="E2" s="2"/>
      <c r="F2" s="2"/>
      <c r="G2" s="2"/>
      <c r="H2" s="42"/>
      <c r="I2" s="43"/>
    </row>
    <row r="3" spans="2:43" s="44" customFormat="1" ht="18.5" x14ac:dyDescent="0.3">
      <c r="B3" s="6" t="s">
        <v>54</v>
      </c>
      <c r="C3" s="45"/>
      <c r="D3" s="45"/>
      <c r="E3" s="2"/>
      <c r="F3" s="2"/>
      <c r="G3" s="2"/>
      <c r="H3" s="42"/>
      <c r="I3" s="43"/>
    </row>
    <row r="4" spans="2:43" x14ac:dyDescent="0.3">
      <c r="B4" s="12" t="s">
        <v>22</v>
      </c>
      <c r="C4" s="13" t="s">
        <v>293</v>
      </c>
      <c r="D4" s="53"/>
    </row>
    <row r="5" spans="2:43" x14ac:dyDescent="0.3">
      <c r="B5" s="12" t="s">
        <v>25</v>
      </c>
      <c r="C5" s="13" t="s">
        <v>369</v>
      </c>
      <c r="D5" s="53"/>
    </row>
    <row r="6" spans="2:43" x14ac:dyDescent="0.3">
      <c r="B6" s="51" t="s">
        <v>18</v>
      </c>
      <c r="C6" s="52" t="s">
        <v>3</v>
      </c>
      <c r="D6" s="53"/>
    </row>
    <row r="7" spans="2:43" x14ac:dyDescent="0.3">
      <c r="B7" s="51" t="s">
        <v>26</v>
      </c>
      <c r="C7" s="52" t="s">
        <v>39</v>
      </c>
      <c r="D7" s="53"/>
    </row>
    <row r="8" spans="2:43" x14ac:dyDescent="0.3">
      <c r="B8" s="51" t="s">
        <v>74</v>
      </c>
      <c r="C8" s="197">
        <f>'Gates &amp; Shallow dive'!Z23</f>
        <v>49.869900000000001</v>
      </c>
      <c r="D8" s="53"/>
    </row>
    <row r="9" spans="2:43" x14ac:dyDescent="0.3">
      <c r="B9" s="48" t="s">
        <v>44</v>
      </c>
      <c r="C9" s="197">
        <f>(1-$C$38)*$C$37</f>
        <v>49.870800000000003</v>
      </c>
    </row>
    <row r="11" spans="2:43" ht="14.65" customHeight="1" x14ac:dyDescent="0.3">
      <c r="B11" s="6" t="s">
        <v>27</v>
      </c>
      <c r="I11" s="2" t="s">
        <v>145</v>
      </c>
      <c r="P11" s="143"/>
      <c r="R11" s="143"/>
      <c r="AC11" s="71"/>
      <c r="AD11" s="71"/>
      <c r="AE11" s="71"/>
      <c r="AF11" s="71"/>
      <c r="AG11" s="71"/>
      <c r="AH11" s="71"/>
      <c r="AI11" s="71"/>
      <c r="AJ11" s="71"/>
      <c r="AK11" s="71"/>
      <c r="AL11" s="71"/>
      <c r="AM11" s="71"/>
      <c r="AN11" s="71"/>
      <c r="AO11" s="71"/>
      <c r="AP11" s="71"/>
      <c r="AQ11" s="71"/>
    </row>
    <row r="12" spans="2:43" ht="87" x14ac:dyDescent="0.3">
      <c r="B12" s="54" t="s">
        <v>28</v>
      </c>
      <c r="F12" s="6" t="s">
        <v>29</v>
      </c>
      <c r="I12" s="216" t="s">
        <v>103</v>
      </c>
      <c r="J12" s="216" t="s">
        <v>104</v>
      </c>
      <c r="K12" s="216" t="s">
        <v>105</v>
      </c>
      <c r="L12" s="218" t="s">
        <v>309</v>
      </c>
      <c r="M12" s="144" t="s">
        <v>310</v>
      </c>
      <c r="N12" s="144" t="s">
        <v>107</v>
      </c>
      <c r="O12" s="145"/>
      <c r="P12" s="214" t="s">
        <v>148</v>
      </c>
      <c r="Q12" s="48"/>
      <c r="R12" s="214" t="s">
        <v>328</v>
      </c>
      <c r="AC12" s="71"/>
      <c r="AD12" s="71"/>
      <c r="AE12" s="71"/>
      <c r="AF12" s="71"/>
      <c r="AG12" s="71"/>
      <c r="AH12" s="71"/>
      <c r="AI12" s="71"/>
      <c r="AJ12" s="71"/>
      <c r="AK12" s="71"/>
      <c r="AL12" s="71"/>
      <c r="AM12" s="71"/>
      <c r="AN12" s="71"/>
      <c r="AO12" s="71"/>
      <c r="AP12" s="71"/>
      <c r="AQ12" s="71"/>
    </row>
    <row r="13" spans="2:43" ht="104.5" thickBot="1" x14ac:dyDescent="0.4">
      <c r="B13" s="51" t="s">
        <v>30</v>
      </c>
      <c r="C13" s="51" t="s">
        <v>43</v>
      </c>
      <c r="D13" s="55" t="s">
        <v>329</v>
      </c>
      <c r="E13" s="5"/>
      <c r="F13" s="55" t="s">
        <v>101</v>
      </c>
      <c r="I13" s="217"/>
      <c r="J13" s="217"/>
      <c r="K13" s="217"/>
      <c r="L13" s="219"/>
      <c r="M13" s="146" t="s">
        <v>106</v>
      </c>
      <c r="N13" s="146" t="s">
        <v>108</v>
      </c>
      <c r="O13" s="147" t="s">
        <v>330</v>
      </c>
      <c r="P13" s="215"/>
      <c r="Q13" s="148" t="s">
        <v>265</v>
      </c>
      <c r="R13" s="215"/>
      <c r="S13" s="36"/>
      <c r="AC13" s="71"/>
      <c r="AD13" s="71"/>
      <c r="AE13" s="71"/>
      <c r="AF13" s="71"/>
      <c r="AG13" s="71"/>
      <c r="AH13" s="71"/>
      <c r="AI13" s="71"/>
      <c r="AJ13" s="71"/>
      <c r="AK13" s="71"/>
      <c r="AL13" s="71"/>
      <c r="AM13" s="71"/>
      <c r="AN13" s="71"/>
      <c r="AO13" s="71"/>
      <c r="AP13" s="71"/>
      <c r="AQ13" s="71"/>
    </row>
    <row r="14" spans="2:43" ht="117.5" thickTop="1" x14ac:dyDescent="0.3">
      <c r="B14" s="51" t="s">
        <v>32</v>
      </c>
      <c r="C14" s="51" t="s">
        <v>31</v>
      </c>
      <c r="D14" s="55"/>
      <c r="E14" s="5"/>
      <c r="F14" s="55"/>
      <c r="I14" s="149" t="s">
        <v>109</v>
      </c>
      <c r="J14" s="149" t="s">
        <v>110</v>
      </c>
      <c r="K14" s="150" t="s">
        <v>111</v>
      </c>
      <c r="L14" s="151">
        <v>44896</v>
      </c>
      <c r="M14" s="149">
        <v>10.8</v>
      </c>
      <c r="N14" s="149">
        <v>1.3</v>
      </c>
      <c r="O14" s="152" t="s">
        <v>180</v>
      </c>
      <c r="P14" s="153">
        <v>1.5</v>
      </c>
      <c r="Q14" s="154"/>
      <c r="R14" s="155" t="s">
        <v>311</v>
      </c>
      <c r="AC14" s="71"/>
      <c r="AD14" s="71"/>
      <c r="AE14" s="71"/>
      <c r="AF14" s="71"/>
      <c r="AG14" s="71"/>
      <c r="AH14" s="71"/>
      <c r="AI14" s="71"/>
      <c r="AJ14" s="71"/>
      <c r="AK14" s="71"/>
      <c r="AL14" s="71"/>
      <c r="AM14" s="71"/>
      <c r="AN14" s="71"/>
      <c r="AO14" s="71"/>
      <c r="AP14" s="71"/>
      <c r="AQ14" s="71"/>
    </row>
    <row r="15" spans="2:43" ht="29" x14ac:dyDescent="0.3">
      <c r="B15" s="51" t="s">
        <v>33</v>
      </c>
      <c r="C15" s="51" t="s">
        <v>43</v>
      </c>
      <c r="D15" s="55" t="s">
        <v>326</v>
      </c>
      <c r="E15" s="5"/>
      <c r="F15" s="55"/>
      <c r="I15" s="156" t="s">
        <v>112</v>
      </c>
      <c r="J15" s="156" t="s">
        <v>110</v>
      </c>
      <c r="K15" s="144" t="s">
        <v>113</v>
      </c>
      <c r="L15" s="156" t="s">
        <v>114</v>
      </c>
      <c r="M15" s="48"/>
      <c r="N15" s="156"/>
      <c r="O15" s="145"/>
      <c r="P15" s="157">
        <v>0</v>
      </c>
      <c r="Q15" s="48"/>
      <c r="R15" s="157"/>
      <c r="AC15" s="71"/>
      <c r="AD15" s="71"/>
      <c r="AE15" s="71"/>
      <c r="AF15" s="71"/>
      <c r="AG15" s="71"/>
      <c r="AH15" s="71"/>
      <c r="AI15" s="71"/>
      <c r="AJ15" s="71"/>
      <c r="AK15" s="71"/>
      <c r="AL15" s="71"/>
      <c r="AM15" s="71"/>
      <c r="AN15" s="71"/>
      <c r="AO15" s="71"/>
      <c r="AP15" s="71"/>
      <c r="AQ15" s="71"/>
    </row>
    <row r="16" spans="2:43" ht="104" x14ac:dyDescent="0.35">
      <c r="B16" s="51" t="s">
        <v>34</v>
      </c>
      <c r="C16" s="38" t="s">
        <v>43</v>
      </c>
      <c r="D16" s="55" t="s">
        <v>327</v>
      </c>
      <c r="E16" s="5"/>
      <c r="F16" s="55" t="s">
        <v>102</v>
      </c>
      <c r="I16" s="156" t="s">
        <v>115</v>
      </c>
      <c r="J16" s="156" t="s">
        <v>110</v>
      </c>
      <c r="K16" s="156" t="s">
        <v>116</v>
      </c>
      <c r="L16" s="158">
        <v>44531</v>
      </c>
      <c r="M16" s="156">
        <v>23</v>
      </c>
      <c r="N16" s="156">
        <v>2</v>
      </c>
      <c r="O16" s="145" t="s">
        <v>180</v>
      </c>
      <c r="P16" s="157">
        <v>2.2000000000000002</v>
      </c>
      <c r="Q16" s="145"/>
      <c r="R16" s="159" t="s">
        <v>312</v>
      </c>
      <c r="S16" s="36"/>
      <c r="AC16" s="71"/>
      <c r="AD16" s="71"/>
      <c r="AE16" s="71"/>
      <c r="AF16" s="71"/>
      <c r="AG16" s="71"/>
      <c r="AH16" s="71"/>
      <c r="AI16" s="71"/>
      <c r="AJ16" s="71"/>
      <c r="AK16" s="71"/>
      <c r="AL16" s="71"/>
      <c r="AM16" s="71"/>
      <c r="AN16" s="71"/>
      <c r="AO16" s="71"/>
      <c r="AP16" s="71"/>
      <c r="AQ16" s="71"/>
    </row>
    <row r="17" spans="2:43" ht="409.5" x14ac:dyDescent="0.3">
      <c r="B17" s="51" t="s">
        <v>35</v>
      </c>
      <c r="C17" s="51" t="s">
        <v>73</v>
      </c>
      <c r="D17" s="55" t="s">
        <v>396</v>
      </c>
      <c r="E17" s="5"/>
      <c r="F17" s="55" t="s">
        <v>149</v>
      </c>
      <c r="I17" s="156" t="s">
        <v>117</v>
      </c>
      <c r="J17" s="156" t="s">
        <v>118</v>
      </c>
      <c r="K17" s="156" t="s">
        <v>119</v>
      </c>
      <c r="L17" s="158">
        <v>44896</v>
      </c>
      <c r="M17" s="156">
        <v>2</v>
      </c>
      <c r="N17" s="156">
        <v>3.7</v>
      </c>
      <c r="O17" s="145" t="s">
        <v>180</v>
      </c>
      <c r="P17" s="157">
        <v>5.6</v>
      </c>
      <c r="Q17" s="145"/>
      <c r="R17" s="159" t="s">
        <v>313</v>
      </c>
      <c r="S17" s="5"/>
      <c r="AC17" s="71"/>
      <c r="AD17" s="71"/>
      <c r="AE17" s="71"/>
      <c r="AF17" s="71"/>
      <c r="AG17" s="71"/>
      <c r="AH17" s="71"/>
      <c r="AI17" s="71"/>
      <c r="AJ17" s="71"/>
      <c r="AK17" s="71"/>
      <c r="AL17" s="71"/>
      <c r="AM17" s="71"/>
      <c r="AN17" s="71"/>
      <c r="AO17" s="71"/>
      <c r="AP17" s="71"/>
      <c r="AQ17" s="71"/>
    </row>
    <row r="18" spans="2:43" ht="65" x14ac:dyDescent="0.3">
      <c r="B18" s="51" t="s">
        <v>36</v>
      </c>
      <c r="C18" s="51" t="s">
        <v>73</v>
      </c>
      <c r="D18" s="55" t="s">
        <v>397</v>
      </c>
      <c r="E18" s="5"/>
      <c r="F18" s="55" t="s">
        <v>101</v>
      </c>
      <c r="I18" s="156" t="s">
        <v>120</v>
      </c>
      <c r="J18" s="156" t="s">
        <v>118</v>
      </c>
      <c r="K18" s="144" t="s">
        <v>121</v>
      </c>
      <c r="L18" s="158">
        <v>45992</v>
      </c>
      <c r="M18" s="158"/>
      <c r="N18" s="48"/>
      <c r="O18" s="145"/>
      <c r="P18" s="157">
        <v>0</v>
      </c>
      <c r="Q18" s="145"/>
      <c r="R18" s="159" t="s">
        <v>314</v>
      </c>
      <c r="AC18" s="71"/>
      <c r="AD18" s="71"/>
      <c r="AE18" s="71"/>
      <c r="AF18" s="71"/>
      <c r="AG18" s="71"/>
      <c r="AH18" s="71"/>
      <c r="AI18" s="71"/>
      <c r="AJ18" s="71"/>
      <c r="AK18" s="71"/>
      <c r="AL18" s="71"/>
      <c r="AM18" s="71"/>
      <c r="AN18" s="71"/>
      <c r="AO18" s="71"/>
      <c r="AP18" s="71"/>
      <c r="AQ18" s="71"/>
    </row>
    <row r="19" spans="2:43" ht="14.5" x14ac:dyDescent="0.35">
      <c r="B19" s="51" t="s">
        <v>37</v>
      </c>
      <c r="C19" s="51" t="s">
        <v>31</v>
      </c>
      <c r="D19" s="55"/>
      <c r="E19" s="5"/>
      <c r="F19" s="55"/>
      <c r="I19" s="156" t="s">
        <v>122</v>
      </c>
      <c r="J19" s="156" t="s">
        <v>123</v>
      </c>
      <c r="K19" s="205" t="s">
        <v>124</v>
      </c>
      <c r="L19" s="158">
        <v>45992</v>
      </c>
      <c r="M19" s="156">
        <v>4.5</v>
      </c>
      <c r="N19" s="156">
        <v>8.3000000000000007</v>
      </c>
      <c r="O19" s="145" t="s">
        <v>315</v>
      </c>
      <c r="P19" s="157">
        <v>0.11</v>
      </c>
      <c r="Q19" s="145"/>
      <c r="R19" s="206" t="s">
        <v>316</v>
      </c>
      <c r="S19" s="36"/>
      <c r="AC19" s="71"/>
      <c r="AD19" s="71"/>
      <c r="AE19" s="71"/>
      <c r="AF19" s="71"/>
      <c r="AG19" s="71"/>
      <c r="AH19" s="71"/>
      <c r="AI19" s="71"/>
      <c r="AJ19" s="71"/>
      <c r="AK19" s="71"/>
      <c r="AL19" s="71"/>
      <c r="AM19" s="71"/>
      <c r="AN19" s="71"/>
      <c r="AO19" s="71"/>
      <c r="AP19" s="71"/>
      <c r="AQ19" s="71"/>
    </row>
    <row r="20" spans="2:43" ht="14.5" x14ac:dyDescent="0.3">
      <c r="B20" s="51" t="s">
        <v>38</v>
      </c>
      <c r="C20" s="51" t="s">
        <v>31</v>
      </c>
      <c r="D20" s="55"/>
      <c r="E20" s="5"/>
      <c r="F20" s="55"/>
      <c r="I20" s="156" t="s">
        <v>125</v>
      </c>
      <c r="J20" s="156" t="s">
        <v>123</v>
      </c>
      <c r="K20" s="205"/>
      <c r="L20" s="48"/>
      <c r="M20" s="156"/>
      <c r="N20" s="156"/>
      <c r="O20" s="145" t="s">
        <v>315</v>
      </c>
      <c r="P20" s="157">
        <v>7.76</v>
      </c>
      <c r="Q20" s="145"/>
      <c r="R20" s="220"/>
      <c r="AC20" s="71"/>
      <c r="AD20" s="71"/>
      <c r="AE20" s="71"/>
      <c r="AF20" s="71"/>
      <c r="AG20" s="71"/>
      <c r="AH20" s="71"/>
      <c r="AI20" s="71"/>
      <c r="AJ20" s="71"/>
      <c r="AK20" s="71"/>
      <c r="AL20" s="71"/>
      <c r="AM20" s="71"/>
      <c r="AN20" s="71"/>
      <c r="AO20" s="71"/>
      <c r="AP20" s="71"/>
      <c r="AQ20" s="71"/>
    </row>
    <row r="21" spans="2:43" ht="14.5" x14ac:dyDescent="0.35">
      <c r="B21" s="58"/>
      <c r="C21" s="58"/>
      <c r="D21" s="58"/>
      <c r="F21" s="58"/>
      <c r="I21" s="156" t="s">
        <v>126</v>
      </c>
      <c r="J21" s="156" t="s">
        <v>123</v>
      </c>
      <c r="K21" s="156" t="s">
        <v>127</v>
      </c>
      <c r="L21" s="158">
        <v>45992</v>
      </c>
      <c r="M21" s="156">
        <v>13.1</v>
      </c>
      <c r="N21" s="156">
        <v>7.2</v>
      </c>
      <c r="O21" s="145" t="s">
        <v>315</v>
      </c>
      <c r="P21" s="157">
        <v>7.085</v>
      </c>
      <c r="Q21" s="145"/>
      <c r="R21" s="207"/>
      <c r="S21" s="36"/>
      <c r="AC21" s="71"/>
      <c r="AD21" s="71"/>
      <c r="AE21" s="71"/>
      <c r="AF21" s="71"/>
      <c r="AG21" s="71"/>
      <c r="AH21" s="71"/>
      <c r="AI21" s="71"/>
      <c r="AJ21" s="71"/>
      <c r="AK21" s="71"/>
      <c r="AL21" s="71"/>
      <c r="AM21" s="71"/>
      <c r="AN21" s="71"/>
      <c r="AO21" s="71"/>
      <c r="AP21" s="71"/>
      <c r="AQ21" s="71"/>
    </row>
    <row r="22" spans="2:43" ht="14.5" x14ac:dyDescent="0.3">
      <c r="B22" s="54"/>
      <c r="C22" s="58"/>
      <c r="D22" s="58"/>
      <c r="F22" s="58"/>
      <c r="I22" s="156" t="s">
        <v>128</v>
      </c>
      <c r="J22" s="156" t="s">
        <v>129</v>
      </c>
      <c r="K22" s="205" t="s">
        <v>130</v>
      </c>
      <c r="L22" s="158">
        <v>44896</v>
      </c>
      <c r="M22" s="156">
        <v>6.5</v>
      </c>
      <c r="N22" s="156">
        <v>15.5</v>
      </c>
      <c r="O22" s="145" t="s">
        <v>317</v>
      </c>
      <c r="P22" s="157">
        <v>2.1</v>
      </c>
      <c r="Q22" s="145"/>
      <c r="R22" s="206" t="s">
        <v>318</v>
      </c>
      <c r="AC22" s="71"/>
      <c r="AD22" s="71"/>
      <c r="AE22" s="71"/>
      <c r="AF22" s="71"/>
      <c r="AG22" s="71"/>
      <c r="AH22" s="71"/>
      <c r="AI22" s="71"/>
      <c r="AJ22" s="71"/>
      <c r="AK22" s="71"/>
      <c r="AL22" s="71"/>
      <c r="AM22" s="71"/>
      <c r="AN22" s="71"/>
      <c r="AO22" s="71"/>
      <c r="AP22" s="71"/>
      <c r="AQ22" s="71"/>
    </row>
    <row r="23" spans="2:43" ht="14.5" x14ac:dyDescent="0.3">
      <c r="B23" s="58"/>
      <c r="C23" s="58"/>
      <c r="D23" s="58"/>
      <c r="F23" s="58"/>
      <c r="I23" s="156" t="s">
        <v>131</v>
      </c>
      <c r="J23" s="156" t="s">
        <v>129</v>
      </c>
      <c r="K23" s="205"/>
      <c r="L23" s="48"/>
      <c r="M23" s="156"/>
      <c r="N23" s="156"/>
      <c r="O23" s="145" t="s">
        <v>315</v>
      </c>
      <c r="P23" s="157">
        <v>13.257</v>
      </c>
      <c r="Q23" s="145"/>
      <c r="R23" s="207"/>
      <c r="AC23" s="71"/>
      <c r="AD23" s="71"/>
      <c r="AE23" s="71"/>
      <c r="AF23" s="71"/>
      <c r="AG23" s="71"/>
      <c r="AH23" s="71"/>
      <c r="AI23" s="71"/>
      <c r="AJ23" s="71"/>
      <c r="AK23" s="71"/>
      <c r="AL23" s="71"/>
      <c r="AM23" s="71"/>
      <c r="AN23" s="71"/>
      <c r="AO23" s="71"/>
      <c r="AP23" s="71"/>
      <c r="AQ23" s="71"/>
    </row>
    <row r="24" spans="2:43" ht="14.65" customHeight="1" x14ac:dyDescent="0.35">
      <c r="B24" s="58"/>
      <c r="C24" s="58"/>
      <c r="D24" s="58"/>
      <c r="F24" s="58"/>
      <c r="I24" s="156" t="s">
        <v>132</v>
      </c>
      <c r="J24" s="156" t="s">
        <v>133</v>
      </c>
      <c r="K24" s="205" t="s">
        <v>134</v>
      </c>
      <c r="L24" s="158">
        <v>44896</v>
      </c>
      <c r="M24" s="156">
        <v>9</v>
      </c>
      <c r="N24" s="156">
        <v>13.4</v>
      </c>
      <c r="O24" s="145" t="s">
        <v>317</v>
      </c>
      <c r="P24" s="157">
        <v>3.2250000000000001</v>
      </c>
      <c r="Q24" s="145"/>
      <c r="R24" s="206" t="s">
        <v>319</v>
      </c>
      <c r="S24" s="36"/>
      <c r="AC24" s="71"/>
      <c r="AD24" s="71"/>
      <c r="AE24" s="71"/>
      <c r="AF24" s="71"/>
      <c r="AG24" s="71"/>
      <c r="AH24" s="71"/>
      <c r="AI24" s="71"/>
      <c r="AJ24" s="71"/>
      <c r="AK24" s="71"/>
      <c r="AL24" s="71"/>
      <c r="AM24" s="71"/>
      <c r="AN24" s="71"/>
      <c r="AO24" s="71"/>
      <c r="AP24" s="71"/>
      <c r="AQ24" s="71"/>
    </row>
    <row r="25" spans="2:43" ht="14.5" x14ac:dyDescent="0.35">
      <c r="B25" s="58"/>
      <c r="C25" s="58"/>
      <c r="D25" s="58"/>
      <c r="E25" s="36"/>
      <c r="F25" s="58"/>
      <c r="I25" s="156" t="s">
        <v>135</v>
      </c>
      <c r="J25" s="156" t="s">
        <v>133</v>
      </c>
      <c r="K25" s="205"/>
      <c r="L25" s="48"/>
      <c r="M25" s="156"/>
      <c r="N25" s="156"/>
      <c r="O25" s="145" t="s">
        <v>315</v>
      </c>
      <c r="P25" s="157">
        <v>13.195</v>
      </c>
      <c r="Q25" s="145"/>
      <c r="R25" s="207"/>
      <c r="AC25" s="71"/>
      <c r="AD25" s="71"/>
      <c r="AE25" s="71"/>
      <c r="AF25" s="71"/>
      <c r="AG25" s="71"/>
      <c r="AH25" s="71"/>
      <c r="AI25" s="71"/>
      <c r="AJ25" s="71"/>
      <c r="AK25" s="71"/>
      <c r="AL25" s="71"/>
      <c r="AM25" s="71"/>
      <c r="AN25" s="71"/>
      <c r="AO25" s="71"/>
      <c r="AP25" s="71"/>
      <c r="AQ25" s="71"/>
    </row>
    <row r="26" spans="2:43" ht="15.65" customHeight="1" x14ac:dyDescent="0.3">
      <c r="B26" s="58"/>
      <c r="C26" s="58"/>
      <c r="D26" s="58"/>
      <c r="F26" s="58"/>
      <c r="I26" s="156" t="s">
        <v>136</v>
      </c>
      <c r="J26" s="156" t="s">
        <v>137</v>
      </c>
      <c r="K26" s="144" t="s">
        <v>138</v>
      </c>
      <c r="L26" s="156" t="s">
        <v>114</v>
      </c>
      <c r="M26" s="48"/>
      <c r="N26" s="156"/>
      <c r="O26" s="145"/>
      <c r="P26" s="157">
        <v>0</v>
      </c>
      <c r="Q26" s="145"/>
      <c r="R26" s="160" t="s">
        <v>320</v>
      </c>
      <c r="AC26" s="71"/>
      <c r="AD26" s="71"/>
      <c r="AE26" s="71"/>
      <c r="AF26" s="71"/>
      <c r="AG26" s="71"/>
      <c r="AH26" s="71"/>
      <c r="AI26" s="71"/>
      <c r="AJ26" s="71"/>
      <c r="AK26" s="71"/>
      <c r="AL26" s="71"/>
      <c r="AM26" s="71"/>
      <c r="AN26" s="71"/>
      <c r="AO26" s="71"/>
      <c r="AP26" s="71"/>
      <c r="AQ26" s="71"/>
    </row>
    <row r="27" spans="2:43" ht="14.65" customHeight="1" x14ac:dyDescent="0.35">
      <c r="B27" s="58"/>
      <c r="C27" s="58"/>
      <c r="D27" s="58"/>
      <c r="F27" s="58"/>
      <c r="I27" s="156" t="s">
        <v>140</v>
      </c>
      <c r="J27" s="156" t="s">
        <v>139</v>
      </c>
      <c r="K27" s="205"/>
      <c r="L27" s="208"/>
      <c r="M27" s="210">
        <v>17.7</v>
      </c>
      <c r="N27" s="212">
        <v>28.3</v>
      </c>
      <c r="O27" s="145" t="s">
        <v>317</v>
      </c>
      <c r="P27" s="157">
        <v>21.265000000000001</v>
      </c>
      <c r="Q27" s="161" t="s">
        <v>321</v>
      </c>
      <c r="R27" s="159" t="s">
        <v>322</v>
      </c>
      <c r="S27" s="36"/>
      <c r="AC27" s="71"/>
      <c r="AD27" s="71"/>
      <c r="AE27" s="71"/>
      <c r="AF27" s="71"/>
      <c r="AG27" s="71"/>
      <c r="AH27" s="71"/>
      <c r="AI27" s="71"/>
      <c r="AJ27" s="71"/>
      <c r="AK27" s="71"/>
      <c r="AL27" s="71"/>
      <c r="AM27" s="71"/>
      <c r="AN27" s="71"/>
      <c r="AO27" s="71"/>
      <c r="AP27" s="71"/>
      <c r="AQ27" s="71"/>
    </row>
    <row r="28" spans="2:43" ht="22.5" customHeight="1" x14ac:dyDescent="0.3">
      <c r="B28" s="58"/>
      <c r="C28" s="58"/>
      <c r="D28" s="58"/>
      <c r="F28" s="58"/>
      <c r="I28" s="156" t="s">
        <v>141</v>
      </c>
      <c r="J28" s="156" t="s">
        <v>139</v>
      </c>
      <c r="K28" s="205"/>
      <c r="L28" s="209"/>
      <c r="M28" s="211"/>
      <c r="N28" s="213"/>
      <c r="O28" s="145" t="s">
        <v>317</v>
      </c>
      <c r="P28" s="157">
        <v>1.4</v>
      </c>
      <c r="Q28" s="161" t="s">
        <v>323</v>
      </c>
      <c r="R28" s="157"/>
      <c r="S28" s="68"/>
      <c r="AC28" s="71"/>
      <c r="AD28" s="71"/>
      <c r="AE28" s="71"/>
      <c r="AF28" s="71"/>
      <c r="AG28" s="71"/>
      <c r="AH28" s="71"/>
      <c r="AI28" s="71"/>
      <c r="AJ28" s="71"/>
      <c r="AK28" s="71"/>
      <c r="AL28" s="71"/>
      <c r="AM28" s="71"/>
      <c r="AN28" s="71"/>
      <c r="AO28" s="71"/>
      <c r="AP28" s="71"/>
      <c r="AQ28" s="71"/>
    </row>
    <row r="29" spans="2:43" ht="24.75" customHeight="1" x14ac:dyDescent="0.35">
      <c r="I29" s="162" t="s">
        <v>142</v>
      </c>
      <c r="J29" s="162"/>
      <c r="K29" s="48"/>
      <c r="L29" s="48"/>
      <c r="M29" s="156">
        <f>SUM(M14:M28)</f>
        <v>86.600000000000009</v>
      </c>
      <c r="N29" s="156">
        <f>SUM(N14:N28)</f>
        <v>79.7</v>
      </c>
      <c r="O29" s="145"/>
      <c r="P29" s="163">
        <f>SUM(P14:P28)</f>
        <v>78.697000000000003</v>
      </c>
      <c r="Q29" s="145"/>
      <c r="R29" s="163"/>
      <c r="S29" s="36"/>
      <c r="AC29" s="71"/>
      <c r="AD29" s="71"/>
      <c r="AE29" s="71"/>
      <c r="AF29" s="71"/>
      <c r="AG29" s="71"/>
      <c r="AH29" s="71"/>
      <c r="AI29" s="71"/>
      <c r="AJ29" s="71"/>
      <c r="AK29" s="71"/>
      <c r="AL29" s="71"/>
      <c r="AM29" s="71"/>
      <c r="AN29" s="71"/>
      <c r="AO29" s="71"/>
      <c r="AP29" s="71"/>
      <c r="AQ29" s="71"/>
    </row>
    <row r="30" spans="2:43" ht="21.65" customHeight="1" x14ac:dyDescent="0.35">
      <c r="R30" s="68"/>
      <c r="S30" s="36"/>
      <c r="AC30" s="71"/>
      <c r="AD30" s="71"/>
      <c r="AE30" s="71"/>
      <c r="AF30" s="71"/>
      <c r="AG30" s="71"/>
      <c r="AH30" s="71"/>
      <c r="AI30" s="71"/>
      <c r="AJ30" s="71"/>
      <c r="AK30" s="71"/>
      <c r="AL30" s="71"/>
      <c r="AM30" s="71"/>
      <c r="AN30" s="71"/>
      <c r="AO30" s="71"/>
      <c r="AP30" s="71"/>
      <c r="AQ30" s="71"/>
    </row>
    <row r="31" spans="2:43" ht="21.65" customHeight="1" x14ac:dyDescent="0.35">
      <c r="I31" s="2" t="s">
        <v>243</v>
      </c>
      <c r="R31" s="68"/>
      <c r="S31" s="36"/>
      <c r="AC31" s="71"/>
      <c r="AD31" s="71"/>
      <c r="AE31" s="71"/>
      <c r="AF31" s="71"/>
      <c r="AG31" s="71"/>
      <c r="AH31" s="71"/>
      <c r="AI31" s="71"/>
      <c r="AJ31" s="71"/>
      <c r="AK31" s="71"/>
      <c r="AL31" s="71"/>
      <c r="AM31" s="71"/>
      <c r="AN31" s="71"/>
      <c r="AO31" s="71"/>
      <c r="AP31" s="71"/>
      <c r="AQ31" s="71"/>
    </row>
    <row r="32" spans="2:43" ht="21.65" customHeight="1" x14ac:dyDescent="0.35">
      <c r="I32" s="2" t="s">
        <v>324</v>
      </c>
      <c r="N32" s="2">
        <v>75.783000000000001</v>
      </c>
      <c r="R32" s="69"/>
      <c r="S32" s="36"/>
      <c r="AC32" s="71"/>
      <c r="AD32" s="71"/>
      <c r="AE32" s="71"/>
      <c r="AF32" s="71"/>
      <c r="AG32" s="71"/>
      <c r="AH32" s="71"/>
      <c r="AI32" s="71"/>
      <c r="AJ32" s="71"/>
      <c r="AK32" s="71"/>
      <c r="AL32" s="71"/>
      <c r="AM32" s="71"/>
      <c r="AN32" s="71"/>
      <c r="AO32" s="71"/>
      <c r="AP32" s="71"/>
      <c r="AQ32" s="71"/>
    </row>
    <row r="33" spans="2:43" ht="21.65" customHeight="1" x14ac:dyDescent="0.35">
      <c r="I33" s="2" t="s">
        <v>146</v>
      </c>
      <c r="N33" s="164">
        <f>N32/N29</f>
        <v>0.95085319949811797</v>
      </c>
      <c r="R33" s="68"/>
      <c r="S33" s="36"/>
      <c r="AC33" s="71"/>
      <c r="AD33" s="71"/>
      <c r="AE33" s="71"/>
      <c r="AF33" s="71"/>
      <c r="AG33" s="71"/>
      <c r="AH33" s="71"/>
      <c r="AI33" s="71"/>
      <c r="AJ33" s="71"/>
      <c r="AK33" s="71"/>
      <c r="AL33" s="71"/>
      <c r="AM33" s="71"/>
      <c r="AN33" s="71"/>
      <c r="AO33" s="71"/>
      <c r="AP33" s="71"/>
      <c r="AQ33" s="71"/>
    </row>
    <row r="34" spans="2:43" ht="21.65" customHeight="1" x14ac:dyDescent="0.3">
      <c r="I34" s="2" t="s">
        <v>147</v>
      </c>
      <c r="N34" s="2">
        <f>52.299+3.113</f>
        <v>55.411999999999999</v>
      </c>
      <c r="AC34" s="71"/>
      <c r="AD34" s="71"/>
      <c r="AE34" s="71"/>
      <c r="AF34" s="71"/>
      <c r="AG34" s="71"/>
      <c r="AH34" s="71"/>
      <c r="AI34" s="71"/>
      <c r="AJ34" s="71"/>
      <c r="AK34" s="71"/>
      <c r="AL34" s="71"/>
      <c r="AM34" s="71"/>
      <c r="AN34" s="71"/>
      <c r="AO34" s="71"/>
      <c r="AP34" s="71"/>
      <c r="AQ34" s="71"/>
    </row>
    <row r="35" spans="2:43" ht="21.65" customHeight="1" x14ac:dyDescent="0.3">
      <c r="I35" s="2" t="s">
        <v>325</v>
      </c>
      <c r="N35" s="2">
        <f>16.958+3.413</f>
        <v>20.370999999999999</v>
      </c>
      <c r="AC35" s="71"/>
      <c r="AD35" s="71"/>
      <c r="AE35" s="71"/>
      <c r="AF35" s="71"/>
      <c r="AG35" s="71"/>
      <c r="AH35" s="71"/>
      <c r="AI35" s="71"/>
      <c r="AJ35" s="71"/>
      <c r="AK35" s="71"/>
      <c r="AL35" s="71"/>
      <c r="AM35" s="71"/>
      <c r="AN35" s="71"/>
      <c r="AO35" s="71"/>
      <c r="AP35" s="71"/>
      <c r="AQ35" s="71"/>
    </row>
    <row r="36" spans="2:43" ht="21.65" customHeight="1" x14ac:dyDescent="0.3">
      <c r="I36" s="2" t="s">
        <v>331</v>
      </c>
      <c r="N36" s="164">
        <f>N35/(N35+N34)</f>
        <v>0.26880698837470141</v>
      </c>
      <c r="AC36" s="71"/>
      <c r="AD36" s="71"/>
      <c r="AE36" s="71"/>
      <c r="AF36" s="71"/>
      <c r="AG36" s="71"/>
      <c r="AH36" s="71"/>
      <c r="AI36" s="71"/>
      <c r="AJ36" s="71"/>
      <c r="AK36" s="71"/>
      <c r="AL36" s="71"/>
      <c r="AM36" s="71"/>
      <c r="AN36" s="71"/>
      <c r="AO36" s="71"/>
      <c r="AP36" s="71"/>
      <c r="AQ36" s="71"/>
    </row>
    <row r="37" spans="2:43" ht="14.65" customHeight="1" x14ac:dyDescent="0.3">
      <c r="B37" s="2" t="s">
        <v>144</v>
      </c>
      <c r="C37" s="60">
        <f>N34</f>
        <v>55.411999999999999</v>
      </c>
      <c r="AC37" s="71"/>
      <c r="AD37" s="71"/>
      <c r="AE37" s="71"/>
      <c r="AF37" s="71"/>
      <c r="AG37" s="71"/>
      <c r="AH37" s="71"/>
      <c r="AI37" s="71"/>
      <c r="AJ37" s="71"/>
      <c r="AK37" s="71"/>
      <c r="AL37" s="71"/>
      <c r="AM37" s="71"/>
      <c r="AN37" s="71"/>
      <c r="AO37" s="71"/>
      <c r="AP37" s="71"/>
      <c r="AQ37" s="71"/>
    </row>
    <row r="38" spans="2:43" ht="14.65" customHeight="1" x14ac:dyDescent="0.3">
      <c r="B38" s="2" t="s">
        <v>143</v>
      </c>
      <c r="C38" s="61">
        <v>0.1</v>
      </c>
      <c r="AC38" s="71"/>
      <c r="AD38" s="71"/>
      <c r="AE38" s="71"/>
      <c r="AF38" s="71"/>
      <c r="AG38" s="71"/>
      <c r="AH38" s="71"/>
      <c r="AI38" s="71"/>
      <c r="AJ38" s="71"/>
      <c r="AK38" s="71"/>
      <c r="AL38" s="71"/>
      <c r="AM38" s="71"/>
      <c r="AN38" s="71"/>
      <c r="AO38" s="71"/>
      <c r="AP38" s="71"/>
      <c r="AQ38" s="71"/>
    </row>
    <row r="39" spans="2:43" ht="14.65" customHeight="1" x14ac:dyDescent="0.3">
      <c r="AC39" s="71"/>
      <c r="AD39" s="71"/>
      <c r="AE39" s="71"/>
      <c r="AF39" s="71"/>
      <c r="AG39" s="71"/>
      <c r="AH39" s="71"/>
      <c r="AI39" s="71"/>
      <c r="AJ39" s="71"/>
      <c r="AK39" s="71"/>
      <c r="AL39" s="71"/>
      <c r="AM39" s="71"/>
      <c r="AN39" s="71"/>
      <c r="AO39" s="71"/>
      <c r="AP39" s="71"/>
      <c r="AQ39" s="71"/>
    </row>
    <row r="40" spans="2:43" ht="15.65" customHeight="1" x14ac:dyDescent="0.3">
      <c r="B40" s="6"/>
      <c r="AC40" s="71"/>
      <c r="AD40" s="71"/>
      <c r="AE40" s="71"/>
      <c r="AF40" s="71"/>
      <c r="AG40" s="71"/>
      <c r="AH40" s="71"/>
      <c r="AI40" s="71"/>
      <c r="AJ40" s="71"/>
      <c r="AK40" s="71"/>
      <c r="AL40" s="71"/>
      <c r="AM40" s="71"/>
      <c r="AN40" s="71"/>
      <c r="AO40" s="71"/>
      <c r="AP40" s="71"/>
      <c r="AQ40" s="71"/>
    </row>
    <row r="41" spans="2:43" ht="14.65" customHeight="1" x14ac:dyDescent="0.3">
      <c r="AC41" s="71"/>
      <c r="AD41" s="71"/>
      <c r="AE41" s="71"/>
      <c r="AF41" s="71"/>
      <c r="AG41" s="71"/>
      <c r="AH41" s="71"/>
      <c r="AI41" s="71"/>
      <c r="AJ41" s="71"/>
      <c r="AK41" s="71"/>
      <c r="AL41" s="71"/>
      <c r="AM41" s="71"/>
      <c r="AN41" s="71"/>
      <c r="AO41" s="71"/>
      <c r="AP41" s="71"/>
      <c r="AQ41" s="71"/>
    </row>
    <row r="42" spans="2:43" ht="15.65" customHeight="1" x14ac:dyDescent="0.3">
      <c r="AC42" s="71"/>
      <c r="AD42" s="71"/>
      <c r="AE42" s="71"/>
      <c r="AF42" s="71"/>
      <c r="AG42" s="71"/>
      <c r="AH42" s="71"/>
      <c r="AI42" s="71"/>
      <c r="AJ42" s="71"/>
      <c r="AK42" s="71"/>
      <c r="AL42" s="71"/>
      <c r="AM42" s="71"/>
      <c r="AN42" s="71"/>
      <c r="AO42" s="71"/>
      <c r="AP42" s="71"/>
      <c r="AQ42" s="71"/>
    </row>
    <row r="43" spans="2:43" ht="15.65" customHeight="1" x14ac:dyDescent="0.3">
      <c r="AC43" s="71"/>
      <c r="AD43" s="71"/>
      <c r="AE43" s="71"/>
      <c r="AF43" s="71"/>
      <c r="AG43" s="71"/>
      <c r="AH43" s="71"/>
      <c r="AI43" s="71"/>
      <c r="AJ43" s="71"/>
      <c r="AK43" s="71"/>
      <c r="AL43" s="71"/>
      <c r="AM43" s="71"/>
      <c r="AN43" s="71"/>
      <c r="AO43" s="71"/>
      <c r="AP43" s="71"/>
      <c r="AQ43" s="71"/>
    </row>
    <row r="44" spans="2:43" ht="15.65" customHeight="1" x14ac:dyDescent="0.3">
      <c r="AC44" s="71"/>
      <c r="AD44" s="71"/>
      <c r="AE44" s="71"/>
      <c r="AF44" s="71"/>
      <c r="AG44" s="71"/>
      <c r="AH44" s="71"/>
      <c r="AI44" s="71"/>
      <c r="AJ44" s="71"/>
      <c r="AK44" s="71"/>
      <c r="AL44" s="71"/>
      <c r="AM44" s="71"/>
      <c r="AN44" s="71"/>
      <c r="AO44" s="71"/>
      <c r="AP44" s="71"/>
      <c r="AQ44" s="71"/>
    </row>
    <row r="45" spans="2:43" ht="15.65" customHeight="1" x14ac:dyDescent="0.3">
      <c r="AC45" s="71"/>
      <c r="AD45" s="71"/>
      <c r="AE45" s="71"/>
      <c r="AF45" s="71"/>
      <c r="AG45" s="71"/>
      <c r="AH45" s="71"/>
      <c r="AI45" s="71"/>
      <c r="AJ45" s="71"/>
      <c r="AK45" s="71"/>
      <c r="AL45" s="71"/>
      <c r="AM45" s="71"/>
      <c r="AN45" s="71"/>
      <c r="AO45" s="71"/>
      <c r="AP45" s="71"/>
      <c r="AQ45" s="71"/>
    </row>
    <row r="46" spans="2:43" ht="15.65" customHeight="1" x14ac:dyDescent="0.3">
      <c r="AC46" s="71"/>
      <c r="AD46" s="71"/>
      <c r="AE46" s="71"/>
      <c r="AF46" s="71"/>
      <c r="AG46" s="71"/>
      <c r="AH46" s="71"/>
      <c r="AI46" s="71"/>
      <c r="AJ46" s="71"/>
      <c r="AK46" s="71"/>
      <c r="AL46" s="71"/>
      <c r="AM46" s="71"/>
      <c r="AN46" s="71"/>
      <c r="AO46" s="71"/>
      <c r="AP46" s="71"/>
      <c r="AQ46" s="71"/>
    </row>
    <row r="47" spans="2:43" ht="15.65" customHeight="1" x14ac:dyDescent="0.3">
      <c r="AC47" s="71"/>
      <c r="AD47" s="71"/>
      <c r="AE47" s="71"/>
      <c r="AF47" s="71"/>
      <c r="AG47" s="71"/>
      <c r="AH47" s="71"/>
      <c r="AI47" s="71"/>
      <c r="AJ47" s="71"/>
      <c r="AK47" s="71"/>
      <c r="AL47" s="71"/>
      <c r="AM47" s="71"/>
      <c r="AN47" s="71"/>
      <c r="AO47" s="71"/>
      <c r="AP47" s="71"/>
      <c r="AQ47" s="71"/>
    </row>
    <row r="48" spans="2:43" ht="14.65" customHeight="1" x14ac:dyDescent="0.3">
      <c r="AC48" s="71"/>
      <c r="AD48" s="71"/>
      <c r="AE48" s="71"/>
      <c r="AF48" s="71"/>
      <c r="AG48" s="71"/>
      <c r="AH48" s="71"/>
      <c r="AI48" s="71"/>
      <c r="AJ48" s="71"/>
      <c r="AK48" s="71"/>
      <c r="AL48" s="71"/>
      <c r="AM48" s="71"/>
      <c r="AN48" s="71"/>
      <c r="AO48" s="71"/>
      <c r="AP48" s="71"/>
      <c r="AQ48" s="71"/>
    </row>
    <row r="49" spans="29:43" ht="15.65" customHeight="1" x14ac:dyDescent="0.3">
      <c r="AC49" s="71"/>
      <c r="AD49" s="71"/>
      <c r="AE49" s="71"/>
      <c r="AF49" s="71"/>
      <c r="AG49" s="71"/>
      <c r="AH49" s="71"/>
      <c r="AI49" s="71"/>
      <c r="AJ49" s="71"/>
      <c r="AK49" s="71"/>
      <c r="AL49" s="71"/>
      <c r="AM49" s="71"/>
      <c r="AN49" s="71"/>
      <c r="AO49" s="71"/>
      <c r="AP49" s="71"/>
      <c r="AQ49" s="71"/>
    </row>
    <row r="50" spans="29:43" x14ac:dyDescent="0.3">
      <c r="AC50" s="71"/>
      <c r="AD50" s="71"/>
      <c r="AE50" s="71"/>
      <c r="AF50" s="71"/>
      <c r="AG50" s="71"/>
      <c r="AH50" s="71"/>
      <c r="AI50" s="71"/>
      <c r="AJ50" s="71"/>
      <c r="AK50" s="71"/>
      <c r="AL50" s="71"/>
      <c r="AM50" s="71"/>
      <c r="AN50" s="71"/>
      <c r="AO50" s="71"/>
      <c r="AP50" s="71"/>
      <c r="AQ50" s="71"/>
    </row>
    <row r="51" spans="29:43" x14ac:dyDescent="0.3">
      <c r="AC51" s="71"/>
      <c r="AD51" s="71"/>
      <c r="AE51" s="71"/>
      <c r="AF51" s="71"/>
      <c r="AG51" s="71"/>
      <c r="AH51" s="71"/>
      <c r="AI51" s="71"/>
      <c r="AJ51" s="71"/>
      <c r="AK51" s="71"/>
      <c r="AL51" s="71"/>
      <c r="AM51" s="71"/>
      <c r="AN51" s="71"/>
      <c r="AO51" s="71"/>
      <c r="AP51" s="71"/>
      <c r="AQ51" s="71"/>
    </row>
    <row r="52" spans="29:43" x14ac:dyDescent="0.3">
      <c r="AC52" s="71"/>
      <c r="AD52" s="71"/>
      <c r="AE52" s="71"/>
      <c r="AF52" s="71"/>
      <c r="AG52" s="71"/>
      <c r="AH52" s="71"/>
      <c r="AI52" s="71"/>
      <c r="AJ52" s="71"/>
      <c r="AK52" s="71"/>
      <c r="AL52" s="71"/>
      <c r="AM52" s="71"/>
      <c r="AN52" s="71"/>
      <c r="AO52" s="71"/>
      <c r="AP52" s="71"/>
      <c r="AQ52" s="71"/>
    </row>
    <row r="53" spans="29:43" x14ac:dyDescent="0.3">
      <c r="AC53" s="71"/>
      <c r="AD53" s="71"/>
      <c r="AE53" s="71"/>
      <c r="AF53" s="71"/>
      <c r="AG53" s="71"/>
      <c r="AH53" s="71"/>
      <c r="AI53" s="71"/>
      <c r="AJ53" s="71"/>
      <c r="AK53" s="71"/>
      <c r="AL53" s="71"/>
      <c r="AM53" s="71"/>
      <c r="AN53" s="71"/>
      <c r="AO53" s="71"/>
      <c r="AP53" s="71"/>
      <c r="AQ53" s="71"/>
    </row>
    <row r="54" spans="29:43" x14ac:dyDescent="0.3">
      <c r="AC54" s="71"/>
      <c r="AD54" s="71"/>
      <c r="AE54" s="71"/>
      <c r="AF54" s="71"/>
      <c r="AG54" s="71"/>
      <c r="AH54" s="71"/>
      <c r="AI54" s="71"/>
      <c r="AJ54" s="71"/>
      <c r="AK54" s="71"/>
      <c r="AL54" s="71"/>
      <c r="AM54" s="71"/>
      <c r="AN54" s="71"/>
      <c r="AO54" s="71"/>
      <c r="AP54" s="71"/>
      <c r="AQ54" s="71"/>
    </row>
    <row r="55" spans="29:43" x14ac:dyDescent="0.3">
      <c r="AC55" s="71"/>
      <c r="AD55" s="71"/>
      <c r="AE55" s="71"/>
      <c r="AF55" s="71"/>
      <c r="AG55" s="71"/>
      <c r="AH55" s="71"/>
      <c r="AI55" s="71"/>
      <c r="AJ55" s="71"/>
      <c r="AK55" s="71"/>
      <c r="AL55" s="71"/>
      <c r="AM55" s="71"/>
      <c r="AN55" s="71"/>
      <c r="AO55" s="71"/>
      <c r="AP55" s="71"/>
      <c r="AQ55" s="71"/>
    </row>
    <row r="56" spans="29:43" x14ac:dyDescent="0.3">
      <c r="AC56" s="71"/>
      <c r="AD56" s="71"/>
      <c r="AE56" s="71"/>
      <c r="AF56" s="71"/>
      <c r="AG56" s="71"/>
      <c r="AH56" s="71"/>
      <c r="AI56" s="71"/>
      <c r="AJ56" s="71"/>
      <c r="AK56" s="71"/>
      <c r="AL56" s="71"/>
      <c r="AM56" s="71"/>
      <c r="AN56" s="71"/>
      <c r="AO56" s="71"/>
      <c r="AP56" s="71"/>
      <c r="AQ56" s="71"/>
    </row>
    <row r="57" spans="29:43" x14ac:dyDescent="0.3">
      <c r="AC57" s="71"/>
      <c r="AD57" s="71"/>
      <c r="AE57" s="71"/>
      <c r="AF57" s="71"/>
      <c r="AG57" s="71"/>
      <c r="AH57" s="71"/>
      <c r="AI57" s="71"/>
      <c r="AJ57" s="71"/>
      <c r="AK57" s="71"/>
      <c r="AL57" s="71"/>
      <c r="AM57" s="71"/>
      <c r="AN57" s="71"/>
      <c r="AO57" s="71"/>
      <c r="AP57" s="71"/>
      <c r="AQ57" s="71"/>
    </row>
    <row r="58" spans="29:43" x14ac:dyDescent="0.3">
      <c r="AC58" s="71"/>
      <c r="AD58" s="71"/>
      <c r="AE58" s="71"/>
      <c r="AF58" s="71"/>
      <c r="AG58" s="71"/>
      <c r="AH58" s="71"/>
      <c r="AI58" s="71"/>
      <c r="AJ58" s="71"/>
      <c r="AK58" s="71"/>
      <c r="AL58" s="71"/>
      <c r="AM58" s="71"/>
      <c r="AN58" s="71"/>
      <c r="AO58" s="71"/>
      <c r="AP58" s="71"/>
      <c r="AQ58" s="71"/>
    </row>
    <row r="59" spans="29:43" x14ac:dyDescent="0.3">
      <c r="AC59" s="71"/>
      <c r="AD59" s="71"/>
      <c r="AE59" s="71"/>
      <c r="AF59" s="71"/>
      <c r="AG59" s="71"/>
      <c r="AH59" s="71"/>
      <c r="AI59" s="71"/>
      <c r="AJ59" s="71"/>
      <c r="AK59" s="71"/>
      <c r="AL59" s="71"/>
      <c r="AM59" s="71"/>
      <c r="AN59" s="71"/>
      <c r="AO59" s="71"/>
      <c r="AP59" s="71"/>
      <c r="AQ59" s="71"/>
    </row>
    <row r="60" spans="29:43" x14ac:dyDescent="0.3">
      <c r="AC60" s="71"/>
      <c r="AD60" s="71"/>
      <c r="AE60" s="71"/>
      <c r="AF60" s="71"/>
      <c r="AG60" s="71"/>
      <c r="AH60" s="71"/>
      <c r="AI60" s="71"/>
      <c r="AJ60" s="71"/>
      <c r="AK60" s="71"/>
      <c r="AL60" s="71"/>
      <c r="AM60" s="71"/>
      <c r="AN60" s="71"/>
      <c r="AO60" s="71"/>
      <c r="AP60" s="71"/>
      <c r="AQ60" s="71"/>
    </row>
    <row r="61" spans="29:43" x14ac:dyDescent="0.3">
      <c r="AC61" s="71"/>
      <c r="AD61" s="71"/>
      <c r="AE61" s="71"/>
      <c r="AF61" s="71"/>
      <c r="AG61" s="71"/>
      <c r="AH61" s="71"/>
      <c r="AI61" s="71"/>
      <c r="AJ61" s="71"/>
      <c r="AK61" s="71"/>
      <c r="AL61" s="71"/>
      <c r="AM61" s="71"/>
      <c r="AN61" s="71"/>
      <c r="AO61" s="71"/>
      <c r="AP61" s="71"/>
      <c r="AQ61" s="71"/>
    </row>
    <row r="62" spans="29:43" x14ac:dyDescent="0.3">
      <c r="AC62" s="71"/>
      <c r="AD62" s="71"/>
      <c r="AE62" s="71"/>
      <c r="AF62" s="71"/>
      <c r="AG62" s="71"/>
      <c r="AH62" s="71"/>
      <c r="AI62" s="71"/>
      <c r="AJ62" s="71"/>
      <c r="AK62" s="71"/>
      <c r="AL62" s="71"/>
      <c r="AM62" s="71"/>
      <c r="AN62" s="71"/>
      <c r="AO62" s="71"/>
      <c r="AP62" s="71"/>
      <c r="AQ62" s="71"/>
    </row>
    <row r="63" spans="29:43" x14ac:dyDescent="0.3">
      <c r="AC63" s="71"/>
      <c r="AD63" s="71"/>
      <c r="AE63" s="71"/>
      <c r="AF63" s="71"/>
      <c r="AG63" s="71"/>
      <c r="AH63" s="71"/>
      <c r="AI63" s="71"/>
      <c r="AJ63" s="71"/>
      <c r="AK63" s="71"/>
      <c r="AL63" s="71"/>
      <c r="AM63" s="71"/>
      <c r="AN63" s="71"/>
      <c r="AO63" s="71"/>
      <c r="AP63" s="71"/>
      <c r="AQ63" s="71"/>
    </row>
    <row r="64" spans="29:43" x14ac:dyDescent="0.3">
      <c r="AC64" s="71"/>
      <c r="AD64" s="71"/>
      <c r="AE64" s="71"/>
      <c r="AF64" s="71"/>
      <c r="AG64" s="71"/>
      <c r="AH64" s="71"/>
      <c r="AI64" s="71"/>
      <c r="AJ64" s="71"/>
      <c r="AK64" s="71"/>
      <c r="AL64" s="71"/>
      <c r="AM64" s="71"/>
      <c r="AN64" s="71"/>
      <c r="AO64" s="71"/>
      <c r="AP64" s="71"/>
      <c r="AQ64" s="71"/>
    </row>
    <row r="65" spans="29:43" x14ac:dyDescent="0.3">
      <c r="AC65" s="71"/>
      <c r="AD65" s="71"/>
      <c r="AE65" s="71"/>
      <c r="AF65" s="71"/>
      <c r="AG65" s="71"/>
      <c r="AH65" s="71"/>
      <c r="AI65" s="71"/>
      <c r="AJ65" s="71"/>
      <c r="AK65" s="71"/>
      <c r="AL65" s="71"/>
      <c r="AM65" s="71"/>
      <c r="AN65" s="71"/>
      <c r="AO65" s="71"/>
      <c r="AP65" s="71"/>
      <c r="AQ65" s="71"/>
    </row>
    <row r="66" spans="29:43" x14ac:dyDescent="0.3">
      <c r="AC66" s="71"/>
      <c r="AD66" s="71"/>
      <c r="AE66" s="71"/>
      <c r="AF66" s="71"/>
      <c r="AG66" s="71"/>
      <c r="AH66" s="71"/>
      <c r="AI66" s="71"/>
      <c r="AJ66" s="71"/>
      <c r="AK66" s="71"/>
      <c r="AL66" s="71"/>
      <c r="AM66" s="71"/>
      <c r="AN66" s="71"/>
      <c r="AO66" s="71"/>
      <c r="AP66" s="71"/>
      <c r="AQ66" s="71"/>
    </row>
    <row r="67" spans="29:43" x14ac:dyDescent="0.3">
      <c r="AC67" s="71"/>
      <c r="AD67" s="71"/>
      <c r="AE67" s="71"/>
      <c r="AF67" s="71"/>
      <c r="AG67" s="71"/>
      <c r="AH67" s="71"/>
      <c r="AI67" s="71"/>
      <c r="AJ67" s="71"/>
      <c r="AK67" s="71"/>
      <c r="AL67" s="71"/>
      <c r="AM67" s="71"/>
      <c r="AN67" s="71"/>
      <c r="AO67" s="71"/>
      <c r="AP67" s="71"/>
      <c r="AQ67" s="71"/>
    </row>
    <row r="68" spans="29:43" x14ac:dyDescent="0.3">
      <c r="AC68" s="71"/>
      <c r="AD68" s="71"/>
      <c r="AE68" s="71"/>
      <c r="AF68" s="71"/>
      <c r="AG68" s="71"/>
      <c r="AH68" s="71"/>
      <c r="AI68" s="71"/>
      <c r="AJ68" s="71"/>
      <c r="AK68" s="71"/>
      <c r="AL68" s="71"/>
      <c r="AM68" s="71"/>
      <c r="AN68" s="71"/>
      <c r="AO68" s="71"/>
      <c r="AP68" s="71"/>
      <c r="AQ68" s="71"/>
    </row>
    <row r="69" spans="29:43" x14ac:dyDescent="0.3">
      <c r="AC69" s="71"/>
      <c r="AD69" s="71"/>
      <c r="AE69" s="71"/>
      <c r="AF69" s="71"/>
      <c r="AG69" s="71"/>
      <c r="AH69" s="71"/>
      <c r="AI69" s="71"/>
      <c r="AJ69" s="71"/>
      <c r="AK69" s="71"/>
      <c r="AL69" s="71"/>
      <c r="AM69" s="71"/>
      <c r="AN69" s="71"/>
      <c r="AO69" s="71"/>
      <c r="AP69" s="71"/>
      <c r="AQ69" s="71"/>
    </row>
    <row r="70" spans="29:43" x14ac:dyDescent="0.3">
      <c r="AC70" s="71"/>
      <c r="AD70" s="71"/>
      <c r="AE70" s="71"/>
      <c r="AF70" s="71"/>
      <c r="AG70" s="71"/>
      <c r="AH70" s="71"/>
      <c r="AI70" s="71"/>
      <c r="AJ70" s="71"/>
      <c r="AK70" s="71"/>
      <c r="AL70" s="71"/>
      <c r="AM70" s="71"/>
      <c r="AN70" s="71"/>
      <c r="AO70" s="71"/>
      <c r="AP70" s="71"/>
      <c r="AQ70" s="71"/>
    </row>
    <row r="71" spans="29:43" x14ac:dyDescent="0.3">
      <c r="AC71" s="71"/>
      <c r="AD71" s="71"/>
      <c r="AE71" s="71"/>
      <c r="AF71" s="71"/>
      <c r="AG71" s="71"/>
      <c r="AH71" s="71"/>
      <c r="AI71" s="71"/>
      <c r="AJ71" s="71"/>
      <c r="AK71" s="71"/>
      <c r="AL71" s="71"/>
      <c r="AM71" s="71"/>
      <c r="AN71" s="71"/>
      <c r="AO71" s="71"/>
      <c r="AP71" s="71"/>
      <c r="AQ71" s="71"/>
    </row>
    <row r="72" spans="29:43" x14ac:dyDescent="0.3">
      <c r="AC72" s="71"/>
      <c r="AD72" s="71"/>
      <c r="AE72" s="71"/>
      <c r="AF72" s="71"/>
      <c r="AG72" s="71"/>
      <c r="AH72" s="71"/>
      <c r="AI72" s="71"/>
      <c r="AJ72" s="71"/>
      <c r="AK72" s="71"/>
      <c r="AL72" s="71"/>
      <c r="AM72" s="71"/>
      <c r="AN72" s="71"/>
      <c r="AO72" s="71"/>
      <c r="AP72" s="71"/>
      <c r="AQ72" s="71"/>
    </row>
    <row r="73" spans="29:43" x14ac:dyDescent="0.3">
      <c r="AC73" s="71"/>
      <c r="AD73" s="71"/>
      <c r="AE73" s="71"/>
      <c r="AF73" s="71"/>
      <c r="AG73" s="71"/>
      <c r="AH73" s="71"/>
      <c r="AI73" s="71"/>
      <c r="AJ73" s="71"/>
      <c r="AK73" s="71"/>
      <c r="AL73" s="71"/>
      <c r="AM73" s="71"/>
      <c r="AN73" s="71"/>
      <c r="AO73" s="71"/>
      <c r="AP73" s="71"/>
      <c r="AQ73" s="71"/>
    </row>
    <row r="74" spans="29:43" x14ac:dyDescent="0.3">
      <c r="AC74" s="71"/>
      <c r="AD74" s="71"/>
      <c r="AE74" s="71"/>
      <c r="AF74" s="71"/>
      <c r="AG74" s="71"/>
      <c r="AH74" s="71"/>
      <c r="AI74" s="71"/>
      <c r="AJ74" s="71"/>
      <c r="AK74" s="71"/>
      <c r="AL74" s="71"/>
      <c r="AM74" s="71"/>
      <c r="AN74" s="71"/>
      <c r="AO74" s="71"/>
      <c r="AP74" s="71"/>
      <c r="AQ74" s="71"/>
    </row>
    <row r="75" spans="29:43" x14ac:dyDescent="0.3">
      <c r="AC75" s="71"/>
      <c r="AD75" s="71"/>
      <c r="AE75" s="71"/>
      <c r="AF75" s="71"/>
      <c r="AG75" s="71"/>
      <c r="AH75" s="71"/>
      <c r="AI75" s="71"/>
      <c r="AJ75" s="71"/>
      <c r="AK75" s="71"/>
      <c r="AL75" s="71"/>
      <c r="AM75" s="71"/>
      <c r="AN75" s="71"/>
      <c r="AO75" s="71"/>
      <c r="AP75" s="71"/>
      <c r="AQ75" s="71"/>
    </row>
    <row r="76" spans="29:43" x14ac:dyDescent="0.3">
      <c r="AC76" s="71"/>
      <c r="AD76" s="71"/>
      <c r="AE76" s="71"/>
      <c r="AF76" s="71"/>
      <c r="AG76" s="71"/>
      <c r="AH76" s="71"/>
      <c r="AI76" s="71"/>
      <c r="AJ76" s="71"/>
      <c r="AK76" s="71"/>
      <c r="AL76" s="71"/>
      <c r="AM76" s="71"/>
      <c r="AN76" s="71"/>
      <c r="AO76" s="71"/>
      <c r="AP76" s="71"/>
      <c r="AQ76" s="71"/>
    </row>
    <row r="77" spans="29:43" x14ac:dyDescent="0.3">
      <c r="AC77" s="71"/>
      <c r="AD77" s="71"/>
      <c r="AE77" s="71"/>
      <c r="AF77" s="71"/>
      <c r="AG77" s="71"/>
      <c r="AH77" s="71"/>
      <c r="AI77" s="71"/>
      <c r="AJ77" s="71"/>
      <c r="AK77" s="71"/>
      <c r="AL77" s="71"/>
      <c r="AM77" s="71"/>
      <c r="AN77" s="71"/>
      <c r="AO77" s="71"/>
      <c r="AP77" s="71"/>
      <c r="AQ77" s="71"/>
    </row>
    <row r="78" spans="29:43" x14ac:dyDescent="0.3">
      <c r="AC78" s="71"/>
      <c r="AD78" s="71"/>
      <c r="AE78" s="71"/>
      <c r="AF78" s="71"/>
      <c r="AG78" s="71"/>
      <c r="AH78" s="71"/>
      <c r="AI78" s="71"/>
      <c r="AJ78" s="71"/>
      <c r="AK78" s="71"/>
      <c r="AL78" s="71"/>
      <c r="AM78" s="71"/>
      <c r="AN78" s="71"/>
      <c r="AO78" s="71"/>
      <c r="AP78" s="71"/>
      <c r="AQ78" s="71"/>
    </row>
    <row r="79" spans="29:43" x14ac:dyDescent="0.3">
      <c r="AC79" s="71"/>
      <c r="AD79" s="71"/>
      <c r="AE79" s="71"/>
      <c r="AF79" s="71"/>
      <c r="AG79" s="71"/>
      <c r="AH79" s="71"/>
      <c r="AI79" s="71"/>
      <c r="AJ79" s="71"/>
      <c r="AK79" s="71"/>
      <c r="AL79" s="71"/>
      <c r="AM79" s="71"/>
      <c r="AN79" s="71"/>
      <c r="AO79" s="71"/>
      <c r="AP79" s="71"/>
      <c r="AQ79" s="71"/>
    </row>
    <row r="80" spans="29:43" x14ac:dyDescent="0.3">
      <c r="AC80" s="71"/>
      <c r="AD80" s="71"/>
      <c r="AE80" s="71"/>
      <c r="AF80" s="71"/>
      <c r="AG80" s="71"/>
      <c r="AH80" s="71"/>
      <c r="AI80" s="71"/>
      <c r="AJ80" s="71"/>
      <c r="AK80" s="71"/>
      <c r="AL80" s="71"/>
      <c r="AM80" s="71"/>
      <c r="AN80" s="71"/>
      <c r="AO80" s="71"/>
      <c r="AP80" s="71"/>
      <c r="AQ80" s="71"/>
    </row>
    <row r="81" spans="29:43" x14ac:dyDescent="0.3">
      <c r="AC81" s="71"/>
      <c r="AD81" s="71"/>
      <c r="AE81" s="71"/>
      <c r="AF81" s="71"/>
      <c r="AG81" s="71"/>
      <c r="AH81" s="71"/>
      <c r="AI81" s="71"/>
      <c r="AJ81" s="71"/>
      <c r="AK81" s="71"/>
      <c r="AL81" s="71"/>
      <c r="AM81" s="71"/>
      <c r="AN81" s="71"/>
      <c r="AO81" s="71"/>
      <c r="AP81" s="71"/>
      <c r="AQ81" s="71"/>
    </row>
    <row r="82" spans="29:43" x14ac:dyDescent="0.3">
      <c r="AC82" s="71"/>
      <c r="AD82" s="71"/>
      <c r="AE82" s="71"/>
      <c r="AF82" s="71"/>
      <c r="AG82" s="71"/>
      <c r="AH82" s="71"/>
      <c r="AI82" s="71"/>
      <c r="AJ82" s="71"/>
      <c r="AK82" s="71"/>
      <c r="AL82" s="71"/>
      <c r="AM82" s="71"/>
      <c r="AN82" s="71"/>
      <c r="AO82" s="71"/>
      <c r="AP82" s="71"/>
      <c r="AQ82" s="71"/>
    </row>
    <row r="83" spans="29:43" x14ac:dyDescent="0.3">
      <c r="AC83" s="71"/>
      <c r="AD83" s="71"/>
      <c r="AE83" s="71"/>
      <c r="AF83" s="71"/>
      <c r="AG83" s="71"/>
      <c r="AH83" s="71"/>
      <c r="AI83" s="71"/>
      <c r="AJ83" s="71"/>
      <c r="AK83" s="71"/>
      <c r="AL83" s="71"/>
      <c r="AM83" s="71"/>
      <c r="AN83" s="71"/>
      <c r="AO83" s="71"/>
      <c r="AP83" s="71"/>
      <c r="AQ83" s="71"/>
    </row>
    <row r="84" spans="29:43" x14ac:dyDescent="0.3">
      <c r="AC84" s="71"/>
      <c r="AD84" s="71"/>
      <c r="AE84" s="71"/>
      <c r="AF84" s="71"/>
      <c r="AG84" s="71"/>
      <c r="AH84" s="71"/>
      <c r="AI84" s="71"/>
      <c r="AJ84" s="71"/>
      <c r="AK84" s="71"/>
      <c r="AL84" s="71"/>
      <c r="AM84" s="71"/>
      <c r="AN84" s="71"/>
      <c r="AO84" s="71"/>
      <c r="AP84" s="71"/>
      <c r="AQ84" s="71"/>
    </row>
  </sheetData>
  <sortState ref="X33:AC58">
    <sortCondition ref="X58"/>
  </sortState>
  <mergeCells count="16">
    <mergeCell ref="R12:R13"/>
    <mergeCell ref="K19:K20"/>
    <mergeCell ref="I12:I13"/>
    <mergeCell ref="J12:J13"/>
    <mergeCell ref="K12:K13"/>
    <mergeCell ref="L12:L13"/>
    <mergeCell ref="P12:P13"/>
    <mergeCell ref="R19:R21"/>
    <mergeCell ref="K22:K23"/>
    <mergeCell ref="R22:R23"/>
    <mergeCell ref="K24:K25"/>
    <mergeCell ref="K27:K28"/>
    <mergeCell ref="L27:L28"/>
    <mergeCell ref="M27:M28"/>
    <mergeCell ref="N27:N28"/>
    <mergeCell ref="R24:R25"/>
  </mergeCells>
  <dataValidations disablePrompts="1"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B1:O42"/>
  <sheetViews>
    <sheetView showGridLines="0" topLeftCell="A17" zoomScale="80" zoomScaleNormal="80" workbookViewId="0">
      <selection activeCell="L30" sqref="L30"/>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8.54296875" style="2" customWidth="1"/>
    <col min="6" max="6" width="26.54296875" style="2" customWidth="1"/>
    <col min="7" max="8" width="8.54296875" style="2" customWidth="1"/>
    <col min="9" max="9" width="19.54296875" style="2" customWidth="1"/>
    <col min="10" max="10" width="17.1796875" style="2" customWidth="1"/>
    <col min="11" max="12" width="8.54296875" style="2" customWidth="1"/>
    <col min="13" max="13" width="9.453125" style="2" customWidth="1"/>
    <col min="14" max="14" width="41" style="2" customWidth="1"/>
    <col min="15" max="15" width="42.453125" style="2" customWidth="1"/>
    <col min="16" max="16" width="8.81640625" style="2"/>
    <col min="17" max="17" width="15.81640625" style="2" customWidth="1"/>
    <col min="18" max="18" width="8.81640625" style="2"/>
    <col min="19" max="19" width="10.54296875" style="2" customWidth="1"/>
    <col min="20" max="16384" width="8.81640625" style="2"/>
  </cols>
  <sheetData>
    <row r="1" spans="2:15" s="44" customFormat="1" ht="18.5" x14ac:dyDescent="0.3">
      <c r="B1" s="1" t="s">
        <v>368</v>
      </c>
      <c r="C1" s="1"/>
      <c r="D1" s="1"/>
      <c r="E1" s="1"/>
      <c r="F1" s="1"/>
      <c r="G1" s="2"/>
      <c r="H1" s="42"/>
      <c r="I1" s="43"/>
    </row>
    <row r="2" spans="2:15" s="44" customFormat="1" ht="18.5" x14ac:dyDescent="0.3">
      <c r="B2" s="6"/>
      <c r="C2" s="45"/>
      <c r="D2" s="45"/>
      <c r="E2" s="2"/>
      <c r="F2" s="2"/>
      <c r="G2" s="2"/>
      <c r="H2" s="42"/>
      <c r="I2" s="43"/>
    </row>
    <row r="3" spans="2:15" s="44" customFormat="1" ht="18.5" x14ac:dyDescent="0.3">
      <c r="B3" s="6" t="s">
        <v>54</v>
      </c>
      <c r="C3" s="45"/>
      <c r="D3" s="2"/>
      <c r="E3" s="2"/>
      <c r="F3" s="2"/>
      <c r="G3" s="2"/>
      <c r="H3" s="42"/>
      <c r="I3" s="43"/>
    </row>
    <row r="4" spans="2:15" x14ac:dyDescent="0.3">
      <c r="B4" s="12" t="s">
        <v>22</v>
      </c>
      <c r="C4" s="13" t="s">
        <v>293</v>
      </c>
    </row>
    <row r="5" spans="2:15" x14ac:dyDescent="0.3">
      <c r="B5" s="12" t="s">
        <v>25</v>
      </c>
      <c r="C5" s="13" t="s">
        <v>369</v>
      </c>
    </row>
    <row r="6" spans="2:15" x14ac:dyDescent="0.3">
      <c r="B6" s="51" t="s">
        <v>18</v>
      </c>
      <c r="C6" s="52" t="s">
        <v>69</v>
      </c>
    </row>
    <row r="7" spans="2:15" x14ac:dyDescent="0.3">
      <c r="B7" s="51" t="s">
        <v>26</v>
      </c>
      <c r="C7" s="52" t="s">
        <v>39</v>
      </c>
    </row>
    <row r="8" spans="2:15" x14ac:dyDescent="0.3">
      <c r="B8" s="51" t="s">
        <v>74</v>
      </c>
      <c r="C8" s="48">
        <f>'Gates &amp; Shallow dive'!W37</f>
        <v>34.048999999999999</v>
      </c>
    </row>
    <row r="9" spans="2:15" x14ac:dyDescent="0.3">
      <c r="B9" s="48" t="s">
        <v>44</v>
      </c>
      <c r="C9" s="62">
        <f>(1-$C$38)*$C$37</f>
        <v>21.811643199999999</v>
      </c>
    </row>
    <row r="11" spans="2:15" x14ac:dyDescent="0.3">
      <c r="B11" s="6" t="s">
        <v>27</v>
      </c>
    </row>
    <row r="12" spans="2:15" x14ac:dyDescent="0.3">
      <c r="B12" s="54" t="s">
        <v>28</v>
      </c>
      <c r="F12" s="6" t="s">
        <v>29</v>
      </c>
      <c r="I12" s="2" t="s">
        <v>259</v>
      </c>
    </row>
    <row r="13" spans="2:15" ht="143" x14ac:dyDescent="0.3">
      <c r="B13" s="51" t="s">
        <v>30</v>
      </c>
      <c r="C13" s="51" t="s">
        <v>73</v>
      </c>
      <c r="D13" s="55" t="s">
        <v>410</v>
      </c>
      <c r="E13" s="5"/>
      <c r="F13" s="55" t="s">
        <v>334</v>
      </c>
      <c r="I13" s="56" t="s">
        <v>162</v>
      </c>
      <c r="J13" s="56" t="s">
        <v>164</v>
      </c>
      <c r="K13" s="56" t="s">
        <v>336</v>
      </c>
      <c r="L13" s="56" t="s">
        <v>198</v>
      </c>
      <c r="M13" s="56" t="s">
        <v>199</v>
      </c>
      <c r="N13" s="56" t="s">
        <v>163</v>
      </c>
      <c r="O13" s="56" t="s">
        <v>200</v>
      </c>
    </row>
    <row r="14" spans="2:15" ht="58" x14ac:dyDescent="0.3">
      <c r="B14" s="51" t="s">
        <v>32</v>
      </c>
      <c r="C14" s="51" t="s">
        <v>31</v>
      </c>
      <c r="D14" s="55"/>
      <c r="E14" s="5"/>
      <c r="F14" s="55"/>
      <c r="I14" s="57" t="s">
        <v>183</v>
      </c>
      <c r="J14" s="57"/>
      <c r="K14" s="57">
        <v>8.5500000000000007</v>
      </c>
      <c r="L14" s="57" t="s">
        <v>184</v>
      </c>
      <c r="M14" s="57" t="s">
        <v>201</v>
      </c>
      <c r="N14" s="57" t="s">
        <v>185</v>
      </c>
      <c r="O14" s="57" t="s">
        <v>175</v>
      </c>
    </row>
    <row r="15" spans="2:15" ht="29" x14ac:dyDescent="0.3">
      <c r="B15" s="51" t="s">
        <v>33</v>
      </c>
      <c r="C15" s="51" t="s">
        <v>43</v>
      </c>
      <c r="D15" s="55" t="s">
        <v>204</v>
      </c>
      <c r="E15" s="5"/>
      <c r="F15" s="55"/>
      <c r="I15" s="141" t="s">
        <v>192</v>
      </c>
      <c r="J15" s="141"/>
      <c r="K15" s="141"/>
      <c r="L15" s="141" t="s">
        <v>180</v>
      </c>
      <c r="M15" s="141" t="s">
        <v>201</v>
      </c>
      <c r="N15" s="141" t="s">
        <v>238</v>
      </c>
      <c r="O15" s="141" t="s">
        <v>193</v>
      </c>
    </row>
    <row r="16" spans="2:15" ht="138" customHeight="1" x14ac:dyDescent="0.3">
      <c r="B16" s="51" t="s">
        <v>34</v>
      </c>
      <c r="C16" s="38" t="s">
        <v>73</v>
      </c>
      <c r="D16" s="55" t="s">
        <v>410</v>
      </c>
      <c r="E16" s="5"/>
      <c r="F16" s="55" t="s">
        <v>260</v>
      </c>
      <c r="I16" s="141" t="s">
        <v>179</v>
      </c>
      <c r="J16" s="141"/>
      <c r="K16" s="141">
        <v>3.8</v>
      </c>
      <c r="L16" s="141" t="s">
        <v>180</v>
      </c>
      <c r="M16" s="141" t="s">
        <v>181</v>
      </c>
      <c r="N16" s="141" t="s">
        <v>239</v>
      </c>
      <c r="O16" s="141" t="s">
        <v>175</v>
      </c>
    </row>
    <row r="17" spans="2:15" ht="241.5" customHeight="1" x14ac:dyDescent="0.3">
      <c r="B17" s="51" t="s">
        <v>35</v>
      </c>
      <c r="C17" s="51" t="s">
        <v>73</v>
      </c>
      <c r="D17" s="55" t="s">
        <v>411</v>
      </c>
      <c r="E17" s="5"/>
      <c r="F17" s="55" t="s">
        <v>335</v>
      </c>
      <c r="I17" s="141" t="s">
        <v>171</v>
      </c>
      <c r="J17" s="141"/>
      <c r="K17" s="165">
        <v>1.763496</v>
      </c>
      <c r="L17" s="141" t="s">
        <v>172</v>
      </c>
      <c r="M17" s="141" t="s">
        <v>173</v>
      </c>
      <c r="N17" s="141" t="s">
        <v>174</v>
      </c>
      <c r="O17" s="141" t="s">
        <v>175</v>
      </c>
    </row>
    <row r="18" spans="2:15" ht="54" customHeight="1" x14ac:dyDescent="0.3">
      <c r="B18" s="51" t="s">
        <v>36</v>
      </c>
      <c r="C18" s="51" t="s">
        <v>43</v>
      </c>
      <c r="D18" s="55" t="s">
        <v>412</v>
      </c>
      <c r="E18" s="5"/>
      <c r="F18" s="55"/>
      <c r="I18" s="141" t="s">
        <v>176</v>
      </c>
      <c r="J18" s="141"/>
      <c r="K18" s="165">
        <v>1.0750660000000001</v>
      </c>
      <c r="L18" s="141" t="s">
        <v>172</v>
      </c>
      <c r="M18" s="141" t="s">
        <v>173</v>
      </c>
      <c r="N18" s="141" t="s">
        <v>174</v>
      </c>
      <c r="O18" s="141" t="s">
        <v>175</v>
      </c>
    </row>
    <row r="19" spans="2:15" ht="29" x14ac:dyDescent="0.3">
      <c r="B19" s="51" t="s">
        <v>37</v>
      </c>
      <c r="C19" s="51" t="s">
        <v>31</v>
      </c>
      <c r="D19" s="55"/>
      <c r="E19" s="5"/>
      <c r="F19" s="55"/>
      <c r="I19" s="141" t="s">
        <v>177</v>
      </c>
      <c r="J19" s="141"/>
      <c r="K19" s="141">
        <v>0.74086099999999999</v>
      </c>
      <c r="L19" s="141" t="s">
        <v>172</v>
      </c>
      <c r="M19" s="141" t="s">
        <v>173</v>
      </c>
      <c r="N19" s="141" t="s">
        <v>174</v>
      </c>
      <c r="O19" s="141" t="s">
        <v>175</v>
      </c>
    </row>
    <row r="20" spans="2:15" ht="29" x14ac:dyDescent="0.3">
      <c r="B20" s="51" t="s">
        <v>38</v>
      </c>
      <c r="C20" s="51" t="s">
        <v>31</v>
      </c>
      <c r="D20" s="55"/>
      <c r="E20" s="5"/>
      <c r="F20" s="55"/>
      <c r="I20" s="141" t="s">
        <v>178</v>
      </c>
      <c r="J20" s="141"/>
      <c r="K20" s="141">
        <v>0.81024399999999996</v>
      </c>
      <c r="L20" s="141" t="s">
        <v>172</v>
      </c>
      <c r="M20" s="141" t="s">
        <v>173</v>
      </c>
      <c r="N20" s="141" t="s">
        <v>174</v>
      </c>
      <c r="O20" s="141" t="s">
        <v>175</v>
      </c>
    </row>
    <row r="21" spans="2:15" ht="29" x14ac:dyDescent="0.3">
      <c r="B21" s="58"/>
      <c r="C21" s="58"/>
      <c r="D21" s="58"/>
      <c r="F21" s="58"/>
      <c r="I21" s="141" t="s">
        <v>182</v>
      </c>
      <c r="J21" s="141"/>
      <c r="K21" s="141">
        <v>0.86190100000000003</v>
      </c>
      <c r="L21" s="141" t="s">
        <v>172</v>
      </c>
      <c r="M21" s="141" t="s">
        <v>173</v>
      </c>
      <c r="N21" s="141" t="s">
        <v>174</v>
      </c>
      <c r="O21" s="141" t="s">
        <v>175</v>
      </c>
    </row>
    <row r="22" spans="2:15" ht="29" x14ac:dyDescent="0.3">
      <c r="B22" s="54"/>
      <c r="C22" s="58"/>
      <c r="D22" s="58"/>
      <c r="F22" s="58"/>
      <c r="I22" s="141" t="s">
        <v>186</v>
      </c>
      <c r="J22" s="141"/>
      <c r="K22" s="141">
        <v>0.81794599999999995</v>
      </c>
      <c r="L22" s="141" t="s">
        <v>172</v>
      </c>
      <c r="M22" s="141" t="s">
        <v>173</v>
      </c>
      <c r="N22" s="141" t="s">
        <v>174</v>
      </c>
      <c r="O22" s="141" t="s">
        <v>175</v>
      </c>
    </row>
    <row r="23" spans="2:15" ht="29" x14ac:dyDescent="0.3">
      <c r="B23" s="58"/>
      <c r="C23" s="58"/>
      <c r="D23" s="58"/>
      <c r="F23" s="58"/>
      <c r="I23" s="141" t="s">
        <v>189</v>
      </c>
      <c r="J23" s="141"/>
      <c r="K23" s="141">
        <v>0.66395199999999999</v>
      </c>
      <c r="L23" s="141" t="s">
        <v>172</v>
      </c>
      <c r="M23" s="141" t="s">
        <v>173</v>
      </c>
      <c r="N23" s="141" t="s">
        <v>174</v>
      </c>
      <c r="O23" s="141" t="s">
        <v>175</v>
      </c>
    </row>
    <row r="24" spans="2:15" ht="29" x14ac:dyDescent="0.3">
      <c r="B24" s="58"/>
      <c r="C24" s="58"/>
      <c r="D24" s="58"/>
      <c r="F24" s="58"/>
      <c r="I24" s="141" t="s">
        <v>190</v>
      </c>
      <c r="J24" s="141"/>
      <c r="K24" s="141">
        <v>0.59512299999999996</v>
      </c>
      <c r="L24" s="141" t="s">
        <v>172</v>
      </c>
      <c r="M24" s="141" t="s">
        <v>173</v>
      </c>
      <c r="N24" s="141" t="s">
        <v>174</v>
      </c>
      <c r="O24" s="141" t="s">
        <v>175</v>
      </c>
    </row>
    <row r="25" spans="2:15" ht="29" x14ac:dyDescent="0.35">
      <c r="B25" s="58"/>
      <c r="C25" s="58"/>
      <c r="D25" s="58"/>
      <c r="E25" s="36"/>
      <c r="F25" s="58"/>
      <c r="I25" s="141" t="s">
        <v>191</v>
      </c>
      <c r="J25" s="141"/>
      <c r="K25" s="141">
        <v>1.0398309999999999</v>
      </c>
      <c r="L25" s="141" t="s">
        <v>172</v>
      </c>
      <c r="M25" s="141" t="s">
        <v>173</v>
      </c>
      <c r="N25" s="141" t="s">
        <v>174</v>
      </c>
      <c r="O25" s="141" t="s">
        <v>175</v>
      </c>
    </row>
    <row r="26" spans="2:15" ht="58" x14ac:dyDescent="0.3">
      <c r="B26" s="58"/>
      <c r="C26" s="58"/>
      <c r="D26" s="58"/>
      <c r="F26" s="58"/>
      <c r="I26" s="141" t="s">
        <v>194</v>
      </c>
      <c r="J26" s="141"/>
      <c r="K26" s="141"/>
      <c r="L26" s="141" t="s">
        <v>180</v>
      </c>
      <c r="M26" s="141" t="s">
        <v>195</v>
      </c>
      <c r="N26" s="141" t="s">
        <v>240</v>
      </c>
      <c r="O26" s="141" t="s">
        <v>196</v>
      </c>
    </row>
    <row r="27" spans="2:15" ht="43.5" x14ac:dyDescent="0.3">
      <c r="B27" s="58"/>
      <c r="C27" s="58"/>
      <c r="D27" s="58"/>
      <c r="F27" s="58"/>
      <c r="I27" s="141" t="s">
        <v>197</v>
      </c>
      <c r="J27" s="141"/>
      <c r="K27" s="141"/>
      <c r="L27" s="141" t="s">
        <v>180</v>
      </c>
      <c r="M27" s="141" t="s">
        <v>195</v>
      </c>
      <c r="N27" s="141" t="s">
        <v>241</v>
      </c>
      <c r="O27" s="141" t="s">
        <v>196</v>
      </c>
    </row>
    <row r="28" spans="2:15" ht="116" x14ac:dyDescent="0.3">
      <c r="B28" s="58"/>
      <c r="C28" s="58"/>
      <c r="D28" s="58"/>
      <c r="F28" s="58"/>
      <c r="I28" s="57" t="s">
        <v>187</v>
      </c>
      <c r="J28" s="57"/>
      <c r="K28" s="57">
        <v>6.5461340000000003</v>
      </c>
      <c r="L28" s="57" t="s">
        <v>188</v>
      </c>
      <c r="M28" s="57"/>
      <c r="N28" s="57" t="s">
        <v>202</v>
      </c>
      <c r="O28" s="57" t="s">
        <v>175</v>
      </c>
    </row>
    <row r="29" spans="2:15" x14ac:dyDescent="0.3">
      <c r="J29" s="166" t="s">
        <v>337</v>
      </c>
      <c r="K29" s="2">
        <f>SUM(K14:K28)</f>
        <v>27.264553999999997</v>
      </c>
    </row>
    <row r="30" spans="2:15" x14ac:dyDescent="0.3">
      <c r="J30" s="166" t="s">
        <v>203</v>
      </c>
      <c r="K30" s="2">
        <f>3.8+4.14</f>
        <v>7.9399999999999995</v>
      </c>
      <c r="L30" s="59" t="s">
        <v>338</v>
      </c>
    </row>
    <row r="31" spans="2:15" x14ac:dyDescent="0.3">
      <c r="J31" s="166" t="s">
        <v>288</v>
      </c>
      <c r="K31" s="2">
        <v>0.8</v>
      </c>
    </row>
    <row r="32" spans="2:15" x14ac:dyDescent="0.3">
      <c r="J32" s="166" t="s">
        <v>242</v>
      </c>
      <c r="K32" s="2">
        <f>K31*K29</f>
        <v>21.811643199999999</v>
      </c>
    </row>
    <row r="37" spans="2:12" x14ac:dyDescent="0.3">
      <c r="B37" s="2" t="s">
        <v>144</v>
      </c>
      <c r="C37" s="60">
        <f>K32</f>
        <v>21.811643199999999</v>
      </c>
    </row>
    <row r="38" spans="2:12" x14ac:dyDescent="0.3">
      <c r="B38" s="2" t="s">
        <v>143</v>
      </c>
      <c r="C38" s="61">
        <v>0</v>
      </c>
    </row>
    <row r="39" spans="2:12" x14ac:dyDescent="0.3">
      <c r="B39" s="6"/>
    </row>
    <row r="42" spans="2:12" x14ac:dyDescent="0.3">
      <c r="B42" s="6"/>
      <c r="L42" s="42"/>
    </row>
  </sheetData>
  <sortState ref="J29:T40">
    <sortCondition descending="1" ref="N29:N40"/>
  </sortState>
  <dataValidations count="4">
    <dataValidation type="list" allowBlank="1" showInputMessage="1" showErrorMessage="1" sqref="C6">
      <formula1>"ANH,NES,NWT,SRN,SVE,SWB,TMS,WSH,WSX,YKY,AFW,BRL,HDD,PRT,SES,SEW,SSC"</formula1>
    </dataValidation>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B1:H29"/>
  <sheetViews>
    <sheetView showGridLines="0" topLeftCell="A14" zoomScale="90" zoomScaleNormal="90" workbookViewId="0">
      <selection activeCell="D17" sqref="D17"/>
    </sheetView>
  </sheetViews>
  <sheetFormatPr defaultColWidth="8.81640625" defaultRowHeight="13" x14ac:dyDescent="0.3"/>
  <cols>
    <col min="1" max="1" width="2.1796875" style="2" customWidth="1"/>
    <col min="2" max="2" width="35" style="2" customWidth="1"/>
    <col min="3" max="3" width="16.54296875" style="2" customWidth="1"/>
    <col min="4" max="4" width="146.54296875" style="5" customWidth="1"/>
    <col min="5" max="5" width="8.54296875" style="2" customWidth="1"/>
    <col min="6" max="6" width="26.54296875" style="5" customWidth="1"/>
    <col min="7" max="9" width="8.54296875" style="2" customWidth="1"/>
    <col min="10" max="16384" width="8.81640625" style="2"/>
  </cols>
  <sheetData>
    <row r="1" spans="2:8" s="44" customFormat="1" ht="18.5" x14ac:dyDescent="0.3">
      <c r="B1" s="1" t="s">
        <v>267</v>
      </c>
      <c r="C1" s="1"/>
      <c r="D1" s="63"/>
      <c r="E1" s="1"/>
      <c r="F1" s="63"/>
      <c r="G1" s="2"/>
      <c r="H1" s="42"/>
    </row>
    <row r="2" spans="2:8" s="44" customFormat="1" ht="18.5" x14ac:dyDescent="0.3">
      <c r="B2" s="6"/>
      <c r="C2" s="45"/>
      <c r="D2" s="64"/>
      <c r="E2" s="2"/>
      <c r="F2" s="5"/>
      <c r="G2" s="2"/>
      <c r="H2" s="42"/>
    </row>
    <row r="3" spans="2:8" s="44" customFormat="1" ht="18.5" x14ac:dyDescent="0.3">
      <c r="B3" s="6" t="s">
        <v>54</v>
      </c>
      <c r="C3" s="45"/>
      <c r="D3" s="64"/>
      <c r="E3" s="2"/>
      <c r="F3" s="5"/>
      <c r="G3" s="2"/>
      <c r="H3" s="42"/>
    </row>
    <row r="4" spans="2:8" ht="18.5" x14ac:dyDescent="0.3">
      <c r="B4" s="12" t="s">
        <v>22</v>
      </c>
      <c r="C4" s="13" t="s">
        <v>293</v>
      </c>
      <c r="D4" s="64"/>
    </row>
    <row r="5" spans="2:8" ht="18.5" x14ac:dyDescent="0.3">
      <c r="B5" s="12" t="s">
        <v>25</v>
      </c>
      <c r="C5" s="13" t="s">
        <v>417</v>
      </c>
      <c r="D5" s="64"/>
    </row>
    <row r="6" spans="2:8" ht="18.5" x14ac:dyDescent="0.3">
      <c r="B6" s="51" t="s">
        <v>18</v>
      </c>
      <c r="C6" s="52" t="s">
        <v>6</v>
      </c>
      <c r="D6" s="64"/>
    </row>
    <row r="7" spans="2:8" x14ac:dyDescent="0.3">
      <c r="B7" s="51" t="s">
        <v>26</v>
      </c>
      <c r="C7" s="52" t="s">
        <v>39</v>
      </c>
      <c r="D7" s="53"/>
    </row>
    <row r="8" spans="2:8" x14ac:dyDescent="0.3">
      <c r="B8" s="51" t="s">
        <v>74</v>
      </c>
      <c r="C8" s="185">
        <f>'Gates &amp; Shallow dive'!W25</f>
        <v>55.056999999999988</v>
      </c>
      <c r="E8" s="60"/>
    </row>
    <row r="9" spans="2:8" x14ac:dyDescent="0.3">
      <c r="B9" s="48" t="s">
        <v>44</v>
      </c>
      <c r="C9" s="185">
        <f>(1-$C$25)*$C$24</f>
        <v>41.554372909981055</v>
      </c>
      <c r="E9" s="60"/>
    </row>
    <row r="10" spans="2:8" x14ac:dyDescent="0.3">
      <c r="E10" s="60"/>
    </row>
    <row r="11" spans="2:8" x14ac:dyDescent="0.3">
      <c r="B11" s="6"/>
    </row>
    <row r="12" spans="2:8" x14ac:dyDescent="0.3">
      <c r="B12" s="6" t="s">
        <v>28</v>
      </c>
      <c r="F12" s="66" t="s">
        <v>29</v>
      </c>
    </row>
    <row r="13" spans="2:8" ht="212.9" customHeight="1" x14ac:dyDescent="0.3">
      <c r="B13" s="51" t="s">
        <v>30</v>
      </c>
      <c r="C13" s="51" t="s">
        <v>43</v>
      </c>
      <c r="D13" s="55" t="s">
        <v>398</v>
      </c>
      <c r="F13" s="55" t="s">
        <v>258</v>
      </c>
    </row>
    <row r="14" spans="2:8" x14ac:dyDescent="0.3">
      <c r="B14" s="51" t="s">
        <v>32</v>
      </c>
      <c r="C14" s="51" t="s">
        <v>31</v>
      </c>
      <c r="D14" s="55"/>
      <c r="F14" s="55"/>
    </row>
    <row r="15" spans="2:8" x14ac:dyDescent="0.3">
      <c r="B15" s="51" t="s">
        <v>33</v>
      </c>
      <c r="C15" s="51" t="s">
        <v>43</v>
      </c>
      <c r="D15" s="55" t="s">
        <v>339</v>
      </c>
      <c r="F15" s="55"/>
    </row>
    <row r="16" spans="2:8" ht="145.5" customHeight="1" x14ac:dyDescent="0.3">
      <c r="B16" s="51" t="s">
        <v>34</v>
      </c>
      <c r="C16" s="38" t="s">
        <v>73</v>
      </c>
      <c r="D16" s="55" t="s">
        <v>399</v>
      </c>
      <c r="F16" s="55" t="s">
        <v>252</v>
      </c>
    </row>
    <row r="17" spans="2:6" ht="372" customHeight="1" x14ac:dyDescent="0.3">
      <c r="B17" s="51" t="s">
        <v>35</v>
      </c>
      <c r="C17" s="51" t="s">
        <v>73</v>
      </c>
      <c r="D17" s="55" t="s">
        <v>414</v>
      </c>
      <c r="F17" s="55" t="s">
        <v>221</v>
      </c>
    </row>
    <row r="18" spans="2:6" ht="39" x14ac:dyDescent="0.3">
      <c r="B18" s="51" t="s">
        <v>36</v>
      </c>
      <c r="C18" s="51" t="s">
        <v>43</v>
      </c>
      <c r="D18" s="55" t="s">
        <v>400</v>
      </c>
      <c r="F18" s="55" t="s">
        <v>97</v>
      </c>
    </row>
    <row r="19" spans="2:6" x14ac:dyDescent="0.3">
      <c r="B19" s="51" t="s">
        <v>37</v>
      </c>
      <c r="C19" s="51" t="s">
        <v>31</v>
      </c>
      <c r="D19" s="55"/>
      <c r="F19" s="55"/>
    </row>
    <row r="20" spans="2:6" x14ac:dyDescent="0.3">
      <c r="B20" s="51" t="s">
        <v>38</v>
      </c>
      <c r="C20" s="51" t="s">
        <v>31</v>
      </c>
      <c r="D20" s="55"/>
      <c r="F20" s="55"/>
    </row>
    <row r="21" spans="2:6" x14ac:dyDescent="0.3">
      <c r="B21" s="58"/>
      <c r="C21" s="58"/>
      <c r="D21" s="67"/>
      <c r="F21" s="67"/>
    </row>
    <row r="22" spans="2:6" x14ac:dyDescent="0.3">
      <c r="B22" s="54"/>
      <c r="C22" s="58"/>
      <c r="D22" s="67"/>
      <c r="F22" s="67"/>
    </row>
    <row r="24" spans="2:6" x14ac:dyDescent="0.3">
      <c r="B24" s="2" t="s">
        <v>144</v>
      </c>
      <c r="C24" s="60">
        <v>41.554372909981055</v>
      </c>
    </row>
    <row r="25" spans="2:6" x14ac:dyDescent="0.3">
      <c r="B25" s="2" t="s">
        <v>143</v>
      </c>
      <c r="C25" s="61">
        <v>0</v>
      </c>
      <c r="D25" s="2"/>
    </row>
    <row r="26" spans="2:6" x14ac:dyDescent="0.3">
      <c r="B26" s="6"/>
      <c r="D26" s="2"/>
    </row>
    <row r="27" spans="2:6" x14ac:dyDescent="0.3">
      <c r="C27" s="60"/>
    </row>
    <row r="29" spans="2:6" x14ac:dyDescent="0.3">
      <c r="B29" s="6"/>
    </row>
  </sheetData>
  <dataValidations count="4">
    <dataValidation type="list" allowBlank="1" showInputMessage="1" showErrorMessage="1" sqref="C6">
      <formula1>"ANH,NES,NWT,SRN,SVE,SWB,TMS,WSH,WSX,YKY,AFW,BRL,HDD,PRT,SES,SEW,SSC"</formula1>
    </dataValidation>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2">
      <formula1>"Pass,Marginal pass, Partial pass, Fail, ,Not assessed, N/A"</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B1:N45"/>
  <sheetViews>
    <sheetView showGridLines="0" zoomScale="80" zoomScaleNormal="80" workbookViewId="0">
      <selection activeCell="H20" sqref="H20"/>
    </sheetView>
  </sheetViews>
  <sheetFormatPr defaultColWidth="8.81640625" defaultRowHeight="13" x14ac:dyDescent="0.3"/>
  <cols>
    <col min="1" max="1" width="2.1796875" style="2" customWidth="1"/>
    <col min="2" max="2" width="37.81640625" style="2" customWidth="1"/>
    <col min="3" max="3" width="16.54296875" style="2" customWidth="1"/>
    <col min="4" max="4" width="78.1796875" style="2" customWidth="1"/>
    <col min="5" max="5" width="8.54296875" style="2" customWidth="1"/>
    <col min="6" max="6" width="26.54296875" style="2" customWidth="1"/>
    <col min="7" max="14" width="8.54296875" style="2" customWidth="1"/>
    <col min="15" max="16384" width="8.81640625" style="2"/>
  </cols>
  <sheetData>
    <row r="1" spans="2:9" s="44" customFormat="1" ht="18.5" x14ac:dyDescent="0.3">
      <c r="B1" s="1" t="s">
        <v>367</v>
      </c>
      <c r="C1" s="1"/>
      <c r="D1" s="1"/>
      <c r="E1" s="1"/>
      <c r="F1" s="1"/>
      <c r="G1" s="2"/>
      <c r="H1" s="42"/>
      <c r="I1" s="43"/>
    </row>
    <row r="2" spans="2:9" s="44" customFormat="1" ht="18.5" x14ac:dyDescent="0.3">
      <c r="B2" s="6"/>
      <c r="C2" s="45"/>
      <c r="D2" s="45"/>
      <c r="E2" s="2"/>
      <c r="F2" s="2"/>
      <c r="G2" s="2"/>
      <c r="H2" s="42"/>
      <c r="I2" s="43"/>
    </row>
    <row r="3" spans="2:9" s="44" customFormat="1" ht="18.5" x14ac:dyDescent="0.3">
      <c r="B3" s="6" t="s">
        <v>54</v>
      </c>
      <c r="C3" s="45"/>
      <c r="D3" s="2"/>
      <c r="E3" s="2"/>
      <c r="F3" s="2"/>
      <c r="G3" s="2"/>
      <c r="H3" s="42"/>
      <c r="I3" s="43"/>
    </row>
    <row r="4" spans="2:9" x14ac:dyDescent="0.3">
      <c r="B4" s="12" t="s">
        <v>22</v>
      </c>
      <c r="C4" s="13" t="s">
        <v>293</v>
      </c>
    </row>
    <row r="5" spans="2:9" x14ac:dyDescent="0.3">
      <c r="B5" s="12" t="s">
        <v>25</v>
      </c>
      <c r="C5" s="13" t="s">
        <v>369</v>
      </c>
    </row>
    <row r="6" spans="2:9" x14ac:dyDescent="0.3">
      <c r="B6" s="51" t="s">
        <v>18</v>
      </c>
      <c r="C6" s="52" t="s">
        <v>9</v>
      </c>
    </row>
    <row r="7" spans="2:9" x14ac:dyDescent="0.3">
      <c r="B7" s="51" t="s">
        <v>26</v>
      </c>
      <c r="C7" s="52" t="s">
        <v>39</v>
      </c>
    </row>
    <row r="8" spans="2:9" x14ac:dyDescent="0.3">
      <c r="B8" s="51" t="s">
        <v>74</v>
      </c>
      <c r="C8" s="62">
        <f>'Gates &amp; Shallow dive'!W28</f>
        <v>10.357096153846163</v>
      </c>
    </row>
    <row r="9" spans="2:9" x14ac:dyDescent="0.3">
      <c r="B9" s="48" t="s">
        <v>44</v>
      </c>
      <c r="C9" s="62">
        <f>(1-$C$38)*$C$37</f>
        <v>8</v>
      </c>
    </row>
    <row r="11" spans="2:9" x14ac:dyDescent="0.3">
      <c r="B11" s="6" t="s">
        <v>27</v>
      </c>
    </row>
    <row r="12" spans="2:9" x14ac:dyDescent="0.3">
      <c r="B12" s="54" t="s">
        <v>28</v>
      </c>
      <c r="F12" s="6" t="s">
        <v>29</v>
      </c>
    </row>
    <row r="13" spans="2:9" ht="234" x14ac:dyDescent="0.3">
      <c r="B13" s="51" t="s">
        <v>30</v>
      </c>
      <c r="C13" s="51" t="s">
        <v>43</v>
      </c>
      <c r="D13" s="55" t="s">
        <v>405</v>
      </c>
      <c r="E13" s="5"/>
      <c r="F13" s="55" t="s">
        <v>306</v>
      </c>
    </row>
    <row r="14" spans="2:9" x14ac:dyDescent="0.3">
      <c r="B14" s="51" t="s">
        <v>32</v>
      </c>
      <c r="C14" s="51" t="s">
        <v>31</v>
      </c>
      <c r="D14" s="55"/>
      <c r="E14" s="5"/>
      <c r="F14" s="55"/>
    </row>
    <row r="15" spans="2:9" ht="44.25" customHeight="1" x14ac:dyDescent="0.3">
      <c r="B15" s="51" t="s">
        <v>33</v>
      </c>
      <c r="C15" s="51" t="s">
        <v>43</v>
      </c>
      <c r="D15" s="55" t="s">
        <v>406</v>
      </c>
      <c r="E15" s="5"/>
      <c r="F15" s="55"/>
    </row>
    <row r="16" spans="2:9" ht="130" x14ac:dyDescent="0.3">
      <c r="B16" s="51" t="s">
        <v>34</v>
      </c>
      <c r="C16" s="38" t="s">
        <v>43</v>
      </c>
      <c r="D16" s="55" t="s">
        <v>407</v>
      </c>
      <c r="E16" s="5"/>
      <c r="F16" s="55" t="s">
        <v>307</v>
      </c>
    </row>
    <row r="17" spans="2:6" ht="221.25" customHeight="1" x14ac:dyDescent="0.3">
      <c r="B17" s="51" t="s">
        <v>35</v>
      </c>
      <c r="C17" s="51" t="s">
        <v>73</v>
      </c>
      <c r="D17" s="55" t="s">
        <v>408</v>
      </c>
      <c r="E17" s="5"/>
      <c r="F17" s="55" t="s">
        <v>308</v>
      </c>
    </row>
    <row r="18" spans="2:6" ht="26" x14ac:dyDescent="0.3">
      <c r="B18" s="51" t="s">
        <v>36</v>
      </c>
      <c r="C18" s="51" t="s">
        <v>43</v>
      </c>
      <c r="D18" s="55" t="s">
        <v>409</v>
      </c>
      <c r="E18" s="5"/>
      <c r="F18" s="55" t="s">
        <v>289</v>
      </c>
    </row>
    <row r="19" spans="2:6" x14ac:dyDescent="0.3">
      <c r="B19" s="51" t="s">
        <v>37</v>
      </c>
      <c r="C19" s="51" t="s">
        <v>31</v>
      </c>
      <c r="D19" s="55"/>
      <c r="E19" s="5"/>
      <c r="F19" s="55"/>
    </row>
    <row r="20" spans="2:6" x14ac:dyDescent="0.3">
      <c r="B20" s="51" t="s">
        <v>38</v>
      </c>
      <c r="C20" s="51" t="s">
        <v>31</v>
      </c>
      <c r="D20" s="55"/>
      <c r="E20" s="5"/>
      <c r="F20" s="55"/>
    </row>
    <row r="21" spans="2:6" x14ac:dyDescent="0.3">
      <c r="B21" s="58"/>
      <c r="C21" s="58"/>
      <c r="D21" s="58"/>
      <c r="F21" s="58"/>
    </row>
    <row r="22" spans="2:6" x14ac:dyDescent="0.3">
      <c r="B22" s="54"/>
      <c r="C22" s="58"/>
      <c r="D22" s="58"/>
      <c r="F22" s="58"/>
    </row>
    <row r="23" spans="2:6" x14ac:dyDescent="0.3">
      <c r="B23" s="58"/>
      <c r="C23" s="58"/>
      <c r="D23" s="58"/>
      <c r="F23" s="58"/>
    </row>
    <row r="24" spans="2:6" x14ac:dyDescent="0.3">
      <c r="B24" s="58"/>
      <c r="C24" s="58"/>
      <c r="D24" s="58"/>
      <c r="F24" s="58"/>
    </row>
    <row r="25" spans="2:6" ht="14.5" x14ac:dyDescent="0.35">
      <c r="B25" s="58"/>
      <c r="C25" s="58"/>
      <c r="D25" s="58"/>
      <c r="E25" s="36"/>
      <c r="F25" s="58"/>
    </row>
    <row r="26" spans="2:6" x14ac:dyDescent="0.3">
      <c r="B26" s="58"/>
      <c r="C26" s="58"/>
      <c r="D26" s="58"/>
      <c r="F26" s="58"/>
    </row>
    <row r="27" spans="2:6" x14ac:dyDescent="0.3">
      <c r="B27" s="58"/>
      <c r="C27" s="58"/>
      <c r="D27" s="58"/>
      <c r="F27" s="58"/>
    </row>
    <row r="28" spans="2:6" x14ac:dyDescent="0.3">
      <c r="B28" s="58"/>
      <c r="C28" s="58"/>
      <c r="D28" s="58"/>
      <c r="F28" s="58"/>
    </row>
    <row r="37" spans="2:14" x14ac:dyDescent="0.3">
      <c r="B37" s="2" t="s">
        <v>144</v>
      </c>
      <c r="C37" s="60">
        <v>8</v>
      </c>
    </row>
    <row r="38" spans="2:14" x14ac:dyDescent="0.3">
      <c r="B38" s="2" t="s">
        <v>143</v>
      </c>
      <c r="C38" s="61">
        <v>0</v>
      </c>
    </row>
    <row r="40" spans="2:14" x14ac:dyDescent="0.3">
      <c r="B40" s="6"/>
    </row>
    <row r="45" spans="2:14" x14ac:dyDescent="0.3">
      <c r="N45" s="42"/>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Cover</vt:lpstr>
      <vt:lpstr>Data</vt:lpstr>
      <vt:lpstr>Gates &amp; Shallow dive</vt:lpstr>
      <vt:lpstr>Deep dive_ANH</vt:lpstr>
      <vt:lpstr>Deep dive_NES</vt:lpstr>
      <vt:lpstr>Deep dive_SRN</vt:lpstr>
      <vt:lpstr>Deep dive_SVE</vt:lpstr>
      <vt:lpstr>Deep dive_SWB</vt:lpstr>
      <vt:lpstr>Deep dive_WSX</vt:lpstr>
      <vt:lpstr>Deep dive_YKY</vt:lpstr>
      <vt:lpstr>Deep dive_BRL</vt:lpstr>
      <vt:lpstr>Deep dive_PRT</vt:lpstr>
      <vt:lpstr>Deep dive_SEW</vt:lpstr>
      <vt:lpstr>Deep dive_SSC</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2019-01-29T11:50:35Z</dcterms:created>
  <dcterms:modified xsi:type="dcterms:W3CDTF">2019-01-29T12:08:22Z</dcterms:modified>
  <cp:category/>
  <cp:contentStatus/>
</cp:coreProperties>
</file>