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4220" windowHeight="7080" tabRatio="856" activeTab="6"/>
  </bookViews>
  <sheets>
    <sheet name="Cover" sheetId="22" r:id="rId1"/>
    <sheet name="Data" sheetId="41" r:id="rId2"/>
    <sheet name="Analysis" sheetId="90" r:id="rId3"/>
    <sheet name="Deep dive_AFW" sheetId="78" r:id="rId4"/>
    <sheet name="Deep dive_ANH" sheetId="91" r:id="rId5"/>
    <sheet name="Deep dive_SVE" sheetId="79" r:id="rId6"/>
    <sheet name="Deep dive_TMS" sheetId="80" r:id="rId7"/>
    <sheet name="Deep dive_WSH" sheetId="87" r:id="rId8"/>
    <sheet name="Allowance" sheetId="84" r:id="rId9"/>
  </sheets>
  <calcPr calcId="152511"/>
</workbook>
</file>

<file path=xl/calcChain.xml><?xml version="1.0" encoding="utf-8"?>
<calcChain xmlns="http://schemas.openxmlformats.org/spreadsheetml/2006/main">
  <c r="G7" i="90" l="1"/>
  <c r="G8" i="90"/>
  <c r="G9" i="90"/>
  <c r="G10" i="90"/>
  <c r="G11" i="90"/>
  <c r="G12" i="90"/>
  <c r="G13" i="90"/>
  <c r="G14" i="90"/>
  <c r="G15" i="90"/>
  <c r="G16" i="90"/>
  <c r="G17" i="90"/>
  <c r="G18" i="90"/>
  <c r="G19" i="90"/>
  <c r="G20" i="90"/>
  <c r="G21" i="90"/>
  <c r="G22" i="90"/>
  <c r="F7" i="90"/>
  <c r="F8" i="90"/>
  <c r="F9" i="90"/>
  <c r="F10" i="90"/>
  <c r="F11" i="90"/>
  <c r="F12" i="90"/>
  <c r="F13" i="90"/>
  <c r="F14" i="90"/>
  <c r="F15" i="90"/>
  <c r="F16" i="90"/>
  <c r="F17" i="90"/>
  <c r="F18" i="90"/>
  <c r="F19" i="90"/>
  <c r="F20" i="90"/>
  <c r="F21" i="90"/>
  <c r="F22" i="90"/>
  <c r="E7" i="90"/>
  <c r="E8" i="90"/>
  <c r="E9" i="90"/>
  <c r="E10" i="90"/>
  <c r="E11" i="90"/>
  <c r="E12" i="90"/>
  <c r="E13" i="90"/>
  <c r="E14" i="90"/>
  <c r="E15" i="90"/>
  <c r="E16" i="90"/>
  <c r="E17" i="90"/>
  <c r="E18" i="90"/>
  <c r="E19" i="90"/>
  <c r="E20" i="90"/>
  <c r="E21" i="90"/>
  <c r="E22" i="90"/>
  <c r="D7" i="90"/>
  <c r="D8" i="90"/>
  <c r="D9" i="90"/>
  <c r="D10" i="90"/>
  <c r="D11" i="90"/>
  <c r="D12" i="90"/>
  <c r="D13" i="90"/>
  <c r="D14" i="90"/>
  <c r="D15" i="90"/>
  <c r="D16" i="90"/>
  <c r="D17" i="90"/>
  <c r="D18" i="90"/>
  <c r="D19" i="90"/>
  <c r="D20" i="90"/>
  <c r="D21" i="90"/>
  <c r="D22" i="90"/>
  <c r="D6" i="90"/>
  <c r="E6" i="90"/>
  <c r="F6" i="90"/>
  <c r="G6" i="90"/>
  <c r="C7" i="90"/>
  <c r="C8" i="90"/>
  <c r="C9" i="90"/>
  <c r="C10" i="90"/>
  <c r="C11" i="90"/>
  <c r="C12" i="90"/>
  <c r="C13" i="90"/>
  <c r="C14" i="90"/>
  <c r="C15" i="90"/>
  <c r="C16" i="90"/>
  <c r="C17" i="90"/>
  <c r="C18" i="90"/>
  <c r="C19" i="90"/>
  <c r="C20" i="90"/>
  <c r="C21" i="90"/>
  <c r="C22" i="90"/>
  <c r="C6" i="90"/>
  <c r="F14" i="84" l="1"/>
  <c r="F15" i="84"/>
  <c r="F17" i="84"/>
  <c r="F18" i="84"/>
  <c r="F19" i="84"/>
  <c r="F20" i="84"/>
  <c r="F21" i="84"/>
  <c r="F22" i="84"/>
  <c r="F25" i="84"/>
  <c r="F26" i="84"/>
  <c r="F27" i="84"/>
  <c r="F28" i="84"/>
  <c r="F29" i="84"/>
  <c r="F23" i="84" l="1"/>
  <c r="F16" i="84"/>
  <c r="F13" i="84"/>
  <c r="F24" i="84"/>
  <c r="E30" i="84" l="1"/>
  <c r="D30" i="84"/>
  <c r="B4" i="90"/>
  <c r="F30" i="84" l="1"/>
  <c r="J30" i="84" l="1"/>
  <c r="L12" i="90" l="1"/>
  <c r="L7" i="90"/>
  <c r="L13" i="90"/>
  <c r="L9" i="90"/>
  <c r="L16" i="90"/>
  <c r="L14" i="90"/>
  <c r="L17" i="90"/>
  <c r="L18" i="90"/>
  <c r="L15" i="90"/>
  <c r="L19" i="90"/>
  <c r="L8" i="90"/>
  <c r="L6" i="90"/>
  <c r="L22" i="90"/>
  <c r="L21" i="90"/>
  <c r="L20" i="90"/>
  <c r="L11" i="90"/>
  <c r="L10" i="90"/>
  <c r="H14" i="90"/>
  <c r="C21" i="84" s="1"/>
  <c r="G21" i="84" s="1"/>
  <c r="H13" i="90"/>
  <c r="F23" i="90"/>
  <c r="H6" i="90"/>
  <c r="E23" i="90"/>
  <c r="H9" i="90"/>
  <c r="G23" i="90"/>
  <c r="H19" i="90"/>
  <c r="H8" i="90"/>
  <c r="H16" i="90"/>
  <c r="H21" i="90"/>
  <c r="H7" i="90"/>
  <c r="C23" i="90"/>
  <c r="D23" i="90"/>
  <c r="H17" i="90"/>
  <c r="H15" i="90"/>
  <c r="H20" i="90"/>
  <c r="H10" i="90"/>
  <c r="H11" i="90"/>
  <c r="H18" i="90"/>
  <c r="H22" i="90"/>
  <c r="H12" i="90"/>
  <c r="M14" i="90" l="1"/>
  <c r="C20" i="84"/>
  <c r="G20" i="84" s="1"/>
  <c r="M13" i="90"/>
  <c r="C28" i="84"/>
  <c r="G28" i="84" s="1"/>
  <c r="M21" i="90"/>
  <c r="C16" i="84"/>
  <c r="G16" i="84" s="1"/>
  <c r="M9" i="90"/>
  <c r="M15" i="90"/>
  <c r="C22" i="84"/>
  <c r="G22" i="84" s="1"/>
  <c r="M16" i="90"/>
  <c r="C23" i="84"/>
  <c r="G23" i="84" s="1"/>
  <c r="M22" i="90"/>
  <c r="C29" i="84"/>
  <c r="G29" i="84" s="1"/>
  <c r="C17" i="84"/>
  <c r="G17" i="84" s="1"/>
  <c r="M10" i="90"/>
  <c r="C27" i="84"/>
  <c r="G27" i="84" s="1"/>
  <c r="M20" i="90"/>
  <c r="C25" i="84"/>
  <c r="G25" i="84" s="1"/>
  <c r="M18" i="90"/>
  <c r="H23" i="90"/>
  <c r="C15" i="84"/>
  <c r="G15" i="84" s="1"/>
  <c r="M8" i="90"/>
  <c r="M12" i="90"/>
  <c r="C19" i="84"/>
  <c r="G19" i="84" s="1"/>
  <c r="M11" i="90"/>
  <c r="C18" i="84"/>
  <c r="G18" i="84" s="1"/>
  <c r="M17" i="90"/>
  <c r="C24" i="84"/>
  <c r="G24" i="84" s="1"/>
  <c r="M7" i="90"/>
  <c r="C14" i="84"/>
  <c r="G14" i="84" s="1"/>
  <c r="M19" i="90"/>
  <c r="C26" i="84"/>
  <c r="G26" i="84" s="1"/>
  <c r="L23" i="90"/>
  <c r="M6" i="90"/>
  <c r="C13" i="84"/>
  <c r="G13" i="84" s="1"/>
  <c r="G30" i="84" l="1"/>
  <c r="M23" i="90"/>
  <c r="I23" i="90"/>
  <c r="J23" i="90" s="1"/>
  <c r="I11" i="90" l="1"/>
  <c r="J11" i="90" s="1"/>
  <c r="I7" i="90"/>
  <c r="J7" i="90" s="1"/>
  <c r="O7" i="90" s="1"/>
  <c r="Q7" i="90" s="1"/>
  <c r="H14" i="84" s="1"/>
  <c r="B8" i="79" l="1"/>
  <c r="B9" i="79" s="1"/>
  <c r="I12" i="90"/>
  <c r="J12" i="90" s="1"/>
  <c r="O12" i="90" s="1"/>
  <c r="Q12" i="90" s="1"/>
  <c r="H19" i="84" s="1"/>
  <c r="I16" i="90"/>
  <c r="J16" i="90" s="1"/>
  <c r="O16" i="90" s="1"/>
  <c r="Q16" i="90" s="1"/>
  <c r="H23" i="84" s="1"/>
  <c r="I19" i="90"/>
  <c r="J19" i="90" s="1"/>
  <c r="O19" i="90" s="1"/>
  <c r="Q19" i="90" s="1"/>
  <c r="H26" i="84" s="1"/>
  <c r="I14" i="90"/>
  <c r="J14" i="90" s="1"/>
  <c r="B8" i="87" s="1"/>
  <c r="B9" i="87" s="1"/>
  <c r="I15" i="90"/>
  <c r="J15" i="90" s="1"/>
  <c r="O15" i="90" s="1"/>
  <c r="Q15" i="90" s="1"/>
  <c r="H22" i="84" s="1"/>
  <c r="I8" i="90"/>
  <c r="J8" i="90" s="1"/>
  <c r="O8" i="90" s="1"/>
  <c r="Q8" i="90" s="1"/>
  <c r="H15" i="84" s="1"/>
  <c r="I17" i="90"/>
  <c r="J17" i="90" s="1"/>
  <c r="I10" i="90"/>
  <c r="J10" i="90" s="1"/>
  <c r="B8" i="78" l="1"/>
  <c r="B9" i="78" s="1"/>
  <c r="I21" i="90"/>
  <c r="J21" i="90" s="1"/>
  <c r="O21" i="90" s="1"/>
  <c r="Q21" i="90" s="1"/>
  <c r="H28" i="84" s="1"/>
  <c r="I22" i="90"/>
  <c r="J22" i="90" s="1"/>
  <c r="O22" i="90" s="1"/>
  <c r="Q22" i="90" s="1"/>
  <c r="H29" i="84" s="1"/>
  <c r="O10" i="90"/>
  <c r="Q10" i="90" s="1"/>
  <c r="H17" i="84" s="1"/>
  <c r="I20" i="90"/>
  <c r="J20" i="90" s="1"/>
  <c r="I9" i="90"/>
  <c r="J9" i="90" s="1"/>
  <c r="O9" i="90" s="1"/>
  <c r="Q9" i="90" s="1"/>
  <c r="H16" i="84" s="1"/>
  <c r="I13" i="90"/>
  <c r="J13" i="90" s="1"/>
  <c r="B8" i="80" s="1"/>
  <c r="B9" i="80" s="1"/>
  <c r="I18" i="90"/>
  <c r="J18" i="90" s="1"/>
  <c r="O18" i="90" s="1"/>
  <c r="Q18" i="90" s="1"/>
  <c r="H25" i="84" s="1"/>
  <c r="I14" i="84"/>
  <c r="P11" i="90"/>
  <c r="Q11" i="90" s="1"/>
  <c r="H18" i="84" s="1"/>
  <c r="O20" i="90" l="1"/>
  <c r="Q20" i="90" s="1"/>
  <c r="H27" i="84" s="1"/>
  <c r="K14" i="84"/>
  <c r="L14" i="84"/>
  <c r="C30" i="84"/>
  <c r="I18" i="84" l="1"/>
  <c r="L18" i="84" l="1"/>
  <c r="K18" i="84"/>
  <c r="P17" i="90" l="1"/>
  <c r="Q17" i="90" s="1"/>
  <c r="H24" i="84" s="1"/>
  <c r="P14" i="90" l="1"/>
  <c r="Q14" i="90" s="1"/>
  <c r="H21" i="84" s="1"/>
  <c r="P13" i="90"/>
  <c r="Q13" i="90" s="1"/>
  <c r="H20" i="84" s="1"/>
  <c r="I15" i="84" l="1"/>
  <c r="I24" i="84"/>
  <c r="I26" i="84"/>
  <c r="I17" i="84"/>
  <c r="I23" i="84"/>
  <c r="K23" i="84" l="1"/>
  <c r="L23" i="84"/>
  <c r="L15" i="84"/>
  <c r="K15" i="84"/>
  <c r="L24" i="84"/>
  <c r="K24" i="84"/>
  <c r="L17" i="84"/>
  <c r="K17" i="84"/>
  <c r="L26" i="84"/>
  <c r="K26" i="84"/>
  <c r="I20" i="84"/>
  <c r="I16" i="84"/>
  <c r="I27" i="84"/>
  <c r="I25" i="84"/>
  <c r="I28" i="84"/>
  <c r="I19" i="84"/>
  <c r="I21" i="84"/>
  <c r="K27" i="84" l="1"/>
  <c r="L27" i="84"/>
  <c r="L16" i="84"/>
  <c r="K16" i="84"/>
  <c r="L20" i="84"/>
  <c r="K20" i="84"/>
  <c r="L21" i="84"/>
  <c r="K21" i="84"/>
  <c r="K19" i="84"/>
  <c r="L19" i="84"/>
  <c r="L28" i="84"/>
  <c r="K28" i="84"/>
  <c r="L25" i="84"/>
  <c r="K25" i="84"/>
  <c r="I29" i="84"/>
  <c r="I22" i="84"/>
  <c r="L22" i="84" l="1"/>
  <c r="K22" i="84"/>
  <c r="K29" i="84"/>
  <c r="L29" i="84"/>
  <c r="J6" i="90" l="1"/>
  <c r="O6" i="90" l="1"/>
  <c r="Q6" i="90" s="1"/>
  <c r="H13" i="84" s="1"/>
  <c r="B8" i="91"/>
  <c r="B9" i="91" s="1"/>
  <c r="H30" i="84" l="1"/>
  <c r="I13" i="84"/>
  <c r="L13" i="84" l="1"/>
  <c r="L30" i="84" s="1"/>
  <c r="I30" i="84"/>
  <c r="K13" i="84"/>
  <c r="K30" i="84" s="1"/>
</calcChain>
</file>

<file path=xl/sharedStrings.xml><?xml version="1.0" encoding="utf-8"?>
<sst xmlns="http://schemas.openxmlformats.org/spreadsheetml/2006/main" count="494" uniqueCount="240">
  <si>
    <t>ANH</t>
  </si>
  <si>
    <t>NES</t>
  </si>
  <si>
    <t>NWT</t>
  </si>
  <si>
    <t>SRN</t>
  </si>
  <si>
    <t>SVT</t>
  </si>
  <si>
    <t>SWT</t>
  </si>
  <si>
    <t>SWB</t>
  </si>
  <si>
    <t>TMS</t>
  </si>
  <si>
    <t>WSH</t>
  </si>
  <si>
    <t>WSX</t>
  </si>
  <si>
    <t>YKY</t>
  </si>
  <si>
    <t>AFW</t>
  </si>
  <si>
    <t>BRL</t>
  </si>
  <si>
    <t>DVW</t>
  </si>
  <si>
    <t>PRT</t>
  </si>
  <si>
    <t>SES</t>
  </si>
  <si>
    <t>SEW</t>
  </si>
  <si>
    <t>SSC</t>
  </si>
  <si>
    <t>Company</t>
  </si>
  <si>
    <t>Assessor's name</t>
  </si>
  <si>
    <t>Peer review (initials, date and QA log ref.)</t>
  </si>
  <si>
    <t>Control</t>
  </si>
  <si>
    <t>Assessment</t>
  </si>
  <si>
    <t>Assessment gates</t>
  </si>
  <si>
    <t>References</t>
  </si>
  <si>
    <t>Need for investment</t>
  </si>
  <si>
    <t>N/A</t>
  </si>
  <si>
    <t>Need for adjustment</t>
  </si>
  <si>
    <t>Management control</t>
  </si>
  <si>
    <t>Best option for customers</t>
  </si>
  <si>
    <t>Robustness and efficiency of costs</t>
  </si>
  <si>
    <t>Customer protection</t>
  </si>
  <si>
    <t>Affordability</t>
  </si>
  <si>
    <t>Board assurance</t>
  </si>
  <si>
    <t>WS2007CAW</t>
  </si>
  <si>
    <t>Wholesale water</t>
  </si>
  <si>
    <t>Pass</t>
  </si>
  <si>
    <t>Further analysis / arguments</t>
  </si>
  <si>
    <t>Ofwat view of allowance for AMP7 (£m)</t>
  </si>
  <si>
    <t>BWH</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</si>
  <si>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</si>
  <si>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</si>
  <si>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</si>
  <si>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</si>
  <si>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</si>
  <si>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</si>
  <si>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</si>
  <si>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</si>
  <si>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</si>
  <si>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</si>
  <si>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</si>
  <si>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</si>
  <si>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</si>
  <si>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</si>
  <si>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</si>
  <si>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</si>
  <si>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</si>
  <si>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</si>
  <si>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</si>
  <si>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</si>
  <si>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</si>
  <si>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</si>
  <si>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</si>
  <si>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</si>
  <si>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</si>
  <si>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SWT21</t>
  </si>
  <si>
    <t>SWT22</t>
  </si>
  <si>
    <t>SWT23</t>
  </si>
  <si>
    <t>SWT24</t>
  </si>
  <si>
    <t>SWT25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</si>
  <si>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</si>
  <si>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</si>
  <si>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</si>
  <si>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</si>
  <si>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</si>
  <si>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</si>
  <si>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</si>
  <si>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</si>
  <si>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</si>
  <si>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</si>
  <si>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</si>
  <si>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</si>
  <si>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</si>
  <si>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</si>
  <si>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</si>
  <si>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</si>
  <si>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</si>
  <si>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</si>
  <si>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</si>
  <si>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</si>
  <si>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</si>
  <si>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</si>
  <si>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</si>
  <si>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</si>
  <si>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</si>
  <si>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</si>
  <si>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</si>
  <si>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</si>
  <si>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</si>
  <si>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</si>
  <si>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</si>
  <si>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</si>
  <si>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</si>
  <si>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</si>
  <si>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</si>
  <si>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BWH21</t>
  </si>
  <si>
    <t>BWH22</t>
  </si>
  <si>
    <t>BWH23</t>
  </si>
  <si>
    <t>BWH24</t>
  </si>
  <si>
    <t>BWH25</t>
  </si>
  <si>
    <t>DVW21</t>
  </si>
  <si>
    <t>DVW22</t>
  </si>
  <si>
    <t>DVW23</t>
  </si>
  <si>
    <t>DVW24</t>
  </si>
  <si>
    <t>DVW25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</si>
  <si>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</si>
  <si>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</si>
  <si>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</si>
  <si>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</si>
  <si>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</si>
  <si>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</si>
  <si>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</si>
  <si>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</si>
  <si>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</si>
  <si>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</si>
  <si>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</si>
  <si>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</si>
  <si>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</si>
  <si>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</si>
  <si>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</si>
  <si>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</si>
  <si>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</si>
  <si>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</si>
  <si>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</si>
  <si>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</si>
  <si>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SVE</t>
  </si>
  <si>
    <t>HDD</t>
  </si>
  <si>
    <t>Partial pass</t>
  </si>
  <si>
    <t>Capex carried through deep dive AMP7  (£m)</t>
  </si>
  <si>
    <t>realW3026TECAW</t>
  </si>
  <si>
    <t>realWS2007CAW</t>
  </si>
  <si>
    <t>£m, Enhancement capex water - WINEP / NEP ~ Water Framework Directive measures</t>
  </si>
  <si>
    <t>£m 2017-18 prices, Totex wholesale water (including cash items and atypical expenditure)</t>
  </si>
  <si>
    <t>£m 2017-18 prices, Capex WINEP / NEP ~ Water Framework Directive measures</t>
  </si>
  <si>
    <t>Cover sheet</t>
  </si>
  <si>
    <t>Materiality</t>
  </si>
  <si>
    <t xml:space="preserve">Allowed costs </t>
  </si>
  <si>
    <t>Peer review (initials, date)</t>
  </si>
  <si>
    <t>BoN code</t>
  </si>
  <si>
    <t>Enhancement line</t>
  </si>
  <si>
    <t>Cost allowance for AMP7 (£m)</t>
  </si>
  <si>
    <t>Capex in business plan - wholesale water</t>
  </si>
  <si>
    <t>Capex allowed - wholesale water</t>
  </si>
  <si>
    <t>Proportion of water resources</t>
  </si>
  <si>
    <t>Capex allowed - water resources</t>
  </si>
  <si>
    <t>Capex allowed - network plus</t>
  </si>
  <si>
    <t>Total</t>
  </si>
  <si>
    <t>Capex reallocated out to other lines</t>
  </si>
  <si>
    <t>Capex reallocated in to this line</t>
  </si>
  <si>
    <t>Net Capex reallocated in</t>
  </si>
  <si>
    <t>App 8  Securing Cost Efficiency</t>
  </si>
  <si>
    <t>Statutory obligation through EA Water Framework Directive (WFD) – Ensuring ‘no deterioration’ to waterbodies as a consequence of our activities and achieving improvements (‘good ecological status’) – where it is technically feasible or does not incur disproportionate cost.</t>
  </si>
  <si>
    <t>App 8  Securing Cost Efficiency,</t>
  </si>
  <si>
    <t>Fail</t>
  </si>
  <si>
    <t>Analysis and determination of allowance</t>
  </si>
  <si>
    <t>£m 2017-18 prices</t>
  </si>
  <si>
    <t>AMP7 total</t>
  </si>
  <si>
    <t>Net reallocations out to other lines</t>
  </si>
  <si>
    <t>Totex - AMP7 total</t>
  </si>
  <si>
    <t>Final allowance</t>
  </si>
  <si>
    <t>Capex after reallocations</t>
  </si>
  <si>
    <t>Modelled allowance</t>
  </si>
  <si>
    <t>Summary</t>
  </si>
  <si>
    <t>23 schemes have been identified. 1 Green DrWPA_ND scheme and 22 amber DrW_act schemes are identified in the NRW NEP3, March 2018 lists.</t>
  </si>
  <si>
    <t>5.8A Water Resources</t>
  </si>
  <si>
    <t>5.2 PR19 Performance Commitments</t>
  </si>
  <si>
    <t>Regulatory requirement to meet EA and NRW Green and Amber WINEP/NEP schemes. WSH reference Customer views support natural solutions, p53, though cost benefit test has not been undertaken, noting that it is under development to be applied to individual schemes.</t>
  </si>
  <si>
    <t>Deep dive sheet - Welsh Water</t>
  </si>
  <si>
    <t>13l Final AMP7 Performance Commitment Definitions, p23 to 25</t>
  </si>
  <si>
    <t>We have identified that ANH have agreed a series of cost beneficial mitigation options with the EA and in addition to licence reductions deliver 21 mitigation schemes related to sustainable abstraction, though no detail is apparent.</t>
  </si>
  <si>
    <t>PR19 Our plan 2020-2025, p83</t>
  </si>
  <si>
    <t>PR19 Our plan 2020-2025, p77-87</t>
  </si>
  <si>
    <t>The WINEP details what statutory environmental obligations ANH need to deliver during the period 2020 to 2025. ANH note that these increased significantly for AMP7 compared to AMP6.</t>
  </si>
  <si>
    <t>PR19 Our plan 2020-2025,</t>
  </si>
  <si>
    <t>PR19 Our plan 2020-2025, p99-101
10d Anglian Water Benchmarking</t>
  </si>
  <si>
    <t>Deep dive sheet - Affinity Water</t>
  </si>
  <si>
    <t>Deep dive allowance</t>
  </si>
  <si>
    <t>Shallow dive allowance</t>
  </si>
  <si>
    <t>Deep dive sheet - Severn Trent Water</t>
  </si>
  <si>
    <t>Shallow dive haircut</t>
  </si>
  <si>
    <t>Deep dive sheet - Anglian Water</t>
  </si>
  <si>
    <t>Deep dive sheet - Thames Water</t>
  </si>
  <si>
    <t>Data</t>
  </si>
  <si>
    <t>Code</t>
  </si>
  <si>
    <t>Year</t>
  </si>
  <si>
    <t>SVE21</t>
  </si>
  <si>
    <t>SVE22</t>
  </si>
  <si>
    <t>SVE23</t>
  </si>
  <si>
    <t>SVE24</t>
  </si>
  <si>
    <t>SVE25</t>
  </si>
  <si>
    <t>HDD21</t>
  </si>
  <si>
    <t>HDD22</t>
  </si>
  <si>
    <t>HDD23</t>
  </si>
  <si>
    <t>HDD24</t>
  </si>
  <si>
    <t>HDD25</t>
  </si>
  <si>
    <t>PM</t>
  </si>
  <si>
    <t>Reference to journey provided and engagement with NRW and EA to challenge programme at gateways.
WSH identify that they have limited land holding within catchments and this restricts influence in land use activities and that purchase of the land is not financially viable (£21bn).  Reference to initiatives set up in AMP6 to influence land management with stakeholders through investigations that lead from investigations to catchment management activities in AMP7 across the 23 safeguard zones. p17 -19 and p22 - 23.</t>
  </si>
  <si>
    <t>20% challenge applied due to lack of detail of solution costing and procurement/delivery opportunities for customers, and the company totex efficiency challenge applied.</t>
  </si>
  <si>
    <t>AFW Appendix 4 - Our outcomes and performance commitments</t>
  </si>
  <si>
    <t>We note the River Restoration PC and Sustainable Abstraction PC which is generally supported by customers, with under and out performance ODI's which customers considered acceptable.</t>
  </si>
  <si>
    <t>AFW Appendix 6 - Wholesale technical support document</t>
  </si>
  <si>
    <t xml:space="preserve">Statutory obligation through EA Water Framework Directive (WFD). We have identified related WFD no deterioration schemes for AIM £6.33m and for Reducing our abstractions (Sustainability Reductions) £58.42m, £64.75m, p68
Improvements in resilience of local networks to facilitate delivery of abstraction reductions of 33.71 Ml/d in our Central region and 2.6 Ml/d in our East region, 23 investigations and option appraisals in accordance with WINEP3 by 2024.
</t>
  </si>
  <si>
    <t>AFW Appendix 6 - Wholesale technical support document
AFW Appendix B - WISER report</t>
  </si>
  <si>
    <t>AFW Appendix 3 - Listening to our Customers and Stakeholders</t>
  </si>
  <si>
    <t>AFW Appendix 6 - Wholesale Technical Support Document</t>
  </si>
  <si>
    <t>Section 4.11 Supporting documentation, p70 - 74, refers to 'Unit costs PR19', for related schemes, however it is not apparent how to locate this information to demonstrate that cost estimates are robust, efficient and third party assured, therefore we have applied a cost challenge.</t>
  </si>
  <si>
    <t>We have identified suitable evidence of support for environmental interventions with customers, stakeholders and CCG.</t>
  </si>
  <si>
    <t xml:space="preserve">We note that ANH have undertaken external cost benchmarking against other water companies’ costs for PR19, and have been shown to be efficient. These are named projects across ten programmes are mostly related to WINEP or WRMP, but do not specifically cover any Wholesale Water WFD projects. We do however note the significant SDB challenge in this area in the round and reduction in abstraction licence costs.
</t>
  </si>
  <si>
    <t>Clear evidence of journey provided and engagement with EA to reduce scope but maintain outcomes with delivery extended through into AMP8, p202</t>
  </si>
  <si>
    <t>Business Plan</t>
  </si>
  <si>
    <t xml:space="preserve">Comprehensive option screening process appears to be in place referencing various financial consideration (WtP, long term Totex, EA's Benefits Appraisal Guidelines - BAG, Strategic Environmental Assessment - SEA; and Climate Change)
Quoting strong customer support for a 'real options ' mechanism  to invest only when they have greater certainty - Green schemes, p120
</t>
  </si>
  <si>
    <t>App 8  Securing Cost Efficiency
T&amp;T PR19 Estimating Report, June 18</t>
  </si>
  <si>
    <t xml:space="preserve">Strong demonstration of customer/stakeholder engagement is demonstrated through Environment Agency, Water Forum and customer research, such as 'Tap chat' community panel.
Inclusion of new Water Framework Directive PC., CO2 with under and out performance ODI's. see Appendix A3  Designing PC's and A8 Securing cost efficiency.
Evidencing use of optimisation process has focused on least cost way to maintain water service and strong track record of delivering improvements, achieving Environment Agency's top 4* rating twice in last 4 years.
We also note that SVE are stating that customers will not pay if interventions are delayed or cancelled, or if they cost more, but will share in any savings.
</t>
  </si>
  <si>
    <t>PCD4-PR19-Water Resources
CSD022-PR19- Delivering for Environment (WISER Document)</t>
  </si>
  <si>
    <t>Complying with the WFD elements of legal requirement of WINEP3
TMS state that for the Water body status (Water Framework Directive): We will deliver all confirmed WFD schemes listedon the WINEP, however we have excluded some uncertain improvement measures from our plan if they are not cost beneficial.</t>
  </si>
  <si>
    <t>CSD005-EW02-PR19- Environmental Measures Delivered Water
CSD-EWS02-PR19 - Smarter water catchments intiatives</t>
  </si>
  <si>
    <t>We note CSD005-EW02 PC for Environmental Measures Delivered and CSD005-EW02 PC for Smarter water catchments initiatives which is generally supported by customers, with under and out performance ODI's which customers considered acceptable.</t>
  </si>
  <si>
    <t xml:space="preserve">We note references to close liaison with Environment Agency considering a wide range of alternative sources, though these are not apparent, liaison with various stakeholders and challenge through the CCG. WINEP is specified by the EA but TMS note that where the selection of the most cost-beneficial solutions are generally developed collaboratively with TMS.
</t>
  </si>
  <si>
    <t>PCD4-PR19-Water Resources
PCD5-PR19-Water Network Plus
CSD022-PR19- Delivering for Environment (WISER Document)</t>
  </si>
  <si>
    <t>PCD4-PR19-Water Resources
PCD5-PR19-Water Network Plus
CSD-EWS02-PR19 - Smarter water catchments intiatives
PCD5-PR19-Water Network Plus, Section 3.6.13 Low Flows, p95/96</t>
  </si>
  <si>
    <t>PCD4-PR19- Water Resources, p36
PCD5-PR19-Water Network Plus, p45</t>
  </si>
  <si>
    <t>AFW have identified the investigations and option appraisal schemes, p51, and no deterioration investigations relating to surface water flows and groundwater bodies.
Section 4.9, p58-67 usefully sets out Regulatory Expectations, Ofwat classifications, driver and scheme details.</t>
  </si>
  <si>
    <t xml:space="preserve">ANH demonstrate that customers rank environmental enhancement highly, p5, with clear demonstration of engagement with Customer Engagement Forum, EA and Natural England. ANH state that the size of the holistic WINEP programme results in a modest increase in bills that is within the bounds of what a large majority of customers considered acceptable.  We have not been able to identify bespoke information regarding the wholesale water WFD schemes at a more granular level. We have been unable to identify a clear specific example that demonstrates effective solution optioning and cost efficiency in this area.  We do however note the significant SDB challenge in this area in the round and reduction in abstraction licence costs.
</t>
  </si>
  <si>
    <t xml:space="preserve">We have identified the Water industry national environment programme (WINEP), PR19ANH_32, performance commitment, with outperformance ODI only to incentivise delivery, noting this is related to all WINEP obligations (some exceptions in WWW which are clearly noted). Clear demonstration of engagement with Customer Engagement Forum, EA and Natural England is evidvent.   However, there is no evidence/protection that customers will not pay if interventions are delayed or cancelled in the original plan, though there have been further discussions raised by other areas within WINEP, Query ANH-IAP-CE-003. </t>
  </si>
  <si>
    <t>We have identified a lack of scheme clarity and specific breakdown of cost build-ups.  SVE reference use and challenge of independent 3rd party specialist cost expert , Turner and Townsend, whose report is based on a selection of schemes that generally confirms SVE estimates to be competitive, but these all appear to relate to SDB expenditure only, p240.
Demonstration of industry comparison of cost efficiency overheads on p240/1 quoting SVE are competitive across various sectors and in some cases at frontier or very close to, but make no comment or assessment how they could bridge these gaps and become leading edge.</t>
  </si>
  <si>
    <t xml:space="preserve">This Deep dive has been completed following the reallocation of £16.3m from Line 14 - Resilience.  It has been reallocated to Line 18 - WFD, but upon closer scrutiny it should have been rellocated to Line 17 - DrWPA, however due to timing it remains under WFD.  </t>
  </si>
  <si>
    <t>We have identified the link to the 'resilient Wales' long term strategy in Well-being of Future Generation (Wales) Act 2015 with WSH PC Wt7 - Water catchment improved has been identified, p26. It is not evident that an ODI is included to protect customers if the investment is reduced.</t>
  </si>
  <si>
    <t>We note that the level of detail on what the schemes would involve and how WSH had chosen these specific schemes based on their AMP6 investigations is not evident. The detail in how WSH considered alternative options was also limited, only had 'do nothing, maintain and enhance' options rather than specific alternative enhancements and different outcome trade-offs for different levels of spend. Generic intervention themes and top down cost model and bottom up approach to derive the programme are referred but no catchment specific details or costings are provided to demonstrate cost efficiency, p17-19 and p22-23.</t>
  </si>
  <si>
    <t xml:space="preserve">Water Resources element:
Schemes under WR price control are a mixture of GREEN and AMBER level of certainty.  It is not easily apparent what elements contribute to this expenditure, p63 Assuming River and abstraction augmentation to address Lower Lee abstraction impact £14m plus others but residual costs can not be identified.
Network+ element: 
EA WINEP identifies Amber flow aveliation schemes for Bexley WTW on the River Cray and Hawridge WTW on the River Chess. Investigations/options appraisal at both are ongoing and is expected to invoke reductions totaling 15.8 Ml/d.  In Water Resources document it states that these are to be replaced but are not specified. Bexley costed solution is for a new 11.6km treated water trunk main from Honor Oak SR to Oxleas Wood SR. Hawridge costed solution allows for shutting down the WTW and supplying customers in Tring via a new 16km trunk mains and new booster pumps.- combined expenditure is £89.8m capex. The solution and timing is uncertain due to the Amber status and ongoing options appraisal, hence the optimised optioneering and solution cost are not robustly evidenced. 
We note that TMS has mapped customer requirements to Protect the environment, one of the five strategic objectives. And evidence is referenced to continue to maintain and improve the environment from the water abstracted process.  We also identified the TMS 5 stage process referred to for selecting right solutions that deliver whole life cost efficiency in both plans, however the Bexley and Hawridge schemes are poor in scope, lacking in detail and provide no breakdown of the elements involved and the cost make-ups.  
</t>
  </si>
  <si>
    <t xml:space="preserve">We have identified the use of analytical tools and costing methods to assess options (engineering estimating system; bottom up cost methods; statistical models; historic costs and expert judgement) in both Water Resources and Networ+ price controls. This appears a suitable approach, however no specific detail is provided for WFD schemes.  Arcadis is referenced as having undertaken assessment of a sample of costs across the programme and comparative industry benchmarks, resulting in the 5% embedded efficiency challenge, but no specific WFD analysis is apparent.
We note that adopting natural capital accounting methodology is mentioned in PCD4 Water Resources, section 3.6.2, but no further explanation to how it has influenced any optioneering and decision making appears to be explained.
Reference to adopting innovative solutions in  PCD4 Water Resources, section 3.6.7 but no detail or examples provided. Table 3-9 does not readily explain the WFD Water Resource schemes and expenditure.
- bottom up pricing methodology applied with embedded efficiency challenge of £5m (-5.3% of capital expenditure).
- Major uplift in AMP7 expenditure, previous AMP6 forecast was for £25.7m for 1 low flow scheme, now 2 schemes, but still a significant uplift.
- TSD287-PR19-Wholesale Totex Master Sheet is referenced but does not appear to be available for inspection.
- There is no detailed information available on the options appraisal process, proposed solution and the cost buildups. 
- what size are the mains involved, their route, challenges associated with the mainlaying, how the main will be laid, what is the long term future for the site at Hawridge (maintain operational use in some form, mothball, abandon and sell?)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</si>
</sst>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_);\(#,##0\);&quot;-  &quot;;&quot; &quot;@&quot; &quot;"/>
    <numFmt numFmtId="167" formatCode="0.0%"/>
    <numFmt numFmtId="168" formatCode="_(* #,##0.0_);_(* \(#,##0.0\);_(* &quot;-&quot;??_);_(@_)"/>
    <numFmt numFmtId="169" formatCode="_(* #,##0_);_(* \(#,##0\);_(* &quot;-&quot;??_);_(@_)"/>
    <numFmt numFmtId="170" formatCode="_-* #,##0.000_-;\-* #,##0.000_-;_-* &quot;-&quot;??_-;_-@_-"/>
  </numFmts>
  <fonts count="4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sz val="9"/>
      <color theme="1"/>
      <name val="Calibri"/>
      <family val="2"/>
      <scheme val="minor"/>
    </font>
    <font>
      <b/>
      <sz val="14"/>
      <color theme="1"/>
      <name val="Calibri"/>
      <family val="2"/>
      <scheme val="minor"/>
    </font>
    <font>
      <sz val="10"/>
      <color theme="1"/>
      <name val="Calibri"/>
      <family val="2"/>
      <scheme val="minor"/>
    </font>
    <font>
      <i/>
      <sz val="11"/>
      <color rgb="FF7F7F7F"/>
      <name val="Arial"/>
      <family val="2"/>
    </font>
    <font>
      <b/>
      <sz val="10"/>
      <color theme="1"/>
      <name val="Calibri"/>
      <family val="2"/>
      <scheme val="minor"/>
    </font>
    <font>
      <sz val="9"/>
      <color theme="1"/>
      <name val="Arial"/>
      <family val="2"/>
    </font>
    <font>
      <sz val="11"/>
      <color rgb="FF1F497D"/>
      <name val="Calibri"/>
      <family val="2"/>
      <scheme val="minor"/>
    </font>
    <font>
      <i/>
      <sz val="10"/>
      <color rgb="FF7F7F7F"/>
      <name val="Calibri"/>
      <family val="2"/>
      <scheme val="minor"/>
    </font>
    <font>
      <b/>
      <sz val="10"/>
      <name val="Calibri"/>
      <family val="2"/>
      <scheme val="minor"/>
    </font>
    <font>
      <sz val="14"/>
      <color theme="3"/>
      <name val="Calibri"/>
      <family val="2"/>
      <scheme val="minor"/>
    </font>
    <font>
      <sz val="14"/>
      <color theme="1"/>
      <name val="Calibri"/>
      <family val="2"/>
      <scheme val="minor"/>
    </font>
    <font>
      <sz val="10"/>
      <color theme="3"/>
      <name val="Calibri"/>
      <family val="2"/>
      <scheme val="minor"/>
    </font>
    <font>
      <b/>
      <sz val="10"/>
      <color theme="3"/>
      <name val="Calibri"/>
      <family val="2"/>
      <scheme val="minor"/>
    </font>
    <font>
      <sz val="12"/>
      <color theme="3"/>
      <name val="Calibri"/>
      <family val="2"/>
      <scheme val="minor"/>
    </font>
    <font>
      <sz val="9"/>
      <name val="Calibri"/>
      <family val="2"/>
      <scheme val="minor"/>
    </font>
    <font>
      <sz val="10"/>
      <name val="Calibri"/>
      <family val="2"/>
      <scheme val="minor"/>
    </font>
    <font>
      <b/>
      <i/>
      <sz val="10"/>
      <color theme="1"/>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sz val="10"/>
      <color rgb="FF2E75B6"/>
      <name val="Calibri"/>
      <family val="2"/>
      <scheme val="minor"/>
    </font>
    <font>
      <sz val="10"/>
      <color rgb="FFFF0000"/>
      <name val="Calibri"/>
      <family val="2"/>
      <scheme val="minor"/>
    </font>
    <font>
      <sz val="10"/>
      <color rgb="FFFFC000"/>
      <name val="Calibri"/>
      <family val="2"/>
      <scheme val="minor"/>
    </font>
    <font>
      <sz val="10"/>
      <color rgb="FF00B050"/>
      <name val="Calibri"/>
      <family val="2"/>
      <scheme val="minor"/>
    </font>
    <font>
      <sz val="9"/>
      <color rgb="FF000000"/>
      <name val="Calibri"/>
      <family val="2"/>
      <scheme val="minor"/>
    </font>
    <font>
      <sz val="1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rgb="FFFE4819"/>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tint="-0.499984740745262"/>
      </bottom>
      <diagonal/>
    </border>
  </borders>
  <cellStyleXfs count="26">
    <xf numFmtId="0" fontId="0" fillId="0" borderId="0"/>
    <xf numFmtId="0" fontId="11" fillId="0" borderId="0"/>
    <xf numFmtId="0" fontId="10" fillId="0" borderId="0"/>
    <xf numFmtId="0" fontId="12" fillId="0" borderId="0"/>
    <xf numFmtId="0" fontId="13" fillId="0" borderId="0"/>
    <xf numFmtId="0" fontId="9" fillId="0" borderId="0"/>
    <xf numFmtId="164" fontId="13" fillId="0" borderId="0" applyFont="0" applyFill="0" applyBorder="0" applyAlignment="0" applyProtection="0"/>
    <xf numFmtId="9" fontId="13" fillId="0" borderId="0" applyFont="0" applyFill="0" applyBorder="0" applyAlignment="0" applyProtection="0"/>
    <xf numFmtId="0" fontId="8" fillId="0" borderId="0"/>
    <xf numFmtId="166" fontId="7" fillId="0" borderId="0" applyFont="0" applyFill="0" applyBorder="0" applyProtection="0">
      <alignment vertical="top"/>
    </xf>
    <xf numFmtId="0" fontId="13" fillId="0" borderId="0"/>
    <xf numFmtId="164" fontId="13" fillId="0" borderId="0" applyFont="0" applyFill="0" applyBorder="0" applyAlignment="0" applyProtection="0"/>
    <xf numFmtId="0" fontId="6" fillId="0" borderId="0"/>
    <xf numFmtId="0" fontId="5" fillId="0" borderId="0"/>
    <xf numFmtId="0" fontId="5" fillId="0" borderId="0"/>
    <xf numFmtId="164" fontId="13" fillId="0" borderId="0" applyFont="0" applyFill="0" applyBorder="0" applyAlignment="0" applyProtection="0"/>
    <xf numFmtId="0" fontId="13" fillId="0" borderId="0"/>
    <xf numFmtId="0" fontId="4" fillId="0" borderId="0"/>
    <xf numFmtId="0" fontId="17" fillId="0" borderId="0" applyNumberForma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19" fillId="6" borderId="0" applyBorder="0"/>
    <xf numFmtId="0" fontId="11" fillId="0" borderId="0"/>
    <xf numFmtId="0" fontId="1" fillId="0" borderId="0"/>
  </cellStyleXfs>
  <cellXfs count="113">
    <xf numFmtId="0" fontId="0" fillId="0" borderId="0" xfId="0"/>
    <xf numFmtId="0" fontId="14" fillId="0" borderId="0" xfId="0" applyFont="1" applyAlignment="1">
      <alignment vertical="center"/>
    </xf>
    <xf numFmtId="0" fontId="14" fillId="0" borderId="0" xfId="0" applyFont="1"/>
    <xf numFmtId="0" fontId="15" fillId="3" borderId="0" xfId="10" applyFont="1" applyFill="1" applyAlignment="1">
      <alignment vertical="center"/>
    </xf>
    <xf numFmtId="0" fontId="16" fillId="0" borderId="0" xfId="0" applyFont="1"/>
    <xf numFmtId="2" fontId="14" fillId="0" borderId="1" xfId="0" applyNumberFormat="1" applyFont="1" applyFill="1" applyBorder="1" applyAlignment="1">
      <alignment vertical="center"/>
    </xf>
    <xf numFmtId="2" fontId="14" fillId="0" borderId="1" xfId="16" applyNumberFormat="1" applyFont="1" applyFill="1" applyBorder="1" applyAlignment="1">
      <alignment vertical="center"/>
    </xf>
    <xf numFmtId="0" fontId="14" fillId="0" borderId="1" xfId="0" applyFont="1" applyFill="1" applyBorder="1" applyAlignment="1">
      <alignment vertical="center"/>
    </xf>
    <xf numFmtId="2" fontId="14" fillId="0" borderId="1" xfId="0" applyNumberFormat="1" applyFont="1" applyBorder="1" applyAlignment="1">
      <alignment vertical="center"/>
    </xf>
    <xf numFmtId="4" fontId="14" fillId="0" borderId="0" xfId="0" applyNumberFormat="1" applyFont="1" applyAlignment="1">
      <alignment vertical="center"/>
    </xf>
    <xf numFmtId="4" fontId="14" fillId="0" borderId="0" xfId="0" applyNumberFormat="1" applyFont="1"/>
    <xf numFmtId="0" fontId="18" fillId="0" borderId="0" xfId="0" applyFont="1"/>
    <xf numFmtId="0" fontId="18" fillId="2" borderId="1" xfId="0" applyFont="1" applyFill="1" applyBorder="1" applyAlignment="1">
      <alignment horizontal="left" wrapText="1"/>
    </xf>
    <xf numFmtId="0" fontId="18" fillId="3" borderId="0" xfId="0" applyFont="1" applyFill="1"/>
    <xf numFmtId="0" fontId="16" fillId="5" borderId="1" xfId="0" applyFont="1" applyFill="1" applyBorder="1" applyAlignment="1">
      <alignment horizontal="left"/>
    </xf>
    <xf numFmtId="0" fontId="16" fillId="0" borderId="1" xfId="0" applyFont="1" applyBorder="1" applyAlignment="1"/>
    <xf numFmtId="0" fontId="16" fillId="0" borderId="0" xfId="0" applyFont="1" applyBorder="1" applyAlignment="1"/>
    <xf numFmtId="14" fontId="16" fillId="0" borderId="1" xfId="0" applyNumberFormat="1" applyFont="1" applyBorder="1"/>
    <xf numFmtId="0" fontId="16" fillId="0" borderId="0" xfId="0" applyFont="1" applyBorder="1"/>
    <xf numFmtId="0" fontId="16" fillId="0" borderId="0" xfId="0" applyFont="1" applyBorder="1" applyAlignment="1" applyProtection="1">
      <alignment horizontal="left"/>
      <protection locked="0"/>
    </xf>
    <xf numFmtId="0" fontId="21" fillId="0" borderId="0" xfId="18" applyFont="1"/>
    <xf numFmtId="14" fontId="16" fillId="0" borderId="0" xfId="0" applyNumberFormat="1" applyFont="1" applyBorder="1" applyAlignment="1" applyProtection="1">
      <alignment horizontal="left"/>
      <protection locked="0"/>
    </xf>
    <xf numFmtId="0" fontId="16" fillId="0" borderId="6" xfId="0" applyFont="1" applyBorder="1" applyAlignment="1">
      <alignment vertical="top"/>
    </xf>
    <xf numFmtId="0" fontId="16" fillId="0" borderId="6" xfId="0" applyFont="1" applyBorder="1" applyAlignment="1"/>
    <xf numFmtId="0" fontId="16" fillId="0" borderId="0" xfId="0" applyFont="1" applyFill="1"/>
    <xf numFmtId="0" fontId="16" fillId="0" borderId="1" xfId="19" applyFont="1" applyBorder="1" applyAlignment="1">
      <alignment horizontal="center"/>
    </xf>
    <xf numFmtId="0" fontId="16" fillId="0" borderId="1" xfId="19" applyFont="1" applyBorder="1"/>
    <xf numFmtId="9" fontId="16" fillId="0" borderId="1" xfId="7" applyFont="1" applyBorder="1"/>
    <xf numFmtId="0" fontId="18" fillId="0" borderId="1" xfId="19" applyFont="1" applyBorder="1"/>
    <xf numFmtId="164" fontId="16" fillId="0" borderId="1" xfId="6" applyFont="1" applyBorder="1"/>
    <xf numFmtId="9" fontId="22" fillId="0" borderId="1" xfId="7" applyFont="1" applyBorder="1"/>
    <xf numFmtId="0" fontId="23" fillId="0" borderId="0" xfId="0" applyFont="1"/>
    <xf numFmtId="0" fontId="24" fillId="0" borderId="0" xfId="0" applyFont="1"/>
    <xf numFmtId="0" fontId="25" fillId="0" borderId="0" xfId="0" applyFont="1" applyAlignment="1">
      <alignment vertical="center"/>
    </xf>
    <xf numFmtId="2" fontId="26" fillId="0" borderId="0" xfId="0" applyNumberFormat="1" applyFont="1"/>
    <xf numFmtId="0" fontId="18" fillId="4" borderId="1" xfId="0" applyFont="1" applyFill="1" applyBorder="1" applyAlignment="1">
      <alignment horizontal="center"/>
    </xf>
    <xf numFmtId="0" fontId="18" fillId="4" borderId="1" xfId="0" applyFont="1" applyFill="1" applyBorder="1" applyAlignment="1">
      <alignment horizontal="center" wrapText="1"/>
    </xf>
    <xf numFmtId="0" fontId="16" fillId="0" borderId="1" xfId="25" applyFont="1" applyBorder="1"/>
    <xf numFmtId="168" fontId="18" fillId="0" borderId="1" xfId="6" applyNumberFormat="1" applyFont="1" applyBorder="1"/>
    <xf numFmtId="169" fontId="16" fillId="0" borderId="1" xfId="6" applyNumberFormat="1" applyFont="1" applyBorder="1"/>
    <xf numFmtId="167" fontId="16" fillId="0" borderId="1" xfId="7" applyNumberFormat="1" applyFont="1" applyBorder="1" applyAlignment="1">
      <alignment wrapText="1"/>
    </xf>
    <xf numFmtId="0" fontId="18" fillId="0" borderId="1" xfId="25" applyFont="1" applyBorder="1"/>
    <xf numFmtId="169" fontId="18" fillId="0" borderId="1" xfId="6" applyNumberFormat="1" applyFont="1" applyBorder="1"/>
    <xf numFmtId="167" fontId="18" fillId="0" borderId="1" xfId="7" applyNumberFormat="1" applyFont="1" applyBorder="1" applyAlignment="1">
      <alignment wrapText="1"/>
    </xf>
    <xf numFmtId="168" fontId="18" fillId="2" borderId="1" xfId="6" applyNumberFormat="1" applyFont="1" applyFill="1" applyBorder="1" applyAlignment="1">
      <alignment horizontal="left" wrapText="1"/>
    </xf>
    <xf numFmtId="168" fontId="18" fillId="2" borderId="1" xfId="6" quotePrefix="1" applyNumberFormat="1" applyFont="1" applyFill="1" applyBorder="1" applyAlignment="1">
      <alignment horizontal="left" wrapText="1"/>
    </xf>
    <xf numFmtId="168" fontId="18" fillId="7" borderId="1" xfId="6" applyNumberFormat="1" applyFont="1" applyFill="1" applyBorder="1" applyAlignment="1">
      <alignment horizontal="left" wrapText="1"/>
    </xf>
    <xf numFmtId="168" fontId="16" fillId="0" borderId="1" xfId="6" applyNumberFormat="1" applyFont="1" applyBorder="1"/>
    <xf numFmtId="168" fontId="16" fillId="7" borderId="1" xfId="6" applyNumberFormat="1" applyFont="1" applyFill="1" applyBorder="1"/>
    <xf numFmtId="168" fontId="22" fillId="0" borderId="1" xfId="6" applyNumberFormat="1" applyFont="1" applyBorder="1"/>
    <xf numFmtId="168" fontId="18" fillId="7" borderId="1" xfId="6" applyNumberFormat="1" applyFont="1" applyFill="1" applyBorder="1"/>
    <xf numFmtId="0" fontId="18" fillId="4" borderId="1" xfId="0" applyFont="1" applyFill="1" applyBorder="1" applyAlignment="1">
      <alignment horizontal="left" wrapText="1"/>
    </xf>
    <xf numFmtId="0" fontId="15" fillId="3" borderId="0" xfId="0" applyFont="1" applyFill="1"/>
    <xf numFmtId="170" fontId="16" fillId="0" borderId="1" xfId="11" applyNumberFormat="1" applyFont="1" applyBorder="1"/>
    <xf numFmtId="170" fontId="16" fillId="0" borderId="1" xfId="11" applyNumberFormat="1" applyFont="1" applyFill="1" applyBorder="1"/>
    <xf numFmtId="0" fontId="23" fillId="0" borderId="0" xfId="0" applyFont="1" applyAlignment="1">
      <alignment vertical="center"/>
    </xf>
    <xf numFmtId="0" fontId="16" fillId="0" borderId="0" xfId="0" applyFont="1" applyAlignment="1">
      <alignment vertical="center"/>
    </xf>
    <xf numFmtId="0" fontId="27" fillId="0" borderId="0" xfId="0" applyFont="1" applyAlignment="1">
      <alignment vertical="center"/>
    </xf>
    <xf numFmtId="0" fontId="18" fillId="4" borderId="1" xfId="0" applyFont="1" applyFill="1" applyBorder="1" applyAlignment="1">
      <alignment vertical="top" wrapText="1"/>
    </xf>
    <xf numFmtId="0" fontId="16" fillId="4" borderId="1" xfId="0" applyFont="1" applyFill="1" applyBorder="1" applyAlignment="1">
      <alignment vertical="top" wrapText="1"/>
    </xf>
    <xf numFmtId="0" fontId="15" fillId="3" borderId="2" xfId="10" applyFont="1" applyFill="1" applyBorder="1"/>
    <xf numFmtId="0" fontId="28" fillId="3" borderId="4" xfId="1" applyFont="1" applyFill="1" applyBorder="1"/>
    <xf numFmtId="0" fontId="0" fillId="0" borderId="0" xfId="0" applyFont="1"/>
    <xf numFmtId="0" fontId="0" fillId="0" borderId="0" xfId="0" applyFont="1" applyAlignment="1">
      <alignment horizontal="center" vertical="center"/>
    </xf>
    <xf numFmtId="0" fontId="22" fillId="0" borderId="0" xfId="0" applyFont="1"/>
    <xf numFmtId="0" fontId="29" fillId="0" borderId="0" xfId="1" applyFont="1"/>
    <xf numFmtId="0" fontId="0" fillId="0" borderId="0" xfId="0" applyFont="1" applyAlignment="1">
      <alignment vertical="center"/>
    </xf>
    <xf numFmtId="0" fontId="29" fillId="0" borderId="0" xfId="0" applyFont="1"/>
    <xf numFmtId="0" fontId="15" fillId="0" borderId="0" xfId="10" applyFont="1" applyAlignment="1">
      <alignment vertical="center"/>
    </xf>
    <xf numFmtId="0" fontId="16" fillId="0" borderId="1" xfId="0" applyFont="1" applyBorder="1" applyAlignment="1">
      <alignment vertical="top"/>
    </xf>
    <xf numFmtId="0" fontId="16" fillId="0" borderId="3" xfId="0" applyFont="1" applyBorder="1" applyAlignment="1">
      <alignment horizontal="left" wrapText="1"/>
    </xf>
    <xf numFmtId="165" fontId="16" fillId="0" borderId="1" xfId="0" applyNumberFormat="1" applyFont="1" applyBorder="1"/>
    <xf numFmtId="0" fontId="16" fillId="0" borderId="5" xfId="0" applyFont="1" applyBorder="1"/>
    <xf numFmtId="0" fontId="16" fillId="0" borderId="1" xfId="0" applyFont="1" applyBorder="1"/>
    <xf numFmtId="0" fontId="16" fillId="0" borderId="0" xfId="0" applyFont="1" applyAlignment="1">
      <alignment wrapText="1"/>
    </xf>
    <xf numFmtId="0" fontId="30" fillId="0" borderId="0" xfId="0" applyFont="1" applyAlignment="1">
      <alignment horizontal="left" indent="1"/>
    </xf>
    <xf numFmtId="0" fontId="16" fillId="0" borderId="1" xfId="0" applyFont="1" applyBorder="1" applyAlignment="1">
      <alignment vertical="top" wrapText="1"/>
    </xf>
    <xf numFmtId="0" fontId="16" fillId="0" borderId="0" xfId="0" applyFont="1" applyBorder="1" applyAlignment="1">
      <alignment vertical="top"/>
    </xf>
    <xf numFmtId="165" fontId="16" fillId="0" borderId="0" xfId="0" applyNumberFormat="1" applyFont="1" applyBorder="1"/>
    <xf numFmtId="0" fontId="16" fillId="0" borderId="1" xfId="0" applyFont="1" applyBorder="1" applyAlignment="1">
      <alignment wrapText="1"/>
    </xf>
    <xf numFmtId="0" fontId="15" fillId="3" borderId="0" xfId="10" applyFont="1" applyFill="1" applyAlignment="1">
      <alignment vertical="center" wrapText="1"/>
    </xf>
    <xf numFmtId="0" fontId="15" fillId="0" borderId="0" xfId="10" applyFont="1" applyAlignment="1">
      <alignment vertical="center" wrapText="1"/>
    </xf>
    <xf numFmtId="0" fontId="16" fillId="0" borderId="0" xfId="0" applyFont="1" applyAlignment="1">
      <alignment horizontal="left" wrapText="1"/>
    </xf>
    <xf numFmtId="0" fontId="16" fillId="0" borderId="1" xfId="0" applyFont="1" applyBorder="1" applyAlignment="1">
      <alignment horizontal="left" wrapText="1"/>
    </xf>
    <xf numFmtId="0" fontId="18" fillId="0" borderId="0" xfId="0" applyFont="1" applyAlignment="1">
      <alignment wrapText="1"/>
    </xf>
    <xf numFmtId="0" fontId="16" fillId="0" borderId="0" xfId="0" applyFont="1" applyBorder="1" applyAlignment="1">
      <alignment vertical="top" wrapText="1"/>
    </xf>
    <xf numFmtId="0" fontId="16" fillId="0" borderId="0" xfId="0" applyFont="1" applyBorder="1" applyAlignment="1">
      <alignment horizontal="left" wrapText="1"/>
    </xf>
    <xf numFmtId="0" fontId="35" fillId="0" borderId="0" xfId="0" applyFont="1"/>
    <xf numFmtId="0" fontId="18" fillId="0" borderId="0" xfId="0" applyFont="1" applyBorder="1"/>
    <xf numFmtId="0" fontId="38" fillId="0" borderId="0" xfId="0" applyFont="1" applyFill="1" applyBorder="1"/>
    <xf numFmtId="0" fontId="38" fillId="0" borderId="0" xfId="0" applyFont="1" applyFill="1" applyBorder="1" applyAlignment="1">
      <alignment vertical="top" wrapText="1"/>
    </xf>
    <xf numFmtId="0" fontId="29" fillId="0" borderId="0" xfId="0" applyFont="1" applyFill="1" applyAlignment="1">
      <alignment horizontal="center" wrapText="1"/>
    </xf>
    <xf numFmtId="0" fontId="16" fillId="0" borderId="0" xfId="0" applyFont="1" applyFill="1" applyAlignment="1">
      <alignment horizontal="center"/>
    </xf>
    <xf numFmtId="0" fontId="39" fillId="0" borderId="0" xfId="0" applyFont="1" applyBorder="1" applyAlignment="1">
      <alignment horizontal="left"/>
    </xf>
    <xf numFmtId="0" fontId="39" fillId="0" borderId="0" xfId="0" applyFont="1"/>
    <xf numFmtId="0" fontId="39" fillId="0" borderId="0" xfId="0" applyFont="1" applyFill="1" applyBorder="1" applyAlignment="1">
      <alignment horizontal="left"/>
    </xf>
    <xf numFmtId="14" fontId="39" fillId="0" borderId="0" xfId="0" applyNumberFormat="1" applyFont="1" applyBorder="1" applyAlignment="1">
      <alignment horizontal="left"/>
    </xf>
    <xf numFmtId="0" fontId="31" fillId="0" borderId="0" xfId="0" applyFont="1" applyBorder="1" applyAlignment="1">
      <alignment vertical="center"/>
    </xf>
    <xf numFmtId="0" fontId="32" fillId="0" borderId="0" xfId="0" applyFont="1" applyBorder="1" applyAlignment="1">
      <alignment vertical="center"/>
    </xf>
    <xf numFmtId="0" fontId="33" fillId="0" borderId="0" xfId="0" applyFont="1" applyBorder="1" applyAlignment="1">
      <alignment vertical="center"/>
    </xf>
    <xf numFmtId="0" fontId="32" fillId="0" borderId="0" xfId="0" applyFont="1" applyBorder="1" applyAlignment="1">
      <alignment horizontal="right" vertical="center"/>
    </xf>
    <xf numFmtId="0" fontId="34" fillId="0" borderId="0" xfId="0" applyFont="1" applyBorder="1" applyAlignment="1">
      <alignment horizontal="right" vertical="center"/>
    </xf>
    <xf numFmtId="0" fontId="35" fillId="0" borderId="0" xfId="0" applyFont="1" applyBorder="1" applyAlignment="1">
      <alignment vertical="center"/>
    </xf>
    <xf numFmtId="0" fontId="36" fillId="0" borderId="0" xfId="0" applyFont="1" applyBorder="1" applyAlignment="1">
      <alignment horizontal="right" vertical="center"/>
    </xf>
    <xf numFmtId="0" fontId="37" fillId="0" borderId="0" xfId="0" applyFont="1" applyBorder="1" applyAlignment="1">
      <alignment horizontal="right" vertical="center"/>
    </xf>
    <xf numFmtId="0" fontId="20" fillId="0" borderId="0" xfId="0" applyFont="1" applyBorder="1" applyAlignment="1">
      <alignment vertical="center"/>
    </xf>
    <xf numFmtId="0" fontId="0" fillId="0" borderId="0" xfId="0" applyFont="1" applyBorder="1"/>
    <xf numFmtId="0" fontId="18" fillId="0" borderId="0" xfId="0" applyFont="1" applyBorder="1" applyAlignment="1">
      <alignment horizontal="center" wrapText="1"/>
    </xf>
    <xf numFmtId="0" fontId="18" fillId="0" borderId="0"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center" wrapText="1"/>
    </xf>
    <xf numFmtId="0" fontId="16" fillId="0" borderId="0" xfId="0" applyFont="1" applyFill="1" applyAlignment="1">
      <alignment horizontal="left" wrapText="1"/>
    </xf>
    <xf numFmtId="0" fontId="31" fillId="0" borderId="0" xfId="0" applyFont="1" applyBorder="1" applyAlignment="1">
      <alignment vertical="center"/>
    </xf>
  </cellXfs>
  <cellStyles count="26">
    <cellStyle name="Comma" xfId="6" builtinId="3"/>
    <cellStyle name="Comma 2" xfId="11"/>
    <cellStyle name="Comma 3" xfId="15"/>
    <cellStyle name="Comma 4 2" xfId="20"/>
    <cellStyle name="Explanatory Text" xfId="18" builtinId="53"/>
    <cellStyle name="Normal" xfId="0" builtinId="0"/>
    <cellStyle name="Normal 2" xfId="4"/>
    <cellStyle name="Normal 2 2" xfId="1"/>
    <cellStyle name="Normal 2 2 2" xfId="10"/>
    <cellStyle name="Normal 2 3" xfId="22"/>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5 2 2 2" xfId="25"/>
    <cellStyle name="Normal 6" xfId="17"/>
    <cellStyle name="Normal 9" xfId="3"/>
    <cellStyle name="Percent" xfId="7" builtinId="5"/>
    <cellStyle name="Percent 2" xfId="21"/>
    <cellStyle name="Style 1" xfId="24"/>
    <cellStyle name="Validation error" xfId="2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E23114"/>
      <color rgb="FFD2ECB6"/>
      <color rgb="FFFFD9D9"/>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178593</xdr:rowOff>
    </xdr:from>
    <xdr:to>
      <xdr:col>2</xdr:col>
      <xdr:colOff>1220788</xdr:colOff>
      <xdr:row>14</xdr:row>
      <xdr:rowOff>216694</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1907" y="434578"/>
          <a:ext cx="9245600" cy="2901554"/>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Water Framework Directive enhancement feeder model</a:t>
          </a:r>
          <a:endParaRPr lang="en-GB" sz="1100">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Objective</a:t>
          </a:r>
          <a:endParaRPr lang="en-GB" sz="1100">
            <a:effectLst/>
          </a:endParaRPr>
        </a:p>
        <a:p>
          <a:r>
            <a:rPr lang="en-GB" sz="1100">
              <a:solidFill>
                <a:schemeClr val="dk1"/>
              </a:solidFill>
              <a:effectLst/>
              <a:latin typeface="+mn-lt"/>
              <a:ea typeface="+mn-ea"/>
              <a:cs typeface="+mn-cs"/>
            </a:rPr>
            <a:t>To assess enhancement capex expenditure submitted by companies in their PR19 business plan submissions for</a:t>
          </a:r>
          <a:r>
            <a:rPr lang="en-GB" sz="1100" baseline="0">
              <a:solidFill>
                <a:schemeClr val="dk1"/>
              </a:solidFill>
              <a:effectLst/>
              <a:latin typeface="+mn-lt"/>
              <a:ea typeface="+mn-ea"/>
              <a:cs typeface="+mn-cs"/>
            </a:rPr>
            <a:t> water framework directive measures, Table WS2 line 18 WINEP / NEP ~ Water Framework Directive measures</a:t>
          </a:r>
          <a:endParaRPr lang="en-GB" sz="1100">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endParaRPr lang="en-GB" sz="1100">
            <a:effectLst/>
          </a:endParaRPr>
        </a:p>
        <a:p>
          <a:pPr eaLnBrk="1" fontAlgn="auto" latinLnBrk="0" hangingPunct="1"/>
          <a:r>
            <a:rPr lang="en-GB" sz="1100" baseline="0">
              <a:solidFill>
                <a:schemeClr val="dk1"/>
              </a:solidFill>
              <a:effectLst/>
              <a:latin typeface="+mn-lt"/>
              <a:ea typeface="+mn-ea"/>
              <a:cs typeface="+mn-cs"/>
            </a:rPr>
            <a:t>Shallow or Deep dive assessments are carried out as no suitable cost driver could be identified for econometric modelling.   We consider impacts of misallocation, double counting and regulatory support. </a:t>
          </a:r>
          <a:r>
            <a:rPr lang="en-GB" sz="1100" b="0" i="0">
              <a:solidFill>
                <a:schemeClr val="dk1"/>
              </a:solidFill>
              <a:effectLst/>
              <a:latin typeface="+mn-lt"/>
              <a:ea typeface="+mn-ea"/>
              <a:cs typeface="+mn-cs"/>
            </a:rPr>
            <a:t>. We apply our company-specific efficiency challenge to any costs that we shallow dive. For the deep-dive assessment, we consider the availability and quality of evidence provided. We also reconcile information that has been identified within the companies’ submissions with the list of schemes in the EAs’ WINEP3, March 2018.</a:t>
          </a:r>
          <a:endParaRPr lang="en-GB" sz="1100">
            <a:effectLst/>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577454</xdr:colOff>
      <xdr:row>24</xdr:row>
      <xdr:rowOff>53579</xdr:rowOff>
    </xdr:from>
    <xdr:ext cx="4851798" cy="2331279"/>
    <xdr:sp macro="" textlink="">
      <xdr:nvSpPr>
        <xdr:cNvPr id="3" name="TextBox 2"/>
        <xdr:cNvSpPr txBox="1"/>
      </xdr:nvSpPr>
      <xdr:spPr>
        <a:xfrm>
          <a:off x="7149704" y="4446985"/>
          <a:ext cx="4851798" cy="233127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Anglian Water</a:t>
          </a:r>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a:t>Reallocated 259.8m to supply demand balance line. </a:t>
          </a:r>
          <a:r>
            <a:rPr lang="en-GB" sz="1100">
              <a:solidFill>
                <a:schemeClr val="dk1"/>
              </a:solidFill>
              <a:effectLst/>
              <a:latin typeface="+mn-lt"/>
              <a:ea typeface="+mn-ea"/>
              <a:cs typeface="+mn-cs"/>
            </a:rPr>
            <a:t>BON code: W3008SCAW</a:t>
          </a:r>
          <a:endParaRPr lang="en-GB" sz="1100"/>
        </a:p>
        <a:p>
          <a:endParaRPr lang="en-GB" sz="1100"/>
        </a:p>
        <a:p>
          <a:r>
            <a:rPr lang="en-GB" sz="1100"/>
            <a:t>In the ANH data table commentary there is a business case called WRMP supply strategy – basically these costs are associated with that and therefore we have reallocated and assessed them through the SDB method to be consistent with other companies.  Proportional allocation of WTW for Pyewipe Water Recycling Plant for non-potable water for NHH on South Humber Bank,  47% WFD L18 and 53% to Resilience L14, explanation of split not located.</a:t>
          </a:r>
        </a:p>
        <a:p>
          <a:endParaRPr lang="en-GB" sz="1100"/>
        </a:p>
        <a:p>
          <a:r>
            <a:rPr lang="en-GB" sz="1100"/>
            <a:t>Reference: PR19 Water Data Tables Commentary, WRMP Supply Side Strategy, p27 to 33</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35957</xdr:colOff>
      <xdr:row>22</xdr:row>
      <xdr:rowOff>130017</xdr:rowOff>
    </xdr:from>
    <xdr:to>
      <xdr:col>3</xdr:col>
      <xdr:colOff>27148</xdr:colOff>
      <xdr:row>50</xdr:row>
      <xdr:rowOff>120953</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35957" y="7066636"/>
          <a:ext cx="9752048" cy="47806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 arguments</a:t>
          </a:r>
        </a:p>
        <a:p>
          <a:endParaRPr lang="en-GB" sz="1100"/>
        </a:p>
        <a:p>
          <a:r>
            <a:rPr lang="en-GB" sz="1100"/>
            <a:t>AFW PR19 Data Table Commentaries p7 and 107 talks of  '</a:t>
          </a:r>
          <a:r>
            <a:rPr lang="en-GB" sz="1100" b="0" i="0" u="none" strike="noStrike" baseline="0" smtClean="0">
              <a:solidFill>
                <a:schemeClr val="dk1"/>
              </a:solidFill>
              <a:latin typeface="+mn-lt"/>
              <a:ea typeface="+mn-ea"/>
              <a:cs typeface="+mn-cs"/>
            </a:rPr>
            <a:t>Sustainability changes have also been included with a WFD no deterioration driver (WFD_ND_WRFlow), where licences are proposed to be capped to recent actual use to prevent deterioration of waterbody status.' , but any abstraction licence cost reductions are not specified OR forecast in the charges line. Noted that AMP6 will deliver 42.09 Ml/d average  DO and 39.06Ml/d in peak DO, p38, App6 Wholesale Technical Support Document.</a:t>
          </a:r>
        </a:p>
        <a:p>
          <a:endParaRPr lang="en-GB" sz="1100" b="0" i="0" u="none" strike="noStrike" baseline="0" smtClean="0">
            <a:solidFill>
              <a:schemeClr val="dk1"/>
            </a:solidFill>
            <a:latin typeface="+mn-lt"/>
            <a:ea typeface="+mn-ea"/>
            <a:cs typeface="+mn-cs"/>
          </a:endParaRPr>
        </a:p>
        <a:p>
          <a:r>
            <a:rPr lang="en-GB" sz="1100" b="0" i="0" u="none" strike="noStrike" baseline="0" smtClean="0">
              <a:solidFill>
                <a:schemeClr val="dk1"/>
              </a:solidFill>
              <a:latin typeface="+mn-lt"/>
              <a:ea typeface="+mn-ea"/>
              <a:cs typeface="+mn-cs"/>
            </a:rPr>
            <a:t>App6 p321</a:t>
          </a:r>
        </a:p>
        <a:p>
          <a:r>
            <a:rPr lang="en-GB" sz="1100" b="0" i="0" u="none" strike="noStrike" baseline="0" smtClean="0">
              <a:solidFill>
                <a:schemeClr val="dk1"/>
              </a:solidFill>
              <a:latin typeface="+mn-lt"/>
              <a:ea typeface="+mn-ea"/>
              <a:cs typeface="+mn-cs"/>
            </a:rPr>
            <a:t>18: WINEP / NEP ~ Water Framework Directive measures (WS2 line 18)</a:t>
          </a:r>
        </a:p>
        <a:p>
          <a:r>
            <a:rPr lang="en-GB" sz="1100" b="0" i="0" u="none" strike="noStrike" baseline="0" smtClean="0">
              <a:solidFill>
                <a:schemeClr val="dk1"/>
              </a:solidFill>
              <a:latin typeface="+mn-lt"/>
              <a:ea typeface="+mn-ea"/>
              <a:cs typeface="+mn-cs"/>
            </a:rPr>
            <a:t>Enhancement expenditure item % for inclusion £m for inclusion</a:t>
          </a:r>
        </a:p>
        <a:p>
          <a:r>
            <a:rPr lang="en-GB" sz="1100" b="0" i="0" u="none" strike="noStrike" baseline="0" smtClean="0">
              <a:solidFill>
                <a:schemeClr val="dk1"/>
              </a:solidFill>
              <a:latin typeface="+mn-lt"/>
              <a:ea typeface="+mn-ea"/>
              <a:cs typeface="+mn-cs"/>
            </a:rPr>
            <a:t>Catchment management: drinking water quality plans 100% 0.61</a:t>
          </a:r>
        </a:p>
        <a:p>
          <a:r>
            <a:rPr lang="en-GB" sz="1100" b="0" i="0" u="none" strike="noStrike" baseline="0" smtClean="0">
              <a:solidFill>
                <a:schemeClr val="dk1"/>
              </a:solidFill>
              <a:latin typeface="+mn-lt"/>
              <a:ea typeface="+mn-ea"/>
              <a:cs typeface="+mn-cs"/>
            </a:rPr>
            <a:t>Catchment management: River Thames pesticides 100% 2.27</a:t>
          </a:r>
        </a:p>
        <a:p>
          <a:r>
            <a:rPr lang="en-GB" sz="1100" b="0" i="0" u="none" strike="noStrike" baseline="0" smtClean="0">
              <a:solidFill>
                <a:schemeClr val="dk1"/>
              </a:solidFill>
              <a:latin typeface="+mn-lt"/>
              <a:ea typeface="+mn-ea"/>
              <a:cs typeface="+mn-cs"/>
            </a:rPr>
            <a:t>Catchment management: groundwater pesticides 100% 1.88</a:t>
          </a:r>
        </a:p>
        <a:p>
          <a:r>
            <a:rPr lang="en-GB" sz="1100" b="0" i="0" u="none" strike="noStrike" baseline="0" smtClean="0">
              <a:solidFill>
                <a:schemeClr val="dk1"/>
              </a:solidFill>
              <a:latin typeface="+mn-lt"/>
              <a:ea typeface="+mn-ea"/>
              <a:cs typeface="+mn-cs"/>
            </a:rPr>
            <a:t>Catchment management: nitrate affected sources 100% 1.81</a:t>
          </a:r>
        </a:p>
        <a:p>
          <a:r>
            <a:rPr lang="en-GB" sz="1100" b="0" i="0" u="none" strike="noStrike" baseline="0" smtClean="0">
              <a:solidFill>
                <a:schemeClr val="dk1"/>
              </a:solidFill>
              <a:latin typeface="+mn-lt"/>
              <a:ea typeface="+mn-ea"/>
              <a:cs typeface="+mn-cs"/>
            </a:rPr>
            <a:t>Sustainability Reductions (3) 100% 5.94</a:t>
          </a:r>
        </a:p>
        <a:p>
          <a:r>
            <a:rPr lang="en-GB" sz="1100" b="0" i="0" u="none" strike="noStrike" baseline="0" smtClean="0">
              <a:solidFill>
                <a:schemeClr val="dk1"/>
              </a:solidFill>
              <a:latin typeface="+mn-lt"/>
              <a:ea typeface="+mn-ea"/>
              <a:cs typeface="+mn-cs"/>
            </a:rPr>
            <a:t>Sustainability Reductions (1) 100% 44.99</a:t>
          </a:r>
        </a:p>
        <a:p>
          <a:r>
            <a:rPr lang="en-GB" sz="1100" b="0" i="0" u="none" strike="noStrike" baseline="0" smtClean="0">
              <a:solidFill>
                <a:schemeClr val="dk1"/>
              </a:solidFill>
              <a:latin typeface="+mn-lt"/>
              <a:ea typeface="+mn-ea"/>
              <a:cs typeface="+mn-cs"/>
            </a:rPr>
            <a:t>Sustainability Reductions (2) 100% 7.49</a:t>
          </a:r>
        </a:p>
        <a:p>
          <a:r>
            <a:rPr lang="en-GB" sz="1100" b="0" i="0" u="none" strike="noStrike" baseline="0" smtClean="0">
              <a:solidFill>
                <a:schemeClr val="dk1"/>
              </a:solidFill>
              <a:latin typeface="+mn-lt"/>
              <a:ea typeface="+mn-ea"/>
              <a:cs typeface="+mn-cs"/>
            </a:rPr>
            <a:t>Total: £64.99m</a:t>
          </a:r>
        </a:p>
        <a:p>
          <a:r>
            <a:rPr lang="en-GB" sz="1100" b="0" i="0" u="none" strike="noStrike" baseline="0" smtClean="0">
              <a:solidFill>
                <a:schemeClr val="dk1"/>
              </a:solidFill>
              <a:latin typeface="+mn-lt"/>
              <a:ea typeface="+mn-ea"/>
              <a:cs typeface="+mn-cs"/>
            </a:rPr>
            <a:t>Table 9-26 WINEP / NEP ~ Water Framework Directive measures</a:t>
          </a:r>
        </a:p>
        <a:p>
          <a:endParaRPr lang="en-GB" sz="1100" b="0" i="0" u="none" strike="noStrike" baseline="0" smtClean="0">
            <a:solidFill>
              <a:schemeClr val="dk1"/>
            </a:solidFill>
            <a:latin typeface="+mn-lt"/>
            <a:ea typeface="+mn-ea"/>
            <a:cs typeface="+mn-cs"/>
          </a:endParaRPr>
        </a:p>
        <a:p>
          <a:r>
            <a:rPr lang="en-GB" sz="1100" b="0" i="0" u="none" strike="noStrike">
              <a:solidFill>
                <a:schemeClr val="dk1"/>
              </a:solidFill>
              <a:effectLst/>
              <a:latin typeface="+mn-lt"/>
              <a:ea typeface="+mn-ea"/>
              <a:cs typeface="+mn-cs"/>
            </a:rPr>
            <a:t>Chalk streams partnership approach. No deterioration investigations relate to SW and GW resources</a:t>
          </a:r>
          <a:r>
            <a:rPr lang="en-GB"/>
            <a:t> </a:t>
          </a:r>
        </a:p>
        <a:p>
          <a:endParaRPr lang="en-GB" sz="1100" b="0" i="0" u="none" strike="noStrike" baseline="0" smtClean="0">
            <a:solidFill>
              <a:schemeClr val="dk1"/>
            </a:solidFill>
            <a:latin typeface="+mn-lt"/>
            <a:ea typeface="+mn-ea"/>
            <a:cs typeface="+mn-cs"/>
          </a:endParaRPr>
        </a:p>
        <a:p>
          <a:r>
            <a:rPr lang="en-GB" sz="1100" b="0" i="0" u="none" strike="noStrike" baseline="0" smtClean="0">
              <a:solidFill>
                <a:schemeClr val="dk1"/>
              </a:solidFill>
              <a:latin typeface="+mn-lt"/>
              <a:ea typeface="+mn-ea"/>
              <a:cs typeface="+mn-cs"/>
            </a:rPr>
            <a:t>App4 Our Outcomes and PCs, p83, PC: Sustainable Abstraction, reduce by 33Ml/d (but 36 Ml/d on p84)  by end of AMP7 relates to Abstraction reduction / River restoration (eg. Lee Catchment Project p119)</a:t>
          </a:r>
        </a:p>
        <a:p>
          <a:r>
            <a:rPr lang="en-GB" sz="1100" b="0" i="0" u="none" strike="noStrike" baseline="0" smtClean="0">
              <a:solidFill>
                <a:schemeClr val="dk1"/>
              </a:solidFill>
              <a:latin typeface="+mn-lt"/>
              <a:ea typeface="+mn-ea"/>
              <a:cs typeface="+mn-cs"/>
            </a:rPr>
            <a:t>App6 Wholesale Technical Support Document</a:t>
          </a:r>
        </a:p>
        <a:p>
          <a:r>
            <a:rPr lang="en-GB" sz="1100" b="0" i="0" u="none" strike="noStrike" baseline="0" smtClean="0">
              <a:solidFill>
                <a:schemeClr val="dk1"/>
              </a:solidFill>
              <a:latin typeface="+mn-lt"/>
              <a:ea typeface="+mn-ea"/>
              <a:cs typeface="+mn-cs"/>
            </a:rPr>
            <a:t>list of green WFD schemes p40, App6 Wholesale Technical Support Document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1768078</xdr:colOff>
      <xdr:row>45</xdr:row>
      <xdr:rowOff>0</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229235" y="14619002"/>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24049</xdr:colOff>
      <xdr:row>21</xdr:row>
      <xdr:rowOff>34767</xdr:rowOff>
    </xdr:from>
    <xdr:ext cx="7500701" cy="953466"/>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178830" y="9518096"/>
          <a:ext cx="7500701"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 / arguments</a:t>
          </a:r>
        </a:p>
        <a:p>
          <a:r>
            <a:rPr lang="en-GB" sz="1100"/>
            <a:t>Metalehyde</a:t>
          </a:r>
          <a:r>
            <a:rPr lang="en-GB" sz="1100" baseline="0"/>
            <a:t> reference p 32</a:t>
          </a:r>
        </a:p>
        <a:p>
          <a:r>
            <a:rPr lang="en-GB" sz="1100" baseline="0"/>
            <a:t>Deloittes financial assurance</a:t>
          </a:r>
        </a:p>
        <a:p>
          <a:r>
            <a:rPr lang="en-GB" sz="1100" baseline="0"/>
            <a:t>Jacobs technical assurance</a:t>
          </a:r>
        </a:p>
        <a:p>
          <a:r>
            <a:rPr lang="en-GB" sz="1100"/>
            <a:t>91 WINEP lines in 18 WFD measures 660km river length improved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1768078</xdr:colOff>
      <xdr:row>42</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24049</xdr:colOff>
      <xdr:row>22</xdr:row>
      <xdr:rowOff>34767</xdr:rowOff>
    </xdr:from>
    <xdr:to>
      <xdr:col>3</xdr:col>
      <xdr:colOff>15240</xdr:colOff>
      <xdr:row>36</xdr:row>
      <xdr:rowOff>198120</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66924" y="6006942"/>
          <a:ext cx="8163641" cy="283035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 arguments</a:t>
          </a:r>
        </a:p>
        <a:p>
          <a:endParaRPr lang="en-GB" sz="1100"/>
        </a:p>
        <a:p>
          <a:r>
            <a:rPr lang="en-GB" sz="1100"/>
            <a:t>No bespoke WS2 line 18  commentary to explain investment and yearly profile in  sve_s3_data_table</a:t>
          </a:r>
          <a:r>
            <a:rPr lang="en-GB" sz="1100" baseline="0"/>
            <a:t> commentary.</a:t>
          </a:r>
        </a:p>
        <a:p>
          <a:r>
            <a:rPr lang="en-GB" sz="1100" b="0" i="0" u="none" strike="noStrike">
              <a:solidFill>
                <a:schemeClr val="dk1"/>
              </a:solidFill>
              <a:effectLst/>
              <a:latin typeface="+mn-lt"/>
              <a:ea typeface="+mn-ea"/>
              <a:cs typeface="+mn-cs"/>
            </a:rPr>
            <a:t>SVE</a:t>
          </a:r>
          <a:r>
            <a:rPr lang="en-GB"/>
            <a:t> </a:t>
          </a:r>
          <a:r>
            <a:rPr lang="en-GB" sz="1100" b="0" i="0" u="none" strike="noStrike">
              <a:solidFill>
                <a:schemeClr val="dk1"/>
              </a:solidFill>
              <a:effectLst/>
              <a:latin typeface="+mn-lt"/>
              <a:ea typeface="+mn-ea"/>
              <a:cs typeface="+mn-cs"/>
            </a:rPr>
            <a:t> WS2007CAW </a:t>
          </a:r>
          <a:r>
            <a:rPr lang="en-GB"/>
            <a:t> </a:t>
          </a:r>
          <a:r>
            <a:rPr lang="en-GB" sz="1100" b="0" i="0" u="none" strike="noStrike">
              <a:solidFill>
                <a:schemeClr val="dk1"/>
              </a:solidFill>
              <a:effectLst/>
              <a:latin typeface="+mn-lt"/>
              <a:ea typeface="+mn-ea"/>
              <a:cs typeface="+mn-cs"/>
            </a:rPr>
            <a:t> Wholesale water, WINEP / NEP ~ Water Framework Directive measures </a:t>
          </a:r>
          <a:r>
            <a:rPr lang="en-GB"/>
            <a:t> </a:t>
          </a:r>
          <a:r>
            <a:rPr lang="en-GB" sz="1100" b="0" i="0" u="none" strike="noStrike">
              <a:solidFill>
                <a:schemeClr val="dk1"/>
              </a:solidFill>
              <a:effectLst/>
              <a:latin typeface="+mn-lt"/>
              <a:ea typeface="+mn-ea"/>
              <a:cs typeface="+mn-cs"/>
            </a:rPr>
            <a:t>                             </a:t>
          </a:r>
        </a:p>
        <a:p>
          <a:r>
            <a:rPr lang="en-GB" sz="1100" b="0" i="0" u="none" strike="noStrike">
              <a:solidFill>
                <a:schemeClr val="dk1"/>
              </a:solidFill>
              <a:effectLst/>
              <a:latin typeface="+mn-lt"/>
              <a:ea typeface="+mn-ea"/>
              <a:cs typeface="+mn-cs"/>
            </a:rPr>
            <a:t>AMP7 40.90m       Y1 2.96m      Y2 5.39m     Y3  6.79m    Y4  13.41m     Y5 12.36m</a:t>
          </a:r>
        </a:p>
        <a:p>
          <a:endParaRPr lang="en-GB" sz="1100"/>
        </a:p>
        <a:p>
          <a:endParaRPr lang="en-GB" sz="1100" baseline="0"/>
        </a:p>
        <a:p>
          <a:r>
            <a:rPr lang="en-GB" sz="1100" b="0" i="0" u="none" strike="noStrike" baseline="0" smtClean="0">
              <a:solidFill>
                <a:schemeClr val="dk1"/>
              </a:solidFill>
              <a:latin typeface="+mn-lt"/>
              <a:ea typeface="+mn-ea"/>
              <a:cs typeface="+mn-cs"/>
            </a:rPr>
            <a:t>App A8 Section 8.4.7 Environmental enhancements (WINEP and biodiversity) business case, p78 states....'It does not account for expenditure allocated to line 17-20, as these are covered by the interventions proposed in the Supply Demand Balance adjustment case.'</a:t>
          </a:r>
          <a:endParaRPr lang="en-GB" sz="1100" baseline="0"/>
        </a:p>
        <a:p>
          <a:endParaRPr lang="en-GB" sz="1100" baseline="0"/>
        </a:p>
        <a:p>
          <a:r>
            <a:rPr lang="en-GB" sz="1100" baseline="0"/>
            <a:t>Cumulative reductions Environmental (WINEP3) by 2025 for WSZ; 5Ml/d for Strategic Grid; 0Ml/d for Nottinghamshire; and 36Ml/d for North Staffordshire.</a:t>
          </a:r>
        </a:p>
        <a:p>
          <a:endParaRPr lang="en-GB" sz="1100" baseline="0"/>
        </a:p>
        <a:p>
          <a:r>
            <a:rPr lang="en-GB" sz="1100" baseline="0"/>
            <a:t>p250/1 provides useful pictorial overview of process involved with time and manpower involvement</a:t>
          </a:r>
        </a:p>
        <a:p>
          <a:endParaRPr lang="en-GB" sz="1100" baseline="0"/>
        </a:p>
        <a:p>
          <a:r>
            <a:rPr lang="en-GB" sz="1100" baseline="0"/>
            <a:t>See emails SVE WFD £40.9m 07/12/2018 RMac and DW.</a:t>
          </a:r>
        </a:p>
        <a:p>
          <a:endParaRPr lang="en-GB" sz="1100" baseline="0"/>
        </a:p>
        <a:p>
          <a:r>
            <a:rPr lang="en-GB" sz="1100" baseline="0"/>
            <a:t>Using WINEP3. Returns 64 scheme for SVE with filters on for completion date of 2024 and Level of certainty of Green,</a:t>
          </a:r>
        </a:p>
        <a:p>
          <a:endParaRPr lang="en-GB" sz="1100" baseline="0"/>
        </a:p>
        <a:p>
          <a:r>
            <a:rPr lang="en-GB" sz="1100" baseline="0"/>
            <a:t>Driver Codes (Primary) are:</a:t>
          </a:r>
        </a:p>
        <a:p>
          <a:r>
            <a:rPr lang="en-GB" sz="1100" baseline="0"/>
            <a:t>WFD_ND_WRFlow (Surface water, action to prevent deterioration of ecological status from flow pressures</a:t>
          </a:r>
        </a:p>
        <a:p>
          <a:r>
            <a:rPr lang="en-GB" sz="1100" baseline="0"/>
            <a:t>WFD_ND_WRHMWB (Water resources heavily modified water bodies</a:t>
          </a:r>
        </a:p>
        <a:p>
          <a:r>
            <a:rPr lang="en-GB" sz="1100" baseline="0"/>
            <a:t>WFDGW_ND_GWR (Groundwater resource)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24049</xdr:colOff>
      <xdr:row>22</xdr:row>
      <xdr:rowOff>34767</xdr:rowOff>
    </xdr:from>
    <xdr:to>
      <xdr:col>3</xdr:col>
      <xdr:colOff>15240</xdr:colOff>
      <xdr:row>32</xdr:row>
      <xdr:rowOff>54429</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24049" y="10212910"/>
          <a:ext cx="10501953" cy="167670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 arguments</a:t>
          </a:r>
        </a:p>
        <a:p>
          <a:endParaRPr lang="en-GB" sz="1100"/>
        </a:p>
        <a:p>
          <a:r>
            <a:rPr lang="en-GB" sz="1100"/>
            <a:t>No reference or commentary in DT02 PR19 Data Table Commentary</a:t>
          </a:r>
          <a:r>
            <a:rPr lang="en-GB" sz="1100" baseline="0"/>
            <a:t> to </a:t>
          </a:r>
          <a:r>
            <a:rPr lang="en-GB" sz="1100">
              <a:solidFill>
                <a:schemeClr val="dk1"/>
              </a:solidFill>
              <a:effectLst/>
              <a:latin typeface="+mn-lt"/>
              <a:ea typeface="+mn-ea"/>
              <a:cs typeface="+mn-cs"/>
            </a:rPr>
            <a:t>WS2 line 18 .</a:t>
          </a:r>
          <a:endParaRPr lang="en-GB" sz="1100"/>
        </a:p>
        <a:p>
          <a:endParaRPr lang="en-GB" sz="1100"/>
        </a:p>
        <a:p>
          <a:endParaRPr lang="en-GB" sz="1100" baseline="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1768078</xdr:colOff>
      <xdr:row>38</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5921" y="18309259"/>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
  <sheetViews>
    <sheetView showGridLines="0" zoomScale="80" zoomScaleNormal="80" workbookViewId="0">
      <selection activeCell="B18" sqref="B18"/>
    </sheetView>
  </sheetViews>
  <sheetFormatPr defaultColWidth="8.7265625" defaultRowHeight="14.5" x14ac:dyDescent="0.35"/>
  <cols>
    <col min="1" max="1" width="11.08984375" style="62" customWidth="1"/>
    <col min="2" max="2" width="100.08984375" style="62" customWidth="1"/>
    <col min="3" max="3" width="18" style="63" customWidth="1"/>
    <col min="4" max="16384" width="8.7265625" style="62"/>
  </cols>
  <sheetData>
    <row r="1" spans="1:3" ht="20.25" customHeight="1" x14ac:dyDescent="0.45">
      <c r="A1" s="60" t="s">
        <v>144</v>
      </c>
      <c r="B1" s="61"/>
      <c r="C1" s="61"/>
    </row>
    <row r="2" spans="1:3" ht="17.25" customHeight="1" x14ac:dyDescent="0.35"/>
    <row r="3" spans="1:3" ht="17.25" customHeight="1" x14ac:dyDescent="0.35"/>
    <row r="4" spans="1:3" ht="17.25" customHeight="1" x14ac:dyDescent="0.35"/>
    <row r="5" spans="1:3" ht="17.25" customHeight="1" x14ac:dyDescent="0.35"/>
    <row r="6" spans="1:3" ht="17.25" customHeight="1" x14ac:dyDescent="0.35"/>
    <row r="7" spans="1:3" ht="17.25" customHeight="1" x14ac:dyDescent="0.35"/>
    <row r="8" spans="1:3" ht="17.25" customHeight="1" x14ac:dyDescent="0.35"/>
    <row r="9" spans="1:3" ht="17.25" customHeight="1" x14ac:dyDescent="0.35"/>
    <row r="10" spans="1:3" ht="17.25" customHeight="1" x14ac:dyDescent="0.35"/>
    <row r="11" spans="1:3" ht="17.25" customHeight="1" x14ac:dyDescent="0.35"/>
    <row r="12" spans="1:3" ht="17.25" customHeight="1" x14ac:dyDescent="0.35"/>
    <row r="13" spans="1:3" ht="17.25" customHeight="1" x14ac:dyDescent="0.35"/>
    <row r="14" spans="1:3" ht="17.25" customHeight="1" x14ac:dyDescent="0.35"/>
    <row r="15" spans="1:3" ht="17.25" customHeight="1" x14ac:dyDescent="0.35"/>
    <row r="16" spans="1:3" ht="17.25" customHeight="1"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17"/>
  <sheetViews>
    <sheetView showGridLines="0" workbookViewId="0">
      <pane xSplit="3" ySplit="7" topLeftCell="D8" activePane="bottomRight" state="frozen"/>
      <selection pane="topRight"/>
      <selection pane="bottomLeft"/>
      <selection pane="bottomRight" activeCell="A8" sqref="A8"/>
    </sheetView>
  </sheetViews>
  <sheetFormatPr defaultColWidth="8.54296875" defaultRowHeight="12" x14ac:dyDescent="0.3"/>
  <cols>
    <col min="1" max="1" width="10.54296875" style="1" customWidth="1"/>
    <col min="2" max="2" width="11.08984375" style="1" customWidth="1"/>
    <col min="3" max="3" width="10.08984375" style="1" customWidth="1"/>
    <col min="4" max="6" width="13.7265625" style="2" customWidth="1"/>
    <col min="7" max="16384" width="8.54296875" style="2"/>
  </cols>
  <sheetData>
    <row r="1" spans="1:6" s="89" customFormat="1" ht="18.5" x14ac:dyDescent="0.3">
      <c r="A1" s="55" t="s">
        <v>192</v>
      </c>
      <c r="B1" s="56"/>
    </row>
    <row r="2" spans="1:6" s="89" customFormat="1" ht="15.5" x14ac:dyDescent="0.3">
      <c r="A2" s="57" t="s">
        <v>165</v>
      </c>
      <c r="B2" s="4"/>
    </row>
    <row r="3" spans="1:6" s="89" customFormat="1" ht="13" x14ac:dyDescent="0.3">
      <c r="A3" s="56"/>
      <c r="B3" s="4"/>
    </row>
    <row r="4" spans="1:6" s="89" customFormat="1" ht="13" x14ac:dyDescent="0.3">
      <c r="A4" s="56"/>
      <c r="B4" s="4"/>
    </row>
    <row r="5" spans="1:6" s="89" customFormat="1" ht="13" x14ac:dyDescent="0.3">
      <c r="A5" s="56"/>
      <c r="B5" s="4"/>
    </row>
    <row r="6" spans="1:6" s="90" customFormat="1" ht="15" customHeight="1" x14ac:dyDescent="0.35">
      <c r="A6" s="58"/>
      <c r="B6" s="58"/>
      <c r="C6" s="58"/>
      <c r="D6" s="59" t="s">
        <v>34</v>
      </c>
      <c r="E6" s="59" t="s">
        <v>140</v>
      </c>
      <c r="F6" s="59" t="s">
        <v>139</v>
      </c>
    </row>
    <row r="7" spans="1:6" s="89" customFormat="1" ht="116.25" customHeight="1" x14ac:dyDescent="0.3">
      <c r="A7" s="58" t="s">
        <v>193</v>
      </c>
      <c r="B7" s="58" t="s">
        <v>18</v>
      </c>
      <c r="C7" s="58" t="s">
        <v>194</v>
      </c>
      <c r="D7" s="58" t="s">
        <v>141</v>
      </c>
      <c r="E7" s="58" t="s">
        <v>143</v>
      </c>
      <c r="F7" s="58" t="s">
        <v>142</v>
      </c>
    </row>
    <row r="8" spans="1:6" x14ac:dyDescent="0.3">
      <c r="A8" s="6" t="s">
        <v>40</v>
      </c>
      <c r="B8" s="7" t="s">
        <v>0</v>
      </c>
      <c r="C8" s="7">
        <v>2021</v>
      </c>
      <c r="D8" s="5">
        <v>16.221780996331301</v>
      </c>
      <c r="E8" s="5">
        <v>16.221780996331301</v>
      </c>
      <c r="F8" s="8">
        <v>498.47770338281299</v>
      </c>
    </row>
    <row r="9" spans="1:6" x14ac:dyDescent="0.3">
      <c r="A9" s="6" t="s">
        <v>41</v>
      </c>
      <c r="B9" s="7" t="s">
        <v>0</v>
      </c>
      <c r="C9" s="7">
        <v>2022</v>
      </c>
      <c r="D9" s="5">
        <v>52.035762726977701</v>
      </c>
      <c r="E9" s="5">
        <v>52.035762726977701</v>
      </c>
      <c r="F9" s="8">
        <v>579.18202511472305</v>
      </c>
    </row>
    <row r="10" spans="1:6" x14ac:dyDescent="0.3">
      <c r="A10" s="6" t="s">
        <v>42</v>
      </c>
      <c r="B10" s="7" t="s">
        <v>0</v>
      </c>
      <c r="C10" s="7">
        <v>2023</v>
      </c>
      <c r="D10" s="5">
        <v>94.934230931893296</v>
      </c>
      <c r="E10" s="5">
        <v>94.934230931893296</v>
      </c>
      <c r="F10" s="8">
        <v>637.09420862741194</v>
      </c>
    </row>
    <row r="11" spans="1:6" x14ac:dyDescent="0.3">
      <c r="A11" s="6" t="s">
        <v>43</v>
      </c>
      <c r="B11" s="7" t="s">
        <v>0</v>
      </c>
      <c r="C11" s="7">
        <v>2024</v>
      </c>
      <c r="D11" s="5">
        <v>86.184753198453194</v>
      </c>
      <c r="E11" s="5">
        <v>86.184753198453194</v>
      </c>
      <c r="F11" s="8">
        <v>622.90395098778004</v>
      </c>
    </row>
    <row r="12" spans="1:6" x14ac:dyDescent="0.3">
      <c r="A12" s="6" t="s">
        <v>44</v>
      </c>
      <c r="B12" s="7" t="s">
        <v>0</v>
      </c>
      <c r="C12" s="7">
        <v>2025</v>
      </c>
      <c r="D12" s="5">
        <v>30.224601704289299</v>
      </c>
      <c r="E12" s="5">
        <v>30.224601704289299</v>
      </c>
      <c r="F12" s="8">
        <v>476.34762997356398</v>
      </c>
    </row>
    <row r="13" spans="1:6" x14ac:dyDescent="0.3">
      <c r="A13" s="6" t="s">
        <v>45</v>
      </c>
      <c r="B13" s="7" t="s">
        <v>1</v>
      </c>
      <c r="C13" s="7">
        <v>2021</v>
      </c>
      <c r="D13" s="5">
        <v>0.29599999999999999</v>
      </c>
      <c r="E13" s="5">
        <v>0.29599999999999999</v>
      </c>
      <c r="F13" s="8">
        <v>349.52199999999999</v>
      </c>
    </row>
    <row r="14" spans="1:6" x14ac:dyDescent="0.3">
      <c r="A14" s="6" t="s">
        <v>46</v>
      </c>
      <c r="B14" s="7" t="s">
        <v>1</v>
      </c>
      <c r="C14" s="7">
        <v>2022</v>
      </c>
      <c r="D14" s="5">
        <v>0.29599999999999999</v>
      </c>
      <c r="E14" s="5">
        <v>0.29599999999999999</v>
      </c>
      <c r="F14" s="8">
        <v>369.464</v>
      </c>
    </row>
    <row r="15" spans="1:6" x14ac:dyDescent="0.3">
      <c r="A15" s="6" t="s">
        <v>47</v>
      </c>
      <c r="B15" s="7" t="s">
        <v>1</v>
      </c>
      <c r="C15" s="7">
        <v>2023</v>
      </c>
      <c r="D15" s="5">
        <v>0.19800000000000001</v>
      </c>
      <c r="E15" s="5">
        <v>0.19800000000000001</v>
      </c>
      <c r="F15" s="8">
        <v>361.08300000000003</v>
      </c>
    </row>
    <row r="16" spans="1:6" x14ac:dyDescent="0.3">
      <c r="A16" s="6" t="s">
        <v>48</v>
      </c>
      <c r="B16" s="7" t="s">
        <v>1</v>
      </c>
      <c r="C16" s="7">
        <v>2024</v>
      </c>
      <c r="D16" s="5">
        <v>9.9000000000000005E-2</v>
      </c>
      <c r="E16" s="5">
        <v>9.9000000000000005E-2</v>
      </c>
      <c r="F16" s="8">
        <v>337.65199999999999</v>
      </c>
    </row>
    <row r="17" spans="1:6" x14ac:dyDescent="0.3">
      <c r="A17" s="6" t="s">
        <v>49</v>
      </c>
      <c r="B17" s="7" t="s">
        <v>1</v>
      </c>
      <c r="C17" s="7">
        <v>2025</v>
      </c>
      <c r="D17" s="5">
        <v>9.9000000000000005E-2</v>
      </c>
      <c r="E17" s="5">
        <v>9.9000000000000005E-2</v>
      </c>
      <c r="F17" s="8">
        <v>312.16300000000001</v>
      </c>
    </row>
    <row r="18" spans="1:6" x14ac:dyDescent="0.3">
      <c r="A18" s="6" t="s">
        <v>50</v>
      </c>
      <c r="B18" s="7" t="s">
        <v>2</v>
      </c>
      <c r="C18" s="7">
        <v>2021</v>
      </c>
      <c r="D18" s="5">
        <v>0</v>
      </c>
      <c r="E18" s="5">
        <v>0</v>
      </c>
      <c r="F18" s="8">
        <v>546.91416406629901</v>
      </c>
    </row>
    <row r="19" spans="1:6" x14ac:dyDescent="0.3">
      <c r="A19" s="6" t="s">
        <v>51</v>
      </c>
      <c r="B19" s="7" t="s">
        <v>2</v>
      </c>
      <c r="C19" s="7">
        <v>2022</v>
      </c>
      <c r="D19" s="5">
        <v>0</v>
      </c>
      <c r="E19" s="5">
        <v>0</v>
      </c>
      <c r="F19" s="8">
        <v>511.02602983742503</v>
      </c>
    </row>
    <row r="20" spans="1:6" x14ac:dyDescent="0.3">
      <c r="A20" s="6" t="s">
        <v>52</v>
      </c>
      <c r="B20" s="7" t="s">
        <v>2</v>
      </c>
      <c r="C20" s="7">
        <v>2023</v>
      </c>
      <c r="D20" s="5">
        <v>0</v>
      </c>
      <c r="E20" s="5">
        <v>0</v>
      </c>
      <c r="F20" s="8">
        <v>491.88321983896702</v>
      </c>
    </row>
    <row r="21" spans="1:6" x14ac:dyDescent="0.3">
      <c r="A21" s="6" t="s">
        <v>53</v>
      </c>
      <c r="B21" s="7" t="s">
        <v>2</v>
      </c>
      <c r="C21" s="7">
        <v>2024</v>
      </c>
      <c r="D21" s="5">
        <v>0</v>
      </c>
      <c r="E21" s="5">
        <v>0</v>
      </c>
      <c r="F21" s="8">
        <v>466.261810421863</v>
      </c>
    </row>
    <row r="22" spans="1:6" x14ac:dyDescent="0.3">
      <c r="A22" s="6" t="s">
        <v>54</v>
      </c>
      <c r="B22" s="7" t="s">
        <v>2</v>
      </c>
      <c r="C22" s="7">
        <v>2025</v>
      </c>
      <c r="D22" s="5">
        <v>0</v>
      </c>
      <c r="E22" s="5">
        <v>0</v>
      </c>
      <c r="F22" s="8">
        <v>461.41828629616703</v>
      </c>
    </row>
    <row r="23" spans="1:6" x14ac:dyDescent="0.3">
      <c r="A23" s="6" t="s">
        <v>55</v>
      </c>
      <c r="B23" s="7" t="s">
        <v>3</v>
      </c>
      <c r="C23" s="7">
        <v>2021</v>
      </c>
      <c r="D23" s="5">
        <v>0</v>
      </c>
      <c r="E23" s="5">
        <v>0</v>
      </c>
      <c r="F23" s="8">
        <v>250.37200000000001</v>
      </c>
    </row>
    <row r="24" spans="1:6" x14ac:dyDescent="0.3">
      <c r="A24" s="6" t="s">
        <v>56</v>
      </c>
      <c r="B24" s="7" t="s">
        <v>3</v>
      </c>
      <c r="C24" s="7">
        <v>2022</v>
      </c>
      <c r="D24" s="5">
        <v>0</v>
      </c>
      <c r="E24" s="5">
        <v>0</v>
      </c>
      <c r="F24" s="8">
        <v>250.60900000000001</v>
      </c>
    </row>
    <row r="25" spans="1:6" x14ac:dyDescent="0.3">
      <c r="A25" s="6" t="s">
        <v>57</v>
      </c>
      <c r="B25" s="7" t="s">
        <v>3</v>
      </c>
      <c r="C25" s="7">
        <v>2023</v>
      </c>
      <c r="D25" s="5">
        <v>0</v>
      </c>
      <c r="E25" s="5">
        <v>0</v>
      </c>
      <c r="F25" s="8">
        <v>233.85300000000001</v>
      </c>
    </row>
    <row r="26" spans="1:6" x14ac:dyDescent="0.3">
      <c r="A26" s="6" t="s">
        <v>58</v>
      </c>
      <c r="B26" s="7" t="s">
        <v>3</v>
      </c>
      <c r="C26" s="7">
        <v>2024</v>
      </c>
      <c r="D26" s="5">
        <v>0</v>
      </c>
      <c r="E26" s="5">
        <v>0</v>
      </c>
      <c r="F26" s="8">
        <v>230.23699999999999</v>
      </c>
    </row>
    <row r="27" spans="1:6" x14ac:dyDescent="0.3">
      <c r="A27" s="6" t="s">
        <v>59</v>
      </c>
      <c r="B27" s="7" t="s">
        <v>3</v>
      </c>
      <c r="C27" s="7">
        <v>2025</v>
      </c>
      <c r="D27" s="5">
        <v>0</v>
      </c>
      <c r="E27" s="5">
        <v>0</v>
      </c>
      <c r="F27" s="8">
        <v>261.53300000000002</v>
      </c>
    </row>
    <row r="28" spans="1:6" x14ac:dyDescent="0.3">
      <c r="A28" s="6" t="s">
        <v>60</v>
      </c>
      <c r="B28" s="7" t="s">
        <v>4</v>
      </c>
      <c r="C28" s="7">
        <v>2021</v>
      </c>
      <c r="D28" s="5">
        <v>0</v>
      </c>
      <c r="E28" s="5">
        <v>0</v>
      </c>
      <c r="F28" s="8">
        <v>0</v>
      </c>
    </row>
    <row r="29" spans="1:6" x14ac:dyDescent="0.3">
      <c r="A29" s="6" t="s">
        <v>61</v>
      </c>
      <c r="B29" s="7" t="s">
        <v>4</v>
      </c>
      <c r="C29" s="7">
        <v>2022</v>
      </c>
      <c r="D29" s="5">
        <v>0</v>
      </c>
      <c r="E29" s="5">
        <v>0</v>
      </c>
      <c r="F29" s="8">
        <v>0</v>
      </c>
    </row>
    <row r="30" spans="1:6" x14ac:dyDescent="0.3">
      <c r="A30" s="6" t="s">
        <v>62</v>
      </c>
      <c r="B30" s="7" t="s">
        <v>4</v>
      </c>
      <c r="C30" s="7">
        <v>2023</v>
      </c>
      <c r="D30" s="5">
        <v>0</v>
      </c>
      <c r="E30" s="5">
        <v>0</v>
      </c>
      <c r="F30" s="8">
        <v>0</v>
      </c>
    </row>
    <row r="31" spans="1:6" x14ac:dyDescent="0.3">
      <c r="A31" s="6" t="s">
        <v>63</v>
      </c>
      <c r="B31" s="7" t="s">
        <v>4</v>
      </c>
      <c r="C31" s="7">
        <v>2024</v>
      </c>
      <c r="D31" s="5">
        <v>0</v>
      </c>
      <c r="E31" s="5">
        <v>0</v>
      </c>
      <c r="F31" s="8">
        <v>0</v>
      </c>
    </row>
    <row r="32" spans="1:6" x14ac:dyDescent="0.3">
      <c r="A32" s="6" t="s">
        <v>64</v>
      </c>
      <c r="B32" s="7" t="s">
        <v>4</v>
      </c>
      <c r="C32" s="7">
        <v>2025</v>
      </c>
      <c r="D32" s="5">
        <v>0</v>
      </c>
      <c r="E32" s="5">
        <v>0</v>
      </c>
      <c r="F32" s="8">
        <v>0</v>
      </c>
    </row>
    <row r="33" spans="1:6" x14ac:dyDescent="0.3">
      <c r="A33" s="6" t="s">
        <v>65</v>
      </c>
      <c r="B33" s="7" t="s">
        <v>5</v>
      </c>
      <c r="C33" s="7">
        <v>2021</v>
      </c>
      <c r="D33" s="5">
        <v>0</v>
      </c>
      <c r="E33" s="5">
        <v>0</v>
      </c>
      <c r="F33" s="8">
        <v>0</v>
      </c>
    </row>
    <row r="34" spans="1:6" x14ac:dyDescent="0.3">
      <c r="A34" s="6" t="s">
        <v>66</v>
      </c>
      <c r="B34" s="7" t="s">
        <v>5</v>
      </c>
      <c r="C34" s="7">
        <v>2022</v>
      </c>
      <c r="D34" s="5">
        <v>0</v>
      </c>
      <c r="E34" s="5">
        <v>0</v>
      </c>
      <c r="F34" s="8">
        <v>0</v>
      </c>
    </row>
    <row r="35" spans="1:6" x14ac:dyDescent="0.3">
      <c r="A35" s="6" t="s">
        <v>67</v>
      </c>
      <c r="B35" s="7" t="s">
        <v>5</v>
      </c>
      <c r="C35" s="7">
        <v>2023</v>
      </c>
      <c r="D35" s="5">
        <v>0</v>
      </c>
      <c r="E35" s="5">
        <v>0</v>
      </c>
      <c r="F35" s="8">
        <v>0</v>
      </c>
    </row>
    <row r="36" spans="1:6" x14ac:dyDescent="0.3">
      <c r="A36" s="6" t="s">
        <v>68</v>
      </c>
      <c r="B36" s="7" t="s">
        <v>5</v>
      </c>
      <c r="C36" s="7">
        <v>2024</v>
      </c>
      <c r="D36" s="5">
        <v>0</v>
      </c>
      <c r="E36" s="5">
        <v>0</v>
      </c>
      <c r="F36" s="8">
        <v>0</v>
      </c>
    </row>
    <row r="37" spans="1:6" x14ac:dyDescent="0.3">
      <c r="A37" s="6" t="s">
        <v>69</v>
      </c>
      <c r="B37" s="7" t="s">
        <v>5</v>
      </c>
      <c r="C37" s="7">
        <v>2025</v>
      </c>
      <c r="D37" s="5">
        <v>0</v>
      </c>
      <c r="E37" s="5">
        <v>0</v>
      </c>
      <c r="F37" s="8">
        <v>0</v>
      </c>
    </row>
    <row r="38" spans="1:6" x14ac:dyDescent="0.3">
      <c r="A38" s="6" t="s">
        <v>70</v>
      </c>
      <c r="B38" s="7" t="s">
        <v>6</v>
      </c>
      <c r="C38" s="7">
        <v>2021</v>
      </c>
      <c r="D38" s="5">
        <v>0.184</v>
      </c>
      <c r="E38" s="5">
        <v>0.184</v>
      </c>
      <c r="F38" s="8">
        <v>164.92599999999999</v>
      </c>
    </row>
    <row r="39" spans="1:6" x14ac:dyDescent="0.3">
      <c r="A39" s="6" t="s">
        <v>71</v>
      </c>
      <c r="B39" s="7" t="s">
        <v>6</v>
      </c>
      <c r="C39" s="7">
        <v>2022</v>
      </c>
      <c r="D39" s="5">
        <v>0.17599999999999999</v>
      </c>
      <c r="E39" s="5">
        <v>0.17599999999999999</v>
      </c>
      <c r="F39" s="8">
        <v>179.66900000000001</v>
      </c>
    </row>
    <row r="40" spans="1:6" x14ac:dyDescent="0.3">
      <c r="A40" s="6" t="s">
        <v>72</v>
      </c>
      <c r="B40" s="7" t="s">
        <v>6</v>
      </c>
      <c r="C40" s="7">
        <v>2023</v>
      </c>
      <c r="D40" s="5">
        <v>7.1999999999999995E-2</v>
      </c>
      <c r="E40" s="5">
        <v>7.1999999999999995E-2</v>
      </c>
      <c r="F40" s="8">
        <v>192.19399999999999</v>
      </c>
    </row>
    <row r="41" spans="1:6" x14ac:dyDescent="0.3">
      <c r="A41" s="6" t="s">
        <v>73</v>
      </c>
      <c r="B41" s="7" t="s">
        <v>6</v>
      </c>
      <c r="C41" s="7">
        <v>2024</v>
      </c>
      <c r="D41" s="5">
        <v>7.1999999999999995E-2</v>
      </c>
      <c r="E41" s="5">
        <v>7.1999999999999995E-2</v>
      </c>
      <c r="F41" s="8">
        <v>181.702</v>
      </c>
    </row>
    <row r="42" spans="1:6" x14ac:dyDescent="0.3">
      <c r="A42" s="6" t="s">
        <v>74</v>
      </c>
      <c r="B42" s="7" t="s">
        <v>6</v>
      </c>
      <c r="C42" s="7">
        <v>2025</v>
      </c>
      <c r="D42" s="5">
        <v>7.1999999999999995E-2</v>
      </c>
      <c r="E42" s="5">
        <v>7.1999999999999995E-2</v>
      </c>
      <c r="F42" s="8">
        <v>175.761</v>
      </c>
    </row>
    <row r="43" spans="1:6" x14ac:dyDescent="0.3">
      <c r="A43" s="6" t="s">
        <v>75</v>
      </c>
      <c r="B43" s="7" t="s">
        <v>7</v>
      </c>
      <c r="C43" s="7">
        <v>2021</v>
      </c>
      <c r="D43" s="5">
        <v>7.4434186099000001</v>
      </c>
      <c r="E43" s="5">
        <v>7.4434186099000001</v>
      </c>
      <c r="F43" s="8">
        <v>1070.0059304862</v>
      </c>
    </row>
    <row r="44" spans="1:6" x14ac:dyDescent="0.3">
      <c r="A44" s="6" t="s">
        <v>76</v>
      </c>
      <c r="B44" s="7" t="s">
        <v>7</v>
      </c>
      <c r="C44" s="7">
        <v>2022</v>
      </c>
      <c r="D44" s="5">
        <v>26.8836604683</v>
      </c>
      <c r="E44" s="5">
        <v>26.8836604683</v>
      </c>
      <c r="F44" s="8">
        <v>1195.82265311585</v>
      </c>
    </row>
    <row r="45" spans="1:6" x14ac:dyDescent="0.3">
      <c r="A45" s="6" t="s">
        <v>77</v>
      </c>
      <c r="B45" s="7" t="s">
        <v>7</v>
      </c>
      <c r="C45" s="7">
        <v>2023</v>
      </c>
      <c r="D45" s="5">
        <v>27.743013726299999</v>
      </c>
      <c r="E45" s="5">
        <v>27.743013726299999</v>
      </c>
      <c r="F45" s="8">
        <v>1164.87342744906</v>
      </c>
    </row>
    <row r="46" spans="1:6" x14ac:dyDescent="0.3">
      <c r="A46" s="6" t="s">
        <v>78</v>
      </c>
      <c r="B46" s="7" t="s">
        <v>7</v>
      </c>
      <c r="C46" s="7">
        <v>2024</v>
      </c>
      <c r="D46" s="5">
        <v>29.4100785692</v>
      </c>
      <c r="E46" s="5">
        <v>29.4100785692</v>
      </c>
      <c r="F46" s="8">
        <v>1136.5628313935199</v>
      </c>
    </row>
    <row r="47" spans="1:6" x14ac:dyDescent="0.3">
      <c r="A47" s="6" t="s">
        <v>79</v>
      </c>
      <c r="B47" s="7" t="s">
        <v>7</v>
      </c>
      <c r="C47" s="7">
        <v>2025</v>
      </c>
      <c r="D47" s="5">
        <v>23.092924292999999</v>
      </c>
      <c r="E47" s="5">
        <v>23.092924292999999</v>
      </c>
      <c r="F47" s="8">
        <v>1090.9390820118099</v>
      </c>
    </row>
    <row r="48" spans="1:6" x14ac:dyDescent="0.3">
      <c r="A48" s="6" t="s">
        <v>80</v>
      </c>
      <c r="B48" s="7" t="s">
        <v>8</v>
      </c>
      <c r="C48" s="7">
        <v>2021</v>
      </c>
      <c r="D48" s="5">
        <v>0.61499999999999999</v>
      </c>
      <c r="E48" s="5">
        <v>0.61499999999999999</v>
      </c>
      <c r="F48" s="8">
        <v>329.959</v>
      </c>
    </row>
    <row r="49" spans="1:6" x14ac:dyDescent="0.3">
      <c r="A49" s="6" t="s">
        <v>81</v>
      </c>
      <c r="B49" s="7" t="s">
        <v>8</v>
      </c>
      <c r="C49" s="7">
        <v>2022</v>
      </c>
      <c r="D49" s="5">
        <v>0.69199999999999995</v>
      </c>
      <c r="E49" s="5">
        <v>0.69199999999999995</v>
      </c>
      <c r="F49" s="8">
        <v>343.76</v>
      </c>
    </row>
    <row r="50" spans="1:6" x14ac:dyDescent="0.3">
      <c r="A50" s="6" t="s">
        <v>82</v>
      </c>
      <c r="B50" s="7" t="s">
        <v>8</v>
      </c>
      <c r="C50" s="7">
        <v>2023</v>
      </c>
      <c r="D50" s="5">
        <v>0.65500000000000003</v>
      </c>
      <c r="E50" s="5">
        <v>0.65500000000000003</v>
      </c>
      <c r="F50" s="8">
        <v>335.88499999999999</v>
      </c>
    </row>
    <row r="51" spans="1:6" x14ac:dyDescent="0.3">
      <c r="A51" s="6" t="s">
        <v>83</v>
      </c>
      <c r="B51" s="7" t="s">
        <v>8</v>
      </c>
      <c r="C51" s="7">
        <v>2024</v>
      </c>
      <c r="D51" s="5">
        <v>0.38900000000000001</v>
      </c>
      <c r="E51" s="5">
        <v>0.38900000000000001</v>
      </c>
      <c r="F51" s="8">
        <v>322.13900000000001</v>
      </c>
    </row>
    <row r="52" spans="1:6" x14ac:dyDescent="0.3">
      <c r="A52" s="6" t="s">
        <v>84</v>
      </c>
      <c r="B52" s="7" t="s">
        <v>8</v>
      </c>
      <c r="C52" s="7">
        <v>2025</v>
      </c>
      <c r="D52" s="5">
        <v>0.19400000000000001</v>
      </c>
      <c r="E52" s="5">
        <v>0.19400000000000001</v>
      </c>
      <c r="F52" s="8">
        <v>314.649</v>
      </c>
    </row>
    <row r="53" spans="1:6" x14ac:dyDescent="0.3">
      <c r="A53" s="6" t="s">
        <v>85</v>
      </c>
      <c r="B53" s="7" t="s">
        <v>9</v>
      </c>
      <c r="C53" s="7">
        <v>2021</v>
      </c>
      <c r="D53" s="5">
        <v>1.0366175769230801</v>
      </c>
      <c r="E53" s="5">
        <v>1.0366175769230801</v>
      </c>
      <c r="F53" s="8">
        <v>136.11830693204701</v>
      </c>
    </row>
    <row r="54" spans="1:6" x14ac:dyDescent="0.3">
      <c r="A54" s="6" t="s">
        <v>86</v>
      </c>
      <c r="B54" s="7" t="s">
        <v>9</v>
      </c>
      <c r="C54" s="7">
        <v>2022</v>
      </c>
      <c r="D54" s="5">
        <v>0.30342807692307699</v>
      </c>
      <c r="E54" s="5">
        <v>0.30342807692307699</v>
      </c>
      <c r="F54" s="8">
        <v>127.600640139625</v>
      </c>
    </row>
    <row r="55" spans="1:6" x14ac:dyDescent="0.3">
      <c r="A55" s="6" t="s">
        <v>87</v>
      </c>
      <c r="B55" s="7" t="s">
        <v>9</v>
      </c>
      <c r="C55" s="7">
        <v>2023</v>
      </c>
      <c r="D55" s="5">
        <v>0.18408392307692301</v>
      </c>
      <c r="E55" s="5">
        <v>0.18408392307692301</v>
      </c>
      <c r="F55" s="8">
        <v>146.37373859446299</v>
      </c>
    </row>
    <row r="56" spans="1:6" x14ac:dyDescent="0.3">
      <c r="A56" s="6" t="s">
        <v>88</v>
      </c>
      <c r="B56" s="7" t="s">
        <v>9</v>
      </c>
      <c r="C56" s="7">
        <v>2024</v>
      </c>
      <c r="D56" s="5">
        <v>0.15925223076923101</v>
      </c>
      <c r="E56" s="5">
        <v>0.15925223076923101</v>
      </c>
      <c r="F56" s="8">
        <v>127.48123932778</v>
      </c>
    </row>
    <row r="57" spans="1:6" x14ac:dyDescent="0.3">
      <c r="A57" s="6" t="s">
        <v>89</v>
      </c>
      <c r="B57" s="7" t="s">
        <v>9</v>
      </c>
      <c r="C57" s="7">
        <v>2025</v>
      </c>
      <c r="D57" s="5">
        <v>0.111615923076923</v>
      </c>
      <c r="E57" s="5">
        <v>0.111615923076923</v>
      </c>
      <c r="F57" s="8">
        <v>122.774642789297</v>
      </c>
    </row>
    <row r="58" spans="1:6" x14ac:dyDescent="0.3">
      <c r="A58" s="6" t="s">
        <v>90</v>
      </c>
      <c r="B58" s="7" t="s">
        <v>10</v>
      </c>
      <c r="C58" s="7">
        <v>2021</v>
      </c>
      <c r="D58" s="5">
        <v>4.319</v>
      </c>
      <c r="E58" s="5">
        <v>4.319</v>
      </c>
      <c r="F58" s="8">
        <v>414.65499999999997</v>
      </c>
    </row>
    <row r="59" spans="1:6" x14ac:dyDescent="0.3">
      <c r="A59" s="6" t="s">
        <v>91</v>
      </c>
      <c r="B59" s="7" t="s">
        <v>10</v>
      </c>
      <c r="C59" s="7">
        <v>2022</v>
      </c>
      <c r="D59" s="5">
        <v>2.9950000000000001</v>
      </c>
      <c r="E59" s="5">
        <v>2.9950000000000001</v>
      </c>
      <c r="F59" s="8">
        <v>412.077</v>
      </c>
    </row>
    <row r="60" spans="1:6" x14ac:dyDescent="0.3">
      <c r="A60" s="6" t="s">
        <v>92</v>
      </c>
      <c r="B60" s="7" t="s">
        <v>10</v>
      </c>
      <c r="C60" s="7">
        <v>2023</v>
      </c>
      <c r="D60" s="5">
        <v>1.5649999999999999</v>
      </c>
      <c r="E60" s="5">
        <v>1.5649999999999999</v>
      </c>
      <c r="F60" s="8">
        <v>420.154</v>
      </c>
    </row>
    <row r="61" spans="1:6" x14ac:dyDescent="0.3">
      <c r="A61" s="6" t="s">
        <v>93</v>
      </c>
      <c r="B61" s="7" t="s">
        <v>10</v>
      </c>
      <c r="C61" s="7">
        <v>2024</v>
      </c>
      <c r="D61" s="5">
        <v>0.64100000000000001</v>
      </c>
      <c r="E61" s="5">
        <v>0.64100000000000001</v>
      </c>
      <c r="F61" s="8">
        <v>402.70400000000001</v>
      </c>
    </row>
    <row r="62" spans="1:6" x14ac:dyDescent="0.3">
      <c r="A62" s="6" t="s">
        <v>94</v>
      </c>
      <c r="B62" s="7" t="s">
        <v>10</v>
      </c>
      <c r="C62" s="7">
        <v>2025</v>
      </c>
      <c r="D62" s="5">
        <v>0.186</v>
      </c>
      <c r="E62" s="5">
        <v>0.186</v>
      </c>
      <c r="F62" s="8">
        <v>374.83300000000003</v>
      </c>
    </row>
    <row r="63" spans="1:6" x14ac:dyDescent="0.3">
      <c r="A63" s="6" t="s">
        <v>95</v>
      </c>
      <c r="B63" s="7" t="s">
        <v>11</v>
      </c>
      <c r="C63" s="7">
        <v>2021</v>
      </c>
      <c r="D63" s="5">
        <v>7.8410000000000002</v>
      </c>
      <c r="E63" s="5">
        <v>7.8410000000000002</v>
      </c>
      <c r="F63" s="8">
        <v>294.21575712666902</v>
      </c>
    </row>
    <row r="64" spans="1:6" x14ac:dyDescent="0.3">
      <c r="A64" s="6" t="s">
        <v>96</v>
      </c>
      <c r="B64" s="7" t="s">
        <v>11</v>
      </c>
      <c r="C64" s="7">
        <v>2022</v>
      </c>
      <c r="D64" s="5">
        <v>20.496163700940802</v>
      </c>
      <c r="E64" s="5">
        <v>20.496163700940802</v>
      </c>
      <c r="F64" s="8">
        <v>293.25057516172097</v>
      </c>
    </row>
    <row r="65" spans="1:6" x14ac:dyDescent="0.3">
      <c r="A65" s="6" t="s">
        <v>97</v>
      </c>
      <c r="B65" s="7" t="s">
        <v>11</v>
      </c>
      <c r="C65" s="7">
        <v>2023</v>
      </c>
      <c r="D65" s="5">
        <v>20.351904710927201</v>
      </c>
      <c r="E65" s="5">
        <v>20.351904710927201</v>
      </c>
      <c r="F65" s="8">
        <v>281.71299825291601</v>
      </c>
    </row>
    <row r="66" spans="1:6" x14ac:dyDescent="0.3">
      <c r="A66" s="6" t="s">
        <v>98</v>
      </c>
      <c r="B66" s="7" t="s">
        <v>11</v>
      </c>
      <c r="C66" s="7">
        <v>2024</v>
      </c>
      <c r="D66" s="5">
        <v>13.119342748177999</v>
      </c>
      <c r="E66" s="5">
        <v>13.119342748177999</v>
      </c>
      <c r="F66" s="8">
        <v>263.00993647553798</v>
      </c>
    </row>
    <row r="67" spans="1:6" x14ac:dyDescent="0.3">
      <c r="A67" s="6" t="s">
        <v>99</v>
      </c>
      <c r="B67" s="7" t="s">
        <v>11</v>
      </c>
      <c r="C67" s="7">
        <v>2025</v>
      </c>
      <c r="D67" s="5">
        <v>3.18177295594819</v>
      </c>
      <c r="E67" s="5">
        <v>3.18177295594819</v>
      </c>
      <c r="F67" s="8">
        <v>236.27183602763799</v>
      </c>
    </row>
    <row r="68" spans="1:6" x14ac:dyDescent="0.3">
      <c r="A68" s="6" t="s">
        <v>100</v>
      </c>
      <c r="B68" s="7" t="s">
        <v>12</v>
      </c>
      <c r="C68" s="7">
        <v>2021</v>
      </c>
      <c r="D68" s="5">
        <v>0</v>
      </c>
      <c r="E68" s="5">
        <v>0</v>
      </c>
      <c r="F68" s="8">
        <v>90.980999999999995</v>
      </c>
    </row>
    <row r="69" spans="1:6" x14ac:dyDescent="0.3">
      <c r="A69" s="6" t="s">
        <v>101</v>
      </c>
      <c r="B69" s="7" t="s">
        <v>12</v>
      </c>
      <c r="C69" s="7">
        <v>2022</v>
      </c>
      <c r="D69" s="5">
        <v>0</v>
      </c>
      <c r="E69" s="5">
        <v>0</v>
      </c>
      <c r="F69" s="8">
        <v>90.581999999999994</v>
      </c>
    </row>
    <row r="70" spans="1:6" x14ac:dyDescent="0.3">
      <c r="A70" s="6" t="s">
        <v>102</v>
      </c>
      <c r="B70" s="7" t="s">
        <v>12</v>
      </c>
      <c r="C70" s="7">
        <v>2023</v>
      </c>
      <c r="D70" s="5">
        <v>0</v>
      </c>
      <c r="E70" s="5">
        <v>0</v>
      </c>
      <c r="F70" s="8">
        <v>91.372</v>
      </c>
    </row>
    <row r="71" spans="1:6" x14ac:dyDescent="0.3">
      <c r="A71" s="6" t="s">
        <v>103</v>
      </c>
      <c r="B71" s="7" t="s">
        <v>12</v>
      </c>
      <c r="C71" s="7">
        <v>2024</v>
      </c>
      <c r="D71" s="5">
        <v>0</v>
      </c>
      <c r="E71" s="5">
        <v>0</v>
      </c>
      <c r="F71" s="8">
        <v>91.606999999999999</v>
      </c>
    </row>
    <row r="72" spans="1:6" x14ac:dyDescent="0.3">
      <c r="A72" s="6" t="s">
        <v>104</v>
      </c>
      <c r="B72" s="7" t="s">
        <v>12</v>
      </c>
      <c r="C72" s="7">
        <v>2025</v>
      </c>
      <c r="D72" s="5">
        <v>0</v>
      </c>
      <c r="E72" s="5">
        <v>0</v>
      </c>
      <c r="F72" s="8">
        <v>92.655000000000001</v>
      </c>
    </row>
    <row r="73" spans="1:6" x14ac:dyDescent="0.3">
      <c r="A73" s="6" t="s">
        <v>105</v>
      </c>
      <c r="B73" s="7" t="s">
        <v>39</v>
      </c>
      <c r="C73" s="7">
        <v>2021</v>
      </c>
      <c r="D73" s="5">
        <v>0</v>
      </c>
      <c r="E73" s="5">
        <v>0</v>
      </c>
      <c r="F73" s="8">
        <v>0</v>
      </c>
    </row>
    <row r="74" spans="1:6" x14ac:dyDescent="0.3">
      <c r="A74" s="6" t="s">
        <v>106</v>
      </c>
      <c r="B74" s="7" t="s">
        <v>39</v>
      </c>
      <c r="C74" s="7">
        <v>2022</v>
      </c>
      <c r="D74" s="5">
        <v>0</v>
      </c>
      <c r="E74" s="5">
        <v>0</v>
      </c>
      <c r="F74" s="8">
        <v>0</v>
      </c>
    </row>
    <row r="75" spans="1:6" x14ac:dyDescent="0.3">
      <c r="A75" s="6" t="s">
        <v>107</v>
      </c>
      <c r="B75" s="7" t="s">
        <v>39</v>
      </c>
      <c r="C75" s="7">
        <v>2023</v>
      </c>
      <c r="D75" s="5">
        <v>0</v>
      </c>
      <c r="E75" s="5">
        <v>0</v>
      </c>
      <c r="F75" s="8">
        <v>0</v>
      </c>
    </row>
    <row r="76" spans="1:6" x14ac:dyDescent="0.3">
      <c r="A76" s="6" t="s">
        <v>108</v>
      </c>
      <c r="B76" s="7" t="s">
        <v>39</v>
      </c>
      <c r="C76" s="7">
        <v>2024</v>
      </c>
      <c r="D76" s="5">
        <v>0</v>
      </c>
      <c r="E76" s="5">
        <v>0</v>
      </c>
      <c r="F76" s="8">
        <v>0</v>
      </c>
    </row>
    <row r="77" spans="1:6" x14ac:dyDescent="0.3">
      <c r="A77" s="6" t="s">
        <v>109</v>
      </c>
      <c r="B77" s="7" t="s">
        <v>39</v>
      </c>
      <c r="C77" s="7">
        <v>2025</v>
      </c>
      <c r="D77" s="5">
        <v>0</v>
      </c>
      <c r="E77" s="5">
        <v>0</v>
      </c>
      <c r="F77" s="8">
        <v>0</v>
      </c>
    </row>
    <row r="78" spans="1:6" x14ac:dyDescent="0.3">
      <c r="A78" s="6" t="s">
        <v>110</v>
      </c>
      <c r="B78" s="7" t="s">
        <v>13</v>
      </c>
      <c r="C78" s="7">
        <v>2021</v>
      </c>
      <c r="D78" s="5">
        <v>0</v>
      </c>
      <c r="E78" s="5">
        <v>0</v>
      </c>
      <c r="F78" s="8">
        <v>0</v>
      </c>
    </row>
    <row r="79" spans="1:6" x14ac:dyDescent="0.3">
      <c r="A79" s="6" t="s">
        <v>111</v>
      </c>
      <c r="B79" s="7" t="s">
        <v>13</v>
      </c>
      <c r="C79" s="7">
        <v>2022</v>
      </c>
      <c r="D79" s="5">
        <v>0</v>
      </c>
      <c r="E79" s="5">
        <v>0</v>
      </c>
      <c r="F79" s="8">
        <v>0</v>
      </c>
    </row>
    <row r="80" spans="1:6" x14ac:dyDescent="0.3">
      <c r="A80" s="6" t="s">
        <v>112</v>
      </c>
      <c r="B80" s="7" t="s">
        <v>13</v>
      </c>
      <c r="C80" s="7">
        <v>2023</v>
      </c>
      <c r="D80" s="5">
        <v>0</v>
      </c>
      <c r="E80" s="5">
        <v>0</v>
      </c>
      <c r="F80" s="8">
        <v>0</v>
      </c>
    </row>
    <row r="81" spans="1:6" x14ac:dyDescent="0.3">
      <c r="A81" s="6" t="s">
        <v>113</v>
      </c>
      <c r="B81" s="7" t="s">
        <v>13</v>
      </c>
      <c r="C81" s="7">
        <v>2024</v>
      </c>
      <c r="D81" s="5">
        <v>0</v>
      </c>
      <c r="E81" s="5">
        <v>0</v>
      </c>
      <c r="F81" s="8">
        <v>0</v>
      </c>
    </row>
    <row r="82" spans="1:6" x14ac:dyDescent="0.3">
      <c r="A82" s="6" t="s">
        <v>114</v>
      </c>
      <c r="B82" s="7" t="s">
        <v>13</v>
      </c>
      <c r="C82" s="7">
        <v>2025</v>
      </c>
      <c r="D82" s="5">
        <v>0</v>
      </c>
      <c r="E82" s="5">
        <v>0</v>
      </c>
      <c r="F82" s="8">
        <v>0</v>
      </c>
    </row>
    <row r="83" spans="1:6" x14ac:dyDescent="0.3">
      <c r="A83" s="6" t="s">
        <v>115</v>
      </c>
      <c r="B83" s="7" t="s">
        <v>14</v>
      </c>
      <c r="C83" s="7">
        <v>2021</v>
      </c>
      <c r="D83" s="5">
        <v>0</v>
      </c>
      <c r="E83" s="5">
        <v>0</v>
      </c>
      <c r="F83" s="8">
        <v>40.406999999999996</v>
      </c>
    </row>
    <row r="84" spans="1:6" x14ac:dyDescent="0.3">
      <c r="A84" s="6" t="s">
        <v>116</v>
      </c>
      <c r="B84" s="7" t="s">
        <v>14</v>
      </c>
      <c r="C84" s="7">
        <v>2022</v>
      </c>
      <c r="D84" s="5">
        <v>0</v>
      </c>
      <c r="E84" s="5">
        <v>0</v>
      </c>
      <c r="F84" s="8">
        <v>38.174999999999997</v>
      </c>
    </row>
    <row r="85" spans="1:6" x14ac:dyDescent="0.3">
      <c r="A85" s="6" t="s">
        <v>117</v>
      </c>
      <c r="B85" s="7" t="s">
        <v>14</v>
      </c>
      <c r="C85" s="7">
        <v>2023</v>
      </c>
      <c r="D85" s="5">
        <v>0</v>
      </c>
      <c r="E85" s="5">
        <v>0</v>
      </c>
      <c r="F85" s="8">
        <v>38.857999999999997</v>
      </c>
    </row>
    <row r="86" spans="1:6" x14ac:dyDescent="0.3">
      <c r="A86" s="6" t="s">
        <v>118</v>
      </c>
      <c r="B86" s="7" t="s">
        <v>14</v>
      </c>
      <c r="C86" s="7">
        <v>2024</v>
      </c>
      <c r="D86" s="5">
        <v>0</v>
      </c>
      <c r="E86" s="5">
        <v>0</v>
      </c>
      <c r="F86" s="8">
        <v>51.771999999999998</v>
      </c>
    </row>
    <row r="87" spans="1:6" x14ac:dyDescent="0.3">
      <c r="A87" s="6" t="s">
        <v>119</v>
      </c>
      <c r="B87" s="7" t="s">
        <v>14</v>
      </c>
      <c r="C87" s="7">
        <v>2025</v>
      </c>
      <c r="D87" s="5">
        <v>0</v>
      </c>
      <c r="E87" s="5">
        <v>0</v>
      </c>
      <c r="F87" s="8">
        <v>54.731999999999999</v>
      </c>
    </row>
    <row r="88" spans="1:6" x14ac:dyDescent="0.3">
      <c r="A88" s="6" t="s">
        <v>120</v>
      </c>
      <c r="B88" s="7" t="s">
        <v>15</v>
      </c>
      <c r="C88" s="7">
        <v>2021</v>
      </c>
      <c r="D88" s="5">
        <v>0</v>
      </c>
      <c r="E88" s="5">
        <v>0</v>
      </c>
      <c r="F88" s="8">
        <v>52.654000000000003</v>
      </c>
    </row>
    <row r="89" spans="1:6" x14ac:dyDescent="0.3">
      <c r="A89" s="6" t="s">
        <v>121</v>
      </c>
      <c r="B89" s="7" t="s">
        <v>15</v>
      </c>
      <c r="C89" s="7">
        <v>2022</v>
      </c>
      <c r="D89" s="5">
        <v>0</v>
      </c>
      <c r="E89" s="5">
        <v>0</v>
      </c>
      <c r="F89" s="8">
        <v>57.351999999999997</v>
      </c>
    </row>
    <row r="90" spans="1:6" x14ac:dyDescent="0.3">
      <c r="A90" s="6" t="s">
        <v>122</v>
      </c>
      <c r="B90" s="7" t="s">
        <v>15</v>
      </c>
      <c r="C90" s="7">
        <v>2023</v>
      </c>
      <c r="D90" s="5">
        <v>0</v>
      </c>
      <c r="E90" s="5">
        <v>0</v>
      </c>
      <c r="F90" s="8">
        <v>51.917999999999999</v>
      </c>
    </row>
    <row r="91" spans="1:6" x14ac:dyDescent="0.3">
      <c r="A91" s="6" t="s">
        <v>123</v>
      </c>
      <c r="B91" s="7" t="s">
        <v>15</v>
      </c>
      <c r="C91" s="7">
        <v>2024</v>
      </c>
      <c r="D91" s="5">
        <v>0</v>
      </c>
      <c r="E91" s="5">
        <v>0</v>
      </c>
      <c r="F91" s="8">
        <v>46.165999999999997</v>
      </c>
    </row>
    <row r="92" spans="1:6" x14ac:dyDescent="0.3">
      <c r="A92" s="6" t="s">
        <v>124</v>
      </c>
      <c r="B92" s="7" t="s">
        <v>15</v>
      </c>
      <c r="C92" s="7">
        <v>2025</v>
      </c>
      <c r="D92" s="5">
        <v>0</v>
      </c>
      <c r="E92" s="5">
        <v>0</v>
      </c>
      <c r="F92" s="8">
        <v>45.219000000000001</v>
      </c>
    </row>
    <row r="93" spans="1:6" x14ac:dyDescent="0.3">
      <c r="A93" s="6" t="s">
        <v>125</v>
      </c>
      <c r="B93" s="7" t="s">
        <v>16</v>
      </c>
      <c r="C93" s="7">
        <v>2021</v>
      </c>
      <c r="D93" s="5">
        <v>1.0636649743214801</v>
      </c>
      <c r="E93" s="5">
        <v>1.0636649743214801</v>
      </c>
      <c r="F93" s="8">
        <v>172.16200000000001</v>
      </c>
    </row>
    <row r="94" spans="1:6" x14ac:dyDescent="0.3">
      <c r="A94" s="6" t="s">
        <v>126</v>
      </c>
      <c r="B94" s="7" t="s">
        <v>16</v>
      </c>
      <c r="C94" s="7">
        <v>2022</v>
      </c>
      <c r="D94" s="5">
        <v>0.87118844190547895</v>
      </c>
      <c r="E94" s="5">
        <v>0.87118844190547895</v>
      </c>
      <c r="F94" s="8">
        <v>199.673</v>
      </c>
    </row>
    <row r="95" spans="1:6" x14ac:dyDescent="0.3">
      <c r="A95" s="6" t="s">
        <v>127</v>
      </c>
      <c r="B95" s="7" t="s">
        <v>16</v>
      </c>
      <c r="C95" s="7">
        <v>2023</v>
      </c>
      <c r="D95" s="5">
        <v>0.87717899563558499</v>
      </c>
      <c r="E95" s="5">
        <v>0.87717899563558499</v>
      </c>
      <c r="F95" s="8">
        <v>208.291</v>
      </c>
    </row>
    <row r="96" spans="1:6" x14ac:dyDescent="0.3">
      <c r="A96" s="6" t="s">
        <v>128</v>
      </c>
      <c r="B96" s="7" t="s">
        <v>16</v>
      </c>
      <c r="C96" s="7">
        <v>2024</v>
      </c>
      <c r="D96" s="5">
        <v>0.79467416555042603</v>
      </c>
      <c r="E96" s="5">
        <v>0.79467416555042603</v>
      </c>
      <c r="F96" s="8">
        <v>186.22200000000001</v>
      </c>
    </row>
    <row r="97" spans="1:6" x14ac:dyDescent="0.3">
      <c r="A97" s="6" t="s">
        <v>129</v>
      </c>
      <c r="B97" s="7" t="s">
        <v>16</v>
      </c>
      <c r="C97" s="7">
        <v>2025</v>
      </c>
      <c r="D97" s="5">
        <v>0.80210038286895702</v>
      </c>
      <c r="E97" s="5">
        <v>0.80210038286895702</v>
      </c>
      <c r="F97" s="8">
        <v>194.59899999999999</v>
      </c>
    </row>
    <row r="98" spans="1:6" x14ac:dyDescent="0.3">
      <c r="A98" s="6" t="s">
        <v>130</v>
      </c>
      <c r="B98" s="7" t="s">
        <v>17</v>
      </c>
      <c r="C98" s="7">
        <v>2021</v>
      </c>
      <c r="D98" s="5">
        <v>0.10990889299819701</v>
      </c>
      <c r="E98" s="5">
        <v>0.10990889299819701</v>
      </c>
      <c r="F98" s="8">
        <v>112.527432753265</v>
      </c>
    </row>
    <row r="99" spans="1:6" x14ac:dyDescent="0.3">
      <c r="A99" s="6" t="s">
        <v>131</v>
      </c>
      <c r="B99" s="7" t="s">
        <v>17</v>
      </c>
      <c r="C99" s="7">
        <v>2022</v>
      </c>
      <c r="D99" s="5">
        <v>0.10990889299819701</v>
      </c>
      <c r="E99" s="5">
        <v>0.10990889299819701</v>
      </c>
      <c r="F99" s="8">
        <v>116.29561663750501</v>
      </c>
    </row>
    <row r="100" spans="1:6" x14ac:dyDescent="0.3">
      <c r="A100" s="6" t="s">
        <v>132</v>
      </c>
      <c r="B100" s="7" t="s">
        <v>17</v>
      </c>
      <c r="C100" s="7">
        <v>2023</v>
      </c>
      <c r="D100" s="5">
        <v>0.10990889299819701</v>
      </c>
      <c r="E100" s="5">
        <v>0.10990889299819701</v>
      </c>
      <c r="F100" s="8">
        <v>117.955781425252</v>
      </c>
    </row>
    <row r="101" spans="1:6" x14ac:dyDescent="0.3">
      <c r="A101" s="6" t="s">
        <v>133</v>
      </c>
      <c r="B101" s="7" t="s">
        <v>17</v>
      </c>
      <c r="C101" s="7">
        <v>2024</v>
      </c>
      <c r="D101" s="5">
        <v>0.10990889299819701</v>
      </c>
      <c r="E101" s="5">
        <v>0.10990889299819701</v>
      </c>
      <c r="F101" s="8">
        <v>94.121966414052807</v>
      </c>
    </row>
    <row r="102" spans="1:6" x14ac:dyDescent="0.3">
      <c r="A102" s="6" t="s">
        <v>134</v>
      </c>
      <c r="B102" s="7" t="s">
        <v>17</v>
      </c>
      <c r="C102" s="7">
        <v>2025</v>
      </c>
      <c r="D102" s="5">
        <v>0.10990889299819701</v>
      </c>
      <c r="E102" s="5">
        <v>0.10990889299819701</v>
      </c>
      <c r="F102" s="8">
        <v>97.128204442325099</v>
      </c>
    </row>
    <row r="103" spans="1:6" x14ac:dyDescent="0.3">
      <c r="A103" s="6" t="s">
        <v>195</v>
      </c>
      <c r="B103" s="7" t="s">
        <v>135</v>
      </c>
      <c r="C103" s="7">
        <v>2021</v>
      </c>
      <c r="D103" s="5">
        <v>2.9550000000000001</v>
      </c>
      <c r="E103" s="5">
        <v>2.9550000000000001</v>
      </c>
      <c r="F103" s="8">
        <v>575.06571742576398</v>
      </c>
    </row>
    <row r="104" spans="1:6" x14ac:dyDescent="0.3">
      <c r="A104" s="6" t="s">
        <v>196</v>
      </c>
      <c r="B104" s="7" t="s">
        <v>135</v>
      </c>
      <c r="C104" s="7">
        <v>2022</v>
      </c>
      <c r="D104" s="5">
        <v>5.3890000000000002</v>
      </c>
      <c r="E104" s="5">
        <v>5.3890000000000002</v>
      </c>
      <c r="F104" s="8">
        <v>631.12859132579104</v>
      </c>
    </row>
    <row r="105" spans="1:6" x14ac:dyDescent="0.3">
      <c r="A105" s="6" t="s">
        <v>197</v>
      </c>
      <c r="B105" s="7" t="s">
        <v>135</v>
      </c>
      <c r="C105" s="7">
        <v>2023</v>
      </c>
      <c r="D105" s="5">
        <v>6.7869999999999999</v>
      </c>
      <c r="E105" s="5">
        <v>6.7869999999999999</v>
      </c>
      <c r="F105" s="8">
        <v>643.43469392974998</v>
      </c>
    </row>
    <row r="106" spans="1:6" x14ac:dyDescent="0.3">
      <c r="A106" s="6" t="s">
        <v>198</v>
      </c>
      <c r="B106" s="7" t="s">
        <v>135</v>
      </c>
      <c r="C106" s="7">
        <v>2024</v>
      </c>
      <c r="D106" s="5">
        <v>13.404999999999999</v>
      </c>
      <c r="E106" s="5">
        <v>13.404999999999999</v>
      </c>
      <c r="F106" s="8">
        <v>635.41164547131598</v>
      </c>
    </row>
    <row r="107" spans="1:6" x14ac:dyDescent="0.3">
      <c r="A107" s="6" t="s">
        <v>199</v>
      </c>
      <c r="B107" s="7" t="s">
        <v>135</v>
      </c>
      <c r="C107" s="7">
        <v>2025</v>
      </c>
      <c r="D107" s="5">
        <v>12.364000000000001</v>
      </c>
      <c r="E107" s="5">
        <v>12.364000000000001</v>
      </c>
      <c r="F107" s="8">
        <v>630.76354224170598</v>
      </c>
    </row>
    <row r="108" spans="1:6" x14ac:dyDescent="0.3">
      <c r="A108" s="6" t="s">
        <v>200</v>
      </c>
      <c r="B108" s="7" t="s">
        <v>136</v>
      </c>
      <c r="C108" s="7">
        <v>2021</v>
      </c>
      <c r="D108" s="5">
        <v>0</v>
      </c>
      <c r="E108" s="5">
        <v>0</v>
      </c>
      <c r="F108" s="8">
        <v>26.872050951823599</v>
      </c>
    </row>
    <row r="109" spans="1:6" x14ac:dyDescent="0.3">
      <c r="A109" s="6" t="s">
        <v>201</v>
      </c>
      <c r="B109" s="7" t="s">
        <v>136</v>
      </c>
      <c r="C109" s="7">
        <v>2022</v>
      </c>
      <c r="D109" s="5">
        <v>0</v>
      </c>
      <c r="E109" s="5">
        <v>0</v>
      </c>
      <c r="F109" s="8">
        <v>26.692718899269298</v>
      </c>
    </row>
    <row r="110" spans="1:6" x14ac:dyDescent="0.3">
      <c r="A110" s="6" t="s">
        <v>202</v>
      </c>
      <c r="B110" s="7" t="s">
        <v>136</v>
      </c>
      <c r="C110" s="7">
        <v>2023</v>
      </c>
      <c r="D110" s="5">
        <v>0</v>
      </c>
      <c r="E110" s="5">
        <v>0</v>
      </c>
      <c r="F110" s="8">
        <v>26.203587153191499</v>
      </c>
    </row>
    <row r="111" spans="1:6" x14ac:dyDescent="0.3">
      <c r="A111" s="6" t="s">
        <v>203</v>
      </c>
      <c r="B111" s="7" t="s">
        <v>136</v>
      </c>
      <c r="C111" s="7">
        <v>2024</v>
      </c>
      <c r="D111" s="5">
        <v>0</v>
      </c>
      <c r="E111" s="5">
        <v>0</v>
      </c>
      <c r="F111" s="8">
        <v>25.616950688549899</v>
      </c>
    </row>
    <row r="112" spans="1:6" x14ac:dyDescent="0.3">
      <c r="A112" s="6" t="s">
        <v>204</v>
      </c>
      <c r="B112" s="7" t="s">
        <v>136</v>
      </c>
      <c r="C112" s="7">
        <v>2025</v>
      </c>
      <c r="D112" s="5">
        <v>0</v>
      </c>
      <c r="E112" s="5">
        <v>0</v>
      </c>
      <c r="F112" s="8">
        <v>25.9173372120738</v>
      </c>
    </row>
    <row r="113" spans="1:7" x14ac:dyDescent="0.3">
      <c r="B113" s="2"/>
      <c r="C113" s="2"/>
    </row>
    <row r="114" spans="1:7" s="10" customFormat="1" x14ac:dyDescent="0.3">
      <c r="A114" s="9"/>
      <c r="B114" s="2"/>
      <c r="C114" s="2"/>
      <c r="D114" s="2"/>
      <c r="E114" s="2"/>
      <c r="F114" s="2"/>
      <c r="G114" s="2"/>
    </row>
    <row r="115" spans="1:7" x14ac:dyDescent="0.3">
      <c r="B115" s="2"/>
      <c r="C115" s="2"/>
    </row>
    <row r="116" spans="1:7" x14ac:dyDescent="0.3">
      <c r="B116" s="2"/>
      <c r="C116" s="2"/>
    </row>
    <row r="117" spans="1:7" x14ac:dyDescent="0.3">
      <c r="B117" s="2"/>
      <c r="C117"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23"/>
  <sheetViews>
    <sheetView showGridLines="0" topLeftCell="A7" zoomScale="80" zoomScaleNormal="80" workbookViewId="0">
      <selection activeCell="N13" sqref="N13"/>
    </sheetView>
  </sheetViews>
  <sheetFormatPr defaultColWidth="9" defaultRowHeight="13" x14ac:dyDescent="0.3"/>
  <cols>
    <col min="1" max="1" width="2.81640625" style="4" customWidth="1"/>
    <col min="2" max="8" width="9" style="4"/>
    <col min="9" max="9" width="14.54296875" style="4" customWidth="1"/>
    <col min="10" max="10" width="11.7265625" style="4" customWidth="1"/>
    <col min="11" max="13" width="9" style="4"/>
    <col min="14" max="14" width="11.26953125" style="4" customWidth="1"/>
    <col min="15" max="15" width="14.26953125" style="4" customWidth="1"/>
    <col min="16" max="16" width="11.7265625" style="4" customWidth="1"/>
    <col min="17" max="17" width="10.26953125" style="4" customWidth="1"/>
    <col min="18" max="16384" width="9" style="4"/>
  </cols>
  <sheetData>
    <row r="1" spans="1:34" s="32" customFormat="1" ht="18.5" x14ac:dyDescent="0.45">
      <c r="A1" s="31" t="s">
        <v>164</v>
      </c>
      <c r="S1" s="4"/>
      <c r="T1" s="4"/>
      <c r="U1" s="4"/>
      <c r="V1" s="4"/>
      <c r="W1" s="4"/>
      <c r="X1" s="4"/>
      <c r="Y1" s="4"/>
      <c r="Z1" s="4"/>
      <c r="AA1" s="4"/>
      <c r="AB1" s="4"/>
      <c r="AC1" s="4"/>
      <c r="AD1" s="4"/>
      <c r="AE1" s="4"/>
      <c r="AF1" s="4"/>
      <c r="AG1" s="4"/>
      <c r="AH1" s="4"/>
    </row>
    <row r="2" spans="1:34" x14ac:dyDescent="0.3">
      <c r="B2" s="33" t="s">
        <v>165</v>
      </c>
    </row>
    <row r="4" spans="1:34" x14ac:dyDescent="0.3">
      <c r="B4" s="34" t="str">
        <f>Data!D7</f>
        <v>£m, Enhancement capex water - WINEP / NEP ~ Water Framework Directive measures</v>
      </c>
    </row>
    <row r="5" spans="1:34" ht="39" x14ac:dyDescent="0.3">
      <c r="C5" s="35">
        <v>2021</v>
      </c>
      <c r="D5" s="35">
        <v>2022</v>
      </c>
      <c r="E5" s="35">
        <v>2023</v>
      </c>
      <c r="F5" s="35">
        <v>2024</v>
      </c>
      <c r="G5" s="35">
        <v>2025</v>
      </c>
      <c r="H5" s="36" t="s">
        <v>166</v>
      </c>
      <c r="I5" s="36" t="s">
        <v>167</v>
      </c>
      <c r="J5" s="51" t="s">
        <v>170</v>
      </c>
      <c r="L5" s="36" t="s">
        <v>168</v>
      </c>
      <c r="M5" s="36" t="s">
        <v>145</v>
      </c>
      <c r="N5" s="36" t="s">
        <v>189</v>
      </c>
      <c r="O5" s="36" t="s">
        <v>187</v>
      </c>
      <c r="P5" s="36" t="s">
        <v>186</v>
      </c>
      <c r="Q5" s="36" t="s">
        <v>169</v>
      </c>
    </row>
    <row r="6" spans="1:34" x14ac:dyDescent="0.3">
      <c r="B6" s="37" t="s">
        <v>0</v>
      </c>
      <c r="C6" s="29">
        <f>SUMIFS(Data!$E:$E,Data!$B:$B,$B6,Data!$C:$C,C$5)</f>
        <v>16.221780996331301</v>
      </c>
      <c r="D6" s="29">
        <f>SUMIFS(Data!$E:$E,Data!$B:$B,$B6,Data!$C:$C,D$5)</f>
        <v>52.035762726977701</v>
      </c>
      <c r="E6" s="29">
        <f>SUMIFS(Data!$E:$E,Data!$B:$B,$B6,Data!$C:$C,E$5)</f>
        <v>94.934230931893296</v>
      </c>
      <c r="F6" s="29">
        <f>SUMIFS(Data!$E:$E,Data!$B:$B,$B6,Data!$C:$C,F$5)</f>
        <v>86.184753198453194</v>
      </c>
      <c r="G6" s="29">
        <f>SUMIFS(Data!$E:$E,Data!$B:$B,$B6,Data!$C:$C,G$5)</f>
        <v>30.224601704289299</v>
      </c>
      <c r="H6" s="38">
        <f t="shared" ref="H6:H23" si="0">SUM(C6:G6)</f>
        <v>279.60112955794477</v>
      </c>
      <c r="I6" s="38">
        <v>259.78100000000001</v>
      </c>
      <c r="J6" s="38">
        <f>H6-I6</f>
        <v>19.820129557944767</v>
      </c>
      <c r="L6" s="39">
        <f>SUMIFS(Data!$F:$F,Data!$B:$B,$B6,Data!$C:$C,"&gt;2020")</f>
        <v>2814.0055180862919</v>
      </c>
      <c r="M6" s="40">
        <f t="shared" ref="M6:M23" si="1">H6/L6</f>
        <v>9.9360547717792624E-2</v>
      </c>
      <c r="N6" s="29">
        <v>0.15</v>
      </c>
      <c r="O6" s="29">
        <f>J6*(1-N6)</f>
        <v>16.847110124253053</v>
      </c>
      <c r="P6" s="29"/>
      <c r="Q6" s="38">
        <f t="shared" ref="Q6:Q22" si="2">O6+P6</f>
        <v>16.847110124253053</v>
      </c>
    </row>
    <row r="7" spans="1:34" x14ac:dyDescent="0.3">
      <c r="B7" s="37" t="s">
        <v>136</v>
      </c>
      <c r="C7" s="29">
        <f>SUMIFS(Data!$E:$E,Data!$B:$B,$B7,Data!$C:$C,C$5)</f>
        <v>0</v>
      </c>
      <c r="D7" s="29">
        <f>SUMIFS(Data!$E:$E,Data!$B:$B,$B7,Data!$C:$C,D$5)</f>
        <v>0</v>
      </c>
      <c r="E7" s="29">
        <f>SUMIFS(Data!$E:$E,Data!$B:$B,$B7,Data!$C:$C,E$5)</f>
        <v>0</v>
      </c>
      <c r="F7" s="29">
        <f>SUMIFS(Data!$E:$E,Data!$B:$B,$B7,Data!$C:$C,F$5)</f>
        <v>0</v>
      </c>
      <c r="G7" s="29">
        <f>SUMIFS(Data!$E:$E,Data!$B:$B,$B7,Data!$C:$C,G$5)</f>
        <v>0</v>
      </c>
      <c r="H7" s="38">
        <f t="shared" si="0"/>
        <v>0</v>
      </c>
      <c r="I7" s="38">
        <f>Allowance!C14-Allowance!G14</f>
        <v>0</v>
      </c>
      <c r="J7" s="38">
        <f t="shared" ref="J7:J22" si="3">H7-I7</f>
        <v>0</v>
      </c>
      <c r="L7" s="39">
        <f>SUMIFS(Data!$F:$F,Data!$B:$B,$B7,Data!$C:$C,"&gt;2020")</f>
        <v>131.30264490490808</v>
      </c>
      <c r="M7" s="40">
        <f t="shared" si="1"/>
        <v>0</v>
      </c>
      <c r="N7" s="29">
        <v>0</v>
      </c>
      <c r="O7" s="29">
        <f>J7*(1-N7)</f>
        <v>0</v>
      </c>
      <c r="P7" s="29"/>
      <c r="Q7" s="38">
        <f t="shared" si="2"/>
        <v>0</v>
      </c>
    </row>
    <row r="8" spans="1:34" x14ac:dyDescent="0.3">
      <c r="B8" s="37" t="s">
        <v>1</v>
      </c>
      <c r="C8" s="29">
        <f>SUMIFS(Data!$E:$E,Data!$B:$B,$B8,Data!$C:$C,C$5)</f>
        <v>0.29599999999999999</v>
      </c>
      <c r="D8" s="29">
        <f>SUMIFS(Data!$E:$E,Data!$B:$B,$B8,Data!$C:$C,D$5)</f>
        <v>0.29599999999999999</v>
      </c>
      <c r="E8" s="29">
        <f>SUMIFS(Data!$E:$E,Data!$B:$B,$B8,Data!$C:$C,E$5)</f>
        <v>0.19800000000000001</v>
      </c>
      <c r="F8" s="29">
        <f>SUMIFS(Data!$E:$E,Data!$B:$B,$B8,Data!$C:$C,F$5)</f>
        <v>9.9000000000000005E-2</v>
      </c>
      <c r="G8" s="29">
        <f>SUMIFS(Data!$E:$E,Data!$B:$B,$B8,Data!$C:$C,G$5)</f>
        <v>9.9000000000000005E-2</v>
      </c>
      <c r="H8" s="38">
        <f t="shared" si="0"/>
        <v>0.98799999999999999</v>
      </c>
      <c r="I8" s="38">
        <f>Allowance!C15-Allowance!G15</f>
        <v>0</v>
      </c>
      <c r="J8" s="38">
        <f>H8-I8</f>
        <v>0.98799999999999999</v>
      </c>
      <c r="L8" s="39">
        <f>SUMIFS(Data!$F:$F,Data!$B:$B,$B8,Data!$C:$C,"&gt;2020")</f>
        <v>1729.884</v>
      </c>
      <c r="M8" s="40">
        <f t="shared" si="1"/>
        <v>5.711365617578982E-4</v>
      </c>
      <c r="N8" s="29">
        <v>2.650441955963285E-4</v>
      </c>
      <c r="O8" s="29">
        <f>J8*(1-N8)</f>
        <v>0.98773813633475083</v>
      </c>
      <c r="P8" s="29"/>
      <c r="Q8" s="38">
        <f t="shared" si="2"/>
        <v>0.98773813633475083</v>
      </c>
    </row>
    <row r="9" spans="1:34" x14ac:dyDescent="0.3">
      <c r="B9" s="37" t="s">
        <v>2</v>
      </c>
      <c r="C9" s="29">
        <f>SUMIFS(Data!$E:$E,Data!$B:$B,$B9,Data!$C:$C,C$5)</f>
        <v>0</v>
      </c>
      <c r="D9" s="29">
        <f>SUMIFS(Data!$E:$E,Data!$B:$B,$B9,Data!$C:$C,D$5)</f>
        <v>0</v>
      </c>
      <c r="E9" s="29">
        <f>SUMIFS(Data!$E:$E,Data!$B:$B,$B9,Data!$C:$C,E$5)</f>
        <v>0</v>
      </c>
      <c r="F9" s="29">
        <f>SUMIFS(Data!$E:$E,Data!$B:$B,$B9,Data!$C:$C,F$5)</f>
        <v>0</v>
      </c>
      <c r="G9" s="29">
        <f>SUMIFS(Data!$E:$E,Data!$B:$B,$B9,Data!$C:$C,G$5)</f>
        <v>0</v>
      </c>
      <c r="H9" s="38">
        <f t="shared" si="0"/>
        <v>0</v>
      </c>
      <c r="I9" s="38">
        <f>Allowance!C16-Allowance!G16</f>
        <v>0</v>
      </c>
      <c r="J9" s="38">
        <f t="shared" si="3"/>
        <v>0</v>
      </c>
      <c r="L9" s="39">
        <f>SUMIFS(Data!$F:$F,Data!$B:$B,$B9,Data!$C:$C,"&gt;2020")</f>
        <v>2477.5035104607214</v>
      </c>
      <c r="M9" s="40">
        <f t="shared" si="1"/>
        <v>0</v>
      </c>
      <c r="N9" s="29">
        <v>0</v>
      </c>
      <c r="O9" s="29">
        <f t="shared" ref="O9:O12" si="4">J9*(1-N9)</f>
        <v>0</v>
      </c>
      <c r="P9" s="29"/>
      <c r="Q9" s="38">
        <f t="shared" si="2"/>
        <v>0</v>
      </c>
    </row>
    <row r="10" spans="1:34" x14ac:dyDescent="0.3">
      <c r="B10" s="37" t="s">
        <v>3</v>
      </c>
      <c r="C10" s="29">
        <f>SUMIFS(Data!$E:$E,Data!$B:$B,$B10,Data!$C:$C,C$5)</f>
        <v>0</v>
      </c>
      <c r="D10" s="29">
        <f>SUMIFS(Data!$E:$E,Data!$B:$B,$B10,Data!$C:$C,D$5)</f>
        <v>0</v>
      </c>
      <c r="E10" s="29">
        <f>SUMIFS(Data!$E:$E,Data!$B:$B,$B10,Data!$C:$C,E$5)</f>
        <v>0</v>
      </c>
      <c r="F10" s="29">
        <f>SUMIFS(Data!$E:$E,Data!$B:$B,$B10,Data!$C:$C,F$5)</f>
        <v>0</v>
      </c>
      <c r="G10" s="29">
        <f>SUMIFS(Data!$E:$E,Data!$B:$B,$B10,Data!$C:$C,G$5)</f>
        <v>0</v>
      </c>
      <c r="H10" s="38">
        <f t="shared" si="0"/>
        <v>0</v>
      </c>
      <c r="I10" s="38">
        <f>Allowance!C17-Allowance!G17</f>
        <v>0</v>
      </c>
      <c r="J10" s="38">
        <f t="shared" si="3"/>
        <v>0</v>
      </c>
      <c r="L10" s="39">
        <f>SUMIFS(Data!$F:$F,Data!$B:$B,$B10,Data!$C:$C,"&gt;2020")</f>
        <v>1226.604</v>
      </c>
      <c r="M10" s="40">
        <f t="shared" si="1"/>
        <v>0</v>
      </c>
      <c r="N10" s="29">
        <v>0.1</v>
      </c>
      <c r="O10" s="29">
        <f t="shared" si="4"/>
        <v>0</v>
      </c>
      <c r="P10" s="29"/>
      <c r="Q10" s="38">
        <f t="shared" si="2"/>
        <v>0</v>
      </c>
    </row>
    <row r="11" spans="1:34" x14ac:dyDescent="0.3">
      <c r="B11" s="37" t="s">
        <v>135</v>
      </c>
      <c r="C11" s="29">
        <f>SUMIFS(Data!$E:$E,Data!$B:$B,$B11,Data!$C:$C,C$5)</f>
        <v>2.9550000000000001</v>
      </c>
      <c r="D11" s="29">
        <f>SUMIFS(Data!$E:$E,Data!$B:$B,$B11,Data!$C:$C,D$5)</f>
        <v>5.3890000000000002</v>
      </c>
      <c r="E11" s="29">
        <f>SUMIFS(Data!$E:$E,Data!$B:$B,$B11,Data!$C:$C,E$5)</f>
        <v>6.7869999999999999</v>
      </c>
      <c r="F11" s="29">
        <f>SUMIFS(Data!$E:$E,Data!$B:$B,$B11,Data!$C:$C,F$5)</f>
        <v>13.404999999999999</v>
      </c>
      <c r="G11" s="29">
        <f>SUMIFS(Data!$E:$E,Data!$B:$B,$B11,Data!$C:$C,G$5)</f>
        <v>12.364000000000001</v>
      </c>
      <c r="H11" s="38">
        <f t="shared" si="0"/>
        <v>40.900000000000006</v>
      </c>
      <c r="I11" s="38">
        <f>Allowance!C18-Allowance!G18</f>
        <v>0</v>
      </c>
      <c r="J11" s="38">
        <f t="shared" si="3"/>
        <v>40.900000000000006</v>
      </c>
      <c r="L11" s="39">
        <f>SUMIFS(Data!$F:$F,Data!$B:$B,$B11,Data!$C:$C,"&gt;2020")</f>
        <v>3115.8041903943272</v>
      </c>
      <c r="M11" s="40">
        <f t="shared" si="1"/>
        <v>1.3126627188605142E-2</v>
      </c>
      <c r="N11" s="29">
        <v>0</v>
      </c>
      <c r="O11" s="29"/>
      <c r="P11" s="29">
        <f>'Deep dive_SVE'!B9</f>
        <v>32.720000000000006</v>
      </c>
      <c r="Q11" s="38">
        <f t="shared" si="2"/>
        <v>32.720000000000006</v>
      </c>
    </row>
    <row r="12" spans="1:34" x14ac:dyDescent="0.3">
      <c r="B12" s="37" t="s">
        <v>6</v>
      </c>
      <c r="C12" s="29">
        <f>SUMIFS(Data!$E:$E,Data!$B:$B,$B12,Data!$C:$C,C$5)</f>
        <v>0.184</v>
      </c>
      <c r="D12" s="29">
        <f>SUMIFS(Data!$E:$E,Data!$B:$B,$B12,Data!$C:$C,D$5)</f>
        <v>0.17599999999999999</v>
      </c>
      <c r="E12" s="29">
        <f>SUMIFS(Data!$E:$E,Data!$B:$B,$B12,Data!$C:$C,E$5)</f>
        <v>7.1999999999999995E-2</v>
      </c>
      <c r="F12" s="29">
        <f>SUMIFS(Data!$E:$E,Data!$B:$B,$B12,Data!$C:$C,F$5)</f>
        <v>7.1999999999999995E-2</v>
      </c>
      <c r="G12" s="29">
        <f>SUMIFS(Data!$E:$E,Data!$B:$B,$B12,Data!$C:$C,G$5)</f>
        <v>7.1999999999999995E-2</v>
      </c>
      <c r="H12" s="38">
        <f t="shared" si="0"/>
        <v>0.57599999999999996</v>
      </c>
      <c r="I12" s="38">
        <f>Allowance!C19-Allowance!G19</f>
        <v>0</v>
      </c>
      <c r="J12" s="38">
        <f t="shared" si="3"/>
        <v>0.57599999999999996</v>
      </c>
      <c r="L12" s="39">
        <f>SUMIFS(Data!$F:$F,Data!$B:$B,$B12,Data!$C:$C,"&gt;2020")</f>
        <v>894.25199999999995</v>
      </c>
      <c r="M12" s="40">
        <f t="shared" si="1"/>
        <v>6.44113739751211E-4</v>
      </c>
      <c r="N12" s="29">
        <v>0</v>
      </c>
      <c r="O12" s="29">
        <f t="shared" si="4"/>
        <v>0.57599999999999996</v>
      </c>
      <c r="P12" s="29"/>
      <c r="Q12" s="38">
        <f t="shared" si="2"/>
        <v>0.57599999999999996</v>
      </c>
    </row>
    <row r="13" spans="1:34" x14ac:dyDescent="0.3">
      <c r="B13" s="37" t="s">
        <v>7</v>
      </c>
      <c r="C13" s="29">
        <f>SUMIFS(Data!$E:$E,Data!$B:$B,$B13,Data!$C:$C,C$5)</f>
        <v>7.4434186099000001</v>
      </c>
      <c r="D13" s="29">
        <f>SUMIFS(Data!$E:$E,Data!$B:$B,$B13,Data!$C:$C,D$5)</f>
        <v>26.8836604683</v>
      </c>
      <c r="E13" s="29">
        <f>SUMIFS(Data!$E:$E,Data!$B:$B,$B13,Data!$C:$C,E$5)</f>
        <v>27.743013726299999</v>
      </c>
      <c r="F13" s="29">
        <f>SUMIFS(Data!$E:$E,Data!$B:$B,$B13,Data!$C:$C,F$5)</f>
        <v>29.4100785692</v>
      </c>
      <c r="G13" s="29">
        <f>SUMIFS(Data!$E:$E,Data!$B:$B,$B13,Data!$C:$C,G$5)</f>
        <v>23.092924292999999</v>
      </c>
      <c r="H13" s="38">
        <f t="shared" si="0"/>
        <v>114.5730956667</v>
      </c>
      <c r="I13" s="38">
        <f>Allowance!C20-Allowance!G20</f>
        <v>0</v>
      </c>
      <c r="J13" s="38">
        <f t="shared" si="3"/>
        <v>114.5730956667</v>
      </c>
      <c r="L13" s="39">
        <f>SUMIFS(Data!$F:$F,Data!$B:$B,$B13,Data!$C:$C,"&gt;2020")</f>
        <v>5658.2039244564403</v>
      </c>
      <c r="M13" s="40">
        <f t="shared" si="1"/>
        <v>2.0249021985842715E-2</v>
      </c>
      <c r="N13" s="29">
        <v>0.13</v>
      </c>
      <c r="O13" s="29"/>
      <c r="P13" s="29">
        <f>'Deep dive_TMS'!B9</f>
        <v>79.742874584023198</v>
      </c>
      <c r="Q13" s="38">
        <f t="shared" si="2"/>
        <v>79.742874584023198</v>
      </c>
    </row>
    <row r="14" spans="1:34" x14ac:dyDescent="0.3">
      <c r="B14" s="37" t="s">
        <v>8</v>
      </c>
      <c r="C14" s="29">
        <f>SUMIFS(Data!$E:$E,Data!$B:$B,$B14,Data!$C:$C,C$5)</f>
        <v>0.61499999999999999</v>
      </c>
      <c r="D14" s="29">
        <f>SUMIFS(Data!$E:$E,Data!$B:$B,$B14,Data!$C:$C,D$5)</f>
        <v>0.69199999999999995</v>
      </c>
      <c r="E14" s="29">
        <f>SUMIFS(Data!$E:$E,Data!$B:$B,$B14,Data!$C:$C,E$5)</f>
        <v>0.65500000000000003</v>
      </c>
      <c r="F14" s="29">
        <f>SUMIFS(Data!$E:$E,Data!$B:$B,$B14,Data!$C:$C,F$5)</f>
        <v>0.38900000000000001</v>
      </c>
      <c r="G14" s="29">
        <f>SUMIFS(Data!$E:$E,Data!$B:$B,$B14,Data!$C:$C,G$5)</f>
        <v>0.19400000000000001</v>
      </c>
      <c r="H14" s="38">
        <f t="shared" si="0"/>
        <v>2.5449999999999999</v>
      </c>
      <c r="I14" s="38">
        <f>Allowance!C21-Allowance!G21</f>
        <v>-16.300000000000004</v>
      </c>
      <c r="J14" s="38">
        <f t="shared" si="3"/>
        <v>18.845000000000006</v>
      </c>
      <c r="L14" s="39">
        <f>SUMIFS(Data!$F:$F,Data!$B:$B,$B14,Data!$C:$C,"&gt;2020")</f>
        <v>1646.3919999999998</v>
      </c>
      <c r="M14" s="40">
        <f t="shared" si="1"/>
        <v>1.545804401381931E-3</v>
      </c>
      <c r="N14" s="29">
        <v>0</v>
      </c>
      <c r="O14" s="29"/>
      <c r="P14" s="29">
        <f>'Deep dive_WSH'!B9</f>
        <v>15.076000000000006</v>
      </c>
      <c r="Q14" s="38">
        <f t="shared" si="2"/>
        <v>15.076000000000006</v>
      </c>
    </row>
    <row r="15" spans="1:34" x14ac:dyDescent="0.3">
      <c r="B15" s="37" t="s">
        <v>9</v>
      </c>
      <c r="C15" s="29">
        <f>SUMIFS(Data!$E:$E,Data!$B:$B,$B15,Data!$C:$C,C$5)</f>
        <v>1.0366175769230801</v>
      </c>
      <c r="D15" s="29">
        <f>SUMIFS(Data!$E:$E,Data!$B:$B,$B15,Data!$C:$C,D$5)</f>
        <v>0.30342807692307699</v>
      </c>
      <c r="E15" s="29">
        <f>SUMIFS(Data!$E:$E,Data!$B:$B,$B15,Data!$C:$C,E$5)</f>
        <v>0.18408392307692301</v>
      </c>
      <c r="F15" s="29">
        <f>SUMIFS(Data!$E:$E,Data!$B:$B,$B15,Data!$C:$C,F$5)</f>
        <v>0.15925223076923101</v>
      </c>
      <c r="G15" s="29">
        <f>SUMIFS(Data!$E:$E,Data!$B:$B,$B15,Data!$C:$C,G$5)</f>
        <v>0.111615923076923</v>
      </c>
      <c r="H15" s="38">
        <f t="shared" si="0"/>
        <v>1.7949977307692342</v>
      </c>
      <c r="I15" s="38">
        <f>Allowance!C22-Allowance!G22</f>
        <v>0</v>
      </c>
      <c r="J15" s="38">
        <f t="shared" si="3"/>
        <v>1.7949977307692342</v>
      </c>
      <c r="L15" s="39">
        <f>SUMIFS(Data!$F:$F,Data!$B:$B,$B15,Data!$C:$C,"&gt;2020")</f>
        <v>660.34856778321205</v>
      </c>
      <c r="M15" s="40">
        <f t="shared" si="1"/>
        <v>2.7182579297401E-3</v>
      </c>
      <c r="N15" s="29">
        <v>0</v>
      </c>
      <c r="O15" s="29">
        <f>J15*(1-N15)</f>
        <v>1.7949977307692342</v>
      </c>
      <c r="P15" s="29"/>
      <c r="Q15" s="38">
        <f t="shared" si="2"/>
        <v>1.7949977307692342</v>
      </c>
    </row>
    <row r="16" spans="1:34" x14ac:dyDescent="0.3">
      <c r="B16" s="37" t="s">
        <v>10</v>
      </c>
      <c r="C16" s="29">
        <f>SUMIFS(Data!$E:$E,Data!$B:$B,$B16,Data!$C:$C,C$5)</f>
        <v>4.319</v>
      </c>
      <c r="D16" s="29">
        <f>SUMIFS(Data!$E:$E,Data!$B:$B,$B16,Data!$C:$C,D$5)</f>
        <v>2.9950000000000001</v>
      </c>
      <c r="E16" s="29">
        <f>SUMIFS(Data!$E:$E,Data!$B:$B,$B16,Data!$C:$C,E$5)</f>
        <v>1.5649999999999999</v>
      </c>
      <c r="F16" s="29">
        <f>SUMIFS(Data!$E:$E,Data!$B:$B,$B16,Data!$C:$C,F$5)</f>
        <v>0.64100000000000001</v>
      </c>
      <c r="G16" s="29">
        <f>SUMIFS(Data!$E:$E,Data!$B:$B,$B16,Data!$C:$C,G$5)</f>
        <v>0.186</v>
      </c>
      <c r="H16" s="38">
        <f t="shared" si="0"/>
        <v>9.7059999999999995</v>
      </c>
      <c r="I16" s="38">
        <f>Allowance!C23-Allowance!G23</f>
        <v>0</v>
      </c>
      <c r="J16" s="38">
        <f t="shared" si="3"/>
        <v>9.7059999999999995</v>
      </c>
      <c r="L16" s="39">
        <f>SUMIFS(Data!$F:$F,Data!$B:$B,$B16,Data!$C:$C,"&gt;2020")</f>
        <v>2024.423</v>
      </c>
      <c r="M16" s="40">
        <f t="shared" si="1"/>
        <v>4.7944525427739164E-3</v>
      </c>
      <c r="N16" s="29">
        <v>0.10346547216238228</v>
      </c>
      <c r="O16" s="29">
        <f>J16*(1-N16)</f>
        <v>8.7017641271919182</v>
      </c>
      <c r="P16" s="29"/>
      <c r="Q16" s="38">
        <f t="shared" si="2"/>
        <v>8.7017641271919182</v>
      </c>
    </row>
    <row r="17" spans="2:17" x14ac:dyDescent="0.3">
      <c r="B17" s="37" t="s">
        <v>11</v>
      </c>
      <c r="C17" s="29">
        <f>SUMIFS(Data!$E:$E,Data!$B:$B,$B17,Data!$C:$C,C$5)</f>
        <v>7.8410000000000002</v>
      </c>
      <c r="D17" s="29">
        <f>SUMIFS(Data!$E:$E,Data!$B:$B,$B17,Data!$C:$C,D$5)</f>
        <v>20.496163700940802</v>
      </c>
      <c r="E17" s="29">
        <f>SUMIFS(Data!$E:$E,Data!$B:$B,$B17,Data!$C:$C,E$5)</f>
        <v>20.351904710927201</v>
      </c>
      <c r="F17" s="29">
        <f>SUMIFS(Data!$E:$E,Data!$B:$B,$B17,Data!$C:$C,F$5)</f>
        <v>13.119342748177999</v>
      </c>
      <c r="G17" s="29">
        <f>SUMIFS(Data!$E:$E,Data!$B:$B,$B17,Data!$C:$C,G$5)</f>
        <v>3.18177295594819</v>
      </c>
      <c r="H17" s="38">
        <f t="shared" si="0"/>
        <v>64.990184115994197</v>
      </c>
      <c r="I17" s="38">
        <f>Allowance!C24-Allowance!G24</f>
        <v>0</v>
      </c>
      <c r="J17" s="38">
        <f t="shared" si="3"/>
        <v>64.990184115994197</v>
      </c>
      <c r="L17" s="39">
        <f>SUMIFS(Data!$F:$F,Data!$B:$B,$B17,Data!$C:$C,"&gt;2020")</f>
        <v>1368.4611030444821</v>
      </c>
      <c r="M17" s="40">
        <f t="shared" si="1"/>
        <v>4.7491436893169536E-2</v>
      </c>
      <c r="N17" s="29">
        <v>6.0705358641883776E-2</v>
      </c>
      <c r="O17" s="29"/>
      <c r="P17" s="29">
        <f>'Deep dive_AFW'!B9</f>
        <v>48.835945344824573</v>
      </c>
      <c r="Q17" s="38">
        <f t="shared" si="2"/>
        <v>48.835945344824573</v>
      </c>
    </row>
    <row r="18" spans="2:17" x14ac:dyDescent="0.3">
      <c r="B18" s="37" t="s">
        <v>12</v>
      </c>
      <c r="C18" s="29">
        <f>SUMIFS(Data!$E:$E,Data!$B:$B,$B18,Data!$C:$C,C$5)</f>
        <v>0</v>
      </c>
      <c r="D18" s="29">
        <f>SUMIFS(Data!$E:$E,Data!$B:$B,$B18,Data!$C:$C,D$5)</f>
        <v>0</v>
      </c>
      <c r="E18" s="29">
        <f>SUMIFS(Data!$E:$E,Data!$B:$B,$B18,Data!$C:$C,E$5)</f>
        <v>0</v>
      </c>
      <c r="F18" s="29">
        <f>SUMIFS(Data!$E:$E,Data!$B:$B,$B18,Data!$C:$C,F$5)</f>
        <v>0</v>
      </c>
      <c r="G18" s="29">
        <f>SUMIFS(Data!$E:$E,Data!$B:$B,$B18,Data!$C:$C,G$5)</f>
        <v>0</v>
      </c>
      <c r="H18" s="38">
        <f t="shared" si="0"/>
        <v>0</v>
      </c>
      <c r="I18" s="38">
        <f>Allowance!C25-Allowance!G25</f>
        <v>0</v>
      </c>
      <c r="J18" s="38">
        <f t="shared" si="3"/>
        <v>0</v>
      </c>
      <c r="L18" s="39">
        <f>SUMIFS(Data!$F:$F,Data!$B:$B,$B18,Data!$C:$C,"&gt;2020")</f>
        <v>457.197</v>
      </c>
      <c r="M18" s="40">
        <f t="shared" si="1"/>
        <v>0</v>
      </c>
      <c r="N18" s="29">
        <v>7.195828641155512E-2</v>
      </c>
      <c r="O18" s="29">
        <f t="shared" ref="O18:O22" si="5">J18*(1-N18)</f>
        <v>0</v>
      </c>
      <c r="P18" s="29"/>
      <c r="Q18" s="38">
        <f t="shared" si="2"/>
        <v>0</v>
      </c>
    </row>
    <row r="19" spans="2:17" x14ac:dyDescent="0.3">
      <c r="B19" s="37" t="s">
        <v>14</v>
      </c>
      <c r="C19" s="29">
        <f>SUMIFS(Data!$E:$E,Data!$B:$B,$B19,Data!$C:$C,C$5)</f>
        <v>0</v>
      </c>
      <c r="D19" s="29">
        <f>SUMIFS(Data!$E:$E,Data!$B:$B,$B19,Data!$C:$C,D$5)</f>
        <v>0</v>
      </c>
      <c r="E19" s="29">
        <f>SUMIFS(Data!$E:$E,Data!$B:$B,$B19,Data!$C:$C,E$5)</f>
        <v>0</v>
      </c>
      <c r="F19" s="29">
        <f>SUMIFS(Data!$E:$E,Data!$B:$B,$B19,Data!$C:$C,F$5)</f>
        <v>0</v>
      </c>
      <c r="G19" s="29">
        <f>SUMIFS(Data!$E:$E,Data!$B:$B,$B19,Data!$C:$C,G$5)</f>
        <v>0</v>
      </c>
      <c r="H19" s="38">
        <f t="shared" si="0"/>
        <v>0</v>
      </c>
      <c r="I19" s="38">
        <f>Allowance!C26-Allowance!G26</f>
        <v>0</v>
      </c>
      <c r="J19" s="38">
        <f t="shared" si="3"/>
        <v>0</v>
      </c>
      <c r="L19" s="39">
        <f>SUMIFS(Data!$F:$F,Data!$B:$B,$B19,Data!$C:$C,"&gt;2020")</f>
        <v>223.94399999999999</v>
      </c>
      <c r="M19" s="40">
        <f t="shared" si="1"/>
        <v>0</v>
      </c>
      <c r="N19" s="29">
        <v>0</v>
      </c>
      <c r="O19" s="29">
        <f t="shared" si="5"/>
        <v>0</v>
      </c>
      <c r="P19" s="29"/>
      <c r="Q19" s="38">
        <f t="shared" si="2"/>
        <v>0</v>
      </c>
    </row>
    <row r="20" spans="2:17" x14ac:dyDescent="0.3">
      <c r="B20" s="37" t="s">
        <v>15</v>
      </c>
      <c r="C20" s="29">
        <f>SUMIFS(Data!$E:$E,Data!$B:$B,$B20,Data!$C:$C,C$5)</f>
        <v>0</v>
      </c>
      <c r="D20" s="29">
        <f>SUMIFS(Data!$E:$E,Data!$B:$B,$B20,Data!$C:$C,D$5)</f>
        <v>0</v>
      </c>
      <c r="E20" s="29">
        <f>SUMIFS(Data!$E:$E,Data!$B:$B,$B20,Data!$C:$C,E$5)</f>
        <v>0</v>
      </c>
      <c r="F20" s="29">
        <f>SUMIFS(Data!$E:$E,Data!$B:$B,$B20,Data!$C:$C,F$5)</f>
        <v>0</v>
      </c>
      <c r="G20" s="29">
        <f>SUMIFS(Data!$E:$E,Data!$B:$B,$B20,Data!$C:$C,G$5)</f>
        <v>0</v>
      </c>
      <c r="H20" s="38">
        <f t="shared" si="0"/>
        <v>0</v>
      </c>
      <c r="I20" s="38">
        <f>Allowance!C27-Allowance!G27</f>
        <v>0</v>
      </c>
      <c r="J20" s="38">
        <f t="shared" si="3"/>
        <v>0</v>
      </c>
      <c r="L20" s="39">
        <f>SUMIFS(Data!$F:$F,Data!$B:$B,$B20,Data!$C:$C,"&gt;2020")</f>
        <v>253.309</v>
      </c>
      <c r="M20" s="40">
        <f t="shared" si="1"/>
        <v>0</v>
      </c>
      <c r="N20" s="29">
        <v>9.1408261361736784E-2</v>
      </c>
      <c r="O20" s="29">
        <f t="shared" si="5"/>
        <v>0</v>
      </c>
      <c r="P20" s="29"/>
      <c r="Q20" s="38">
        <f t="shared" si="2"/>
        <v>0</v>
      </c>
    </row>
    <row r="21" spans="2:17" x14ac:dyDescent="0.3">
      <c r="B21" s="37" t="s">
        <v>16</v>
      </c>
      <c r="C21" s="29">
        <f>SUMIFS(Data!$E:$E,Data!$B:$B,$B21,Data!$C:$C,C$5)</f>
        <v>1.0636649743214801</v>
      </c>
      <c r="D21" s="29">
        <f>SUMIFS(Data!$E:$E,Data!$B:$B,$B21,Data!$C:$C,D$5)</f>
        <v>0.87118844190547895</v>
      </c>
      <c r="E21" s="29">
        <f>SUMIFS(Data!$E:$E,Data!$B:$B,$B21,Data!$C:$C,E$5)</f>
        <v>0.87717899563558499</v>
      </c>
      <c r="F21" s="29">
        <f>SUMIFS(Data!$E:$E,Data!$B:$B,$B21,Data!$C:$C,F$5)</f>
        <v>0.79467416555042603</v>
      </c>
      <c r="G21" s="29">
        <f>SUMIFS(Data!$E:$E,Data!$B:$B,$B21,Data!$C:$C,G$5)</f>
        <v>0.80210038286895702</v>
      </c>
      <c r="H21" s="38">
        <f t="shared" si="0"/>
        <v>4.4088069602819271</v>
      </c>
      <c r="I21" s="38">
        <f>Allowance!C28-Allowance!G28</f>
        <v>0</v>
      </c>
      <c r="J21" s="38">
        <f t="shared" si="3"/>
        <v>4.4088069602819271</v>
      </c>
      <c r="L21" s="39">
        <f>SUMIFS(Data!$F:$F,Data!$B:$B,$B21,Data!$C:$C,"&gt;2020")</f>
        <v>960.94699999999989</v>
      </c>
      <c r="M21" s="40">
        <f t="shared" si="1"/>
        <v>4.5879813978106261E-3</v>
      </c>
      <c r="N21" s="29">
        <v>8.5623557290976458E-3</v>
      </c>
      <c r="O21" s="29">
        <f t="shared" si="5"/>
        <v>4.3710571867470716</v>
      </c>
      <c r="P21" s="29"/>
      <c r="Q21" s="38">
        <f t="shared" si="2"/>
        <v>4.3710571867470716</v>
      </c>
    </row>
    <row r="22" spans="2:17" x14ac:dyDescent="0.3">
      <c r="B22" s="37" t="s">
        <v>17</v>
      </c>
      <c r="C22" s="29">
        <f>SUMIFS(Data!$E:$E,Data!$B:$B,$B22,Data!$C:$C,C$5)</f>
        <v>0.10990889299819701</v>
      </c>
      <c r="D22" s="29">
        <f>SUMIFS(Data!$E:$E,Data!$B:$B,$B22,Data!$C:$C,D$5)</f>
        <v>0.10990889299819701</v>
      </c>
      <c r="E22" s="29">
        <f>SUMIFS(Data!$E:$E,Data!$B:$B,$B22,Data!$C:$C,E$5)</f>
        <v>0.10990889299819701</v>
      </c>
      <c r="F22" s="29">
        <f>SUMIFS(Data!$E:$E,Data!$B:$B,$B22,Data!$C:$C,F$5)</f>
        <v>0.10990889299819701</v>
      </c>
      <c r="G22" s="29">
        <f>SUMIFS(Data!$E:$E,Data!$B:$B,$B22,Data!$C:$C,G$5)</f>
        <v>0.10990889299819701</v>
      </c>
      <c r="H22" s="38">
        <f t="shared" si="0"/>
        <v>0.54954446499098508</v>
      </c>
      <c r="I22" s="38">
        <f>Allowance!C29-Allowance!G29</f>
        <v>0</v>
      </c>
      <c r="J22" s="38">
        <f t="shared" si="3"/>
        <v>0.54954446499098508</v>
      </c>
      <c r="L22" s="39">
        <f>SUMIFS(Data!$F:$F,Data!$B:$B,$B22,Data!$C:$C,"&gt;2020")</f>
        <v>538.02900167239989</v>
      </c>
      <c r="M22" s="40">
        <f t="shared" si="1"/>
        <v>1.0214030531491625E-3</v>
      </c>
      <c r="N22" s="29">
        <v>6.8778600799977052E-2</v>
      </c>
      <c r="O22" s="29">
        <f t="shared" si="5"/>
        <v>0.51174756561153312</v>
      </c>
      <c r="P22" s="29"/>
      <c r="Q22" s="38">
        <f t="shared" si="2"/>
        <v>0.51174756561153312</v>
      </c>
    </row>
    <row r="23" spans="2:17" x14ac:dyDescent="0.3">
      <c r="B23" s="41" t="s">
        <v>156</v>
      </c>
      <c r="C23" s="38">
        <f>SUM(C6:C22)</f>
        <v>42.085391050474065</v>
      </c>
      <c r="D23" s="38">
        <f>SUM(D6:D22)</f>
        <v>110.24811230804525</v>
      </c>
      <c r="E23" s="38">
        <f>SUM(E6:E22)</f>
        <v>153.47732118083115</v>
      </c>
      <c r="F23" s="38">
        <f>SUM(F6:F22)</f>
        <v>144.38400980514905</v>
      </c>
      <c r="G23" s="38">
        <f>SUM(G6:G22)</f>
        <v>70.43792415218158</v>
      </c>
      <c r="H23" s="38">
        <f t="shared" si="0"/>
        <v>520.63275849668116</v>
      </c>
      <c r="I23" s="38">
        <f t="shared" ref="I23:J23" si="6">SUM(D23:H23)</f>
        <v>999.18012594288825</v>
      </c>
      <c r="J23" s="38">
        <f t="shared" si="6"/>
        <v>1888.1121395777313</v>
      </c>
      <c r="L23" s="42">
        <f>SUM(L6:L22)</f>
        <v>26180.610460802778</v>
      </c>
      <c r="M23" s="43">
        <f t="shared" si="1"/>
        <v>1.9886196285459609E-2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Q88"/>
  <sheetViews>
    <sheetView showGridLines="0" topLeftCell="A9" zoomScale="80" zoomScaleNormal="80" workbookViewId="0">
      <selection activeCell="C15" sqref="C15"/>
    </sheetView>
  </sheetViews>
  <sheetFormatPr defaultColWidth="8.7265625" defaultRowHeight="13" x14ac:dyDescent="0.3"/>
  <cols>
    <col min="1" max="1" width="37.7265625" style="4" customWidth="1"/>
    <col min="2" max="2" width="16.54296875" style="4" customWidth="1"/>
    <col min="3" max="3" width="83.7265625" style="4" customWidth="1"/>
    <col min="4" max="4" width="8.54296875" style="4" customWidth="1"/>
    <col min="5" max="5" width="26.54296875" style="4" customWidth="1"/>
    <col min="6" max="7" width="8.54296875" style="4" customWidth="1"/>
    <col min="8" max="8" width="62.08984375" style="4" bestFit="1" customWidth="1"/>
    <col min="9" max="9" width="46.7265625" style="4" customWidth="1"/>
    <col min="10" max="10" width="8.54296875" style="4" customWidth="1"/>
    <col min="11" max="11" width="26.7265625" style="4" customWidth="1"/>
    <col min="12" max="12" width="8.54296875" style="4" customWidth="1"/>
    <col min="13" max="13" width="57" style="4" bestFit="1" customWidth="1"/>
    <col min="14" max="14" width="45.7265625" style="4" customWidth="1"/>
    <col min="15" max="15" width="11.26953125" style="4" bestFit="1" customWidth="1"/>
    <col min="16" max="16" width="13.7265625" style="4" bestFit="1" customWidth="1"/>
    <col min="17" max="16384" width="8.7265625" style="4"/>
  </cols>
  <sheetData>
    <row r="1" spans="1:13" s="67" customFormat="1" ht="18.5" x14ac:dyDescent="0.3">
      <c r="A1" s="3" t="s">
        <v>185</v>
      </c>
      <c r="B1" s="3"/>
      <c r="C1" s="3"/>
      <c r="D1" s="3"/>
      <c r="E1" s="3"/>
      <c r="F1" s="4"/>
      <c r="G1" s="64"/>
      <c r="H1" s="65"/>
    </row>
    <row r="2" spans="1:13" s="67" customFormat="1" ht="18.5" x14ac:dyDescent="0.3">
      <c r="A2" s="11"/>
      <c r="B2" s="68"/>
      <c r="C2" s="68"/>
      <c r="D2" s="4"/>
      <c r="E2" s="4"/>
      <c r="F2" s="4"/>
      <c r="G2" s="64"/>
      <c r="H2" s="65"/>
    </row>
    <row r="3" spans="1:13" s="67" customFormat="1" ht="18.5" x14ac:dyDescent="0.3">
      <c r="A3" s="11" t="s">
        <v>172</v>
      </c>
      <c r="B3" s="68"/>
      <c r="C3" s="86"/>
      <c r="D3" s="86"/>
      <c r="E3" s="86"/>
      <c r="F3" s="4"/>
      <c r="G3" s="64"/>
      <c r="H3" s="65"/>
    </row>
    <row r="4" spans="1:13" x14ac:dyDescent="0.3">
      <c r="A4" s="14" t="s">
        <v>19</v>
      </c>
      <c r="B4" s="15" t="s">
        <v>205</v>
      </c>
      <c r="C4" s="86"/>
      <c r="D4" s="86"/>
      <c r="E4" s="86"/>
    </row>
    <row r="5" spans="1:13" x14ac:dyDescent="0.3">
      <c r="A5" s="14" t="s">
        <v>20</v>
      </c>
      <c r="B5" s="15"/>
      <c r="C5" s="86"/>
      <c r="D5" s="86"/>
      <c r="E5" s="86"/>
    </row>
    <row r="6" spans="1:13" x14ac:dyDescent="0.3">
      <c r="A6" s="69" t="s">
        <v>18</v>
      </c>
      <c r="B6" s="70" t="s">
        <v>11</v>
      </c>
      <c r="C6" s="86"/>
      <c r="D6" s="86"/>
      <c r="E6" s="86"/>
    </row>
    <row r="7" spans="1:13" x14ac:dyDescent="0.3">
      <c r="A7" s="69" t="s">
        <v>21</v>
      </c>
      <c r="B7" s="70" t="s">
        <v>35</v>
      </c>
      <c r="C7" s="86"/>
      <c r="D7" s="86"/>
      <c r="E7" s="86"/>
    </row>
    <row r="8" spans="1:13" x14ac:dyDescent="0.3">
      <c r="A8" s="69" t="s">
        <v>138</v>
      </c>
      <c r="B8" s="71">
        <f>Analysis!J17</f>
        <v>64.990184115994197</v>
      </c>
      <c r="C8" s="72"/>
      <c r="D8" s="18"/>
      <c r="H8" s="18"/>
      <c r="I8" s="18"/>
      <c r="J8" s="18"/>
      <c r="K8" s="18"/>
      <c r="L8" s="18"/>
      <c r="M8" s="18"/>
    </row>
    <row r="9" spans="1:13" ht="26" x14ac:dyDescent="0.3">
      <c r="A9" s="73" t="s">
        <v>38</v>
      </c>
      <c r="B9" s="71">
        <f>(B8)*0.8*(1-Analysis!N17)</f>
        <v>48.835945344824573</v>
      </c>
      <c r="C9" s="74" t="s">
        <v>207</v>
      </c>
      <c r="D9" s="18"/>
      <c r="H9" s="107"/>
      <c r="I9" s="107"/>
      <c r="J9" s="107"/>
      <c r="K9" s="107"/>
      <c r="L9" s="107"/>
      <c r="M9" s="108"/>
    </row>
    <row r="10" spans="1:13" x14ac:dyDescent="0.3">
      <c r="H10" s="109"/>
      <c r="I10" s="109"/>
      <c r="J10" s="109"/>
      <c r="K10" s="110"/>
      <c r="L10" s="110"/>
      <c r="M10" s="110"/>
    </row>
    <row r="11" spans="1:13" x14ac:dyDescent="0.3">
      <c r="A11" s="11"/>
    </row>
    <row r="12" spans="1:13" x14ac:dyDescent="0.3">
      <c r="A12" s="11" t="s">
        <v>23</v>
      </c>
      <c r="E12" s="11" t="s">
        <v>24</v>
      </c>
    </row>
    <row r="13" spans="1:13" ht="104.65" customHeight="1" x14ac:dyDescent="0.3">
      <c r="A13" s="69" t="s">
        <v>25</v>
      </c>
      <c r="B13" s="69" t="s">
        <v>36</v>
      </c>
      <c r="C13" s="76" t="s">
        <v>211</v>
      </c>
      <c r="E13" s="76" t="s">
        <v>212</v>
      </c>
    </row>
    <row r="14" spans="1:13" x14ac:dyDescent="0.3">
      <c r="A14" s="69" t="s">
        <v>27</v>
      </c>
      <c r="B14" s="69" t="s">
        <v>26</v>
      </c>
      <c r="C14" s="76"/>
      <c r="E14" s="76"/>
    </row>
    <row r="15" spans="1:13" ht="65" x14ac:dyDescent="0.3">
      <c r="A15" s="69" t="s">
        <v>28</v>
      </c>
      <c r="B15" s="69" t="s">
        <v>36</v>
      </c>
      <c r="C15" s="76" t="s">
        <v>231</v>
      </c>
      <c r="E15" s="76" t="s">
        <v>210</v>
      </c>
    </row>
    <row r="16" spans="1:13" ht="26" x14ac:dyDescent="0.3">
      <c r="A16" s="69" t="s">
        <v>29</v>
      </c>
      <c r="B16" s="69" t="s">
        <v>36</v>
      </c>
      <c r="C16" s="76" t="s">
        <v>216</v>
      </c>
      <c r="E16" s="76" t="s">
        <v>213</v>
      </c>
    </row>
    <row r="17" spans="1:13" ht="39" x14ac:dyDescent="0.3">
      <c r="A17" s="69" t="s">
        <v>30</v>
      </c>
      <c r="B17" s="69" t="s">
        <v>137</v>
      </c>
      <c r="C17" s="76" t="s">
        <v>215</v>
      </c>
      <c r="E17" s="76" t="s">
        <v>214</v>
      </c>
    </row>
    <row r="18" spans="1:13" ht="26" x14ac:dyDescent="0.3">
      <c r="A18" s="69" t="s">
        <v>31</v>
      </c>
      <c r="B18" s="69" t="s">
        <v>36</v>
      </c>
      <c r="C18" s="76" t="s">
        <v>209</v>
      </c>
      <c r="E18" s="76" t="s">
        <v>208</v>
      </c>
    </row>
    <row r="19" spans="1:13" x14ac:dyDescent="0.3">
      <c r="A19" s="69" t="s">
        <v>32</v>
      </c>
      <c r="B19" s="69" t="s">
        <v>26</v>
      </c>
      <c r="C19" s="76"/>
      <c r="E19" s="76"/>
    </row>
    <row r="20" spans="1:13" x14ac:dyDescent="0.3">
      <c r="A20" s="69" t="s">
        <v>33</v>
      </c>
      <c r="B20" s="69" t="s">
        <v>26</v>
      </c>
      <c r="C20" s="76"/>
      <c r="E20" s="76"/>
    </row>
    <row r="21" spans="1:13" x14ac:dyDescent="0.3">
      <c r="A21" s="77"/>
      <c r="B21" s="77"/>
      <c r="C21" s="77"/>
      <c r="E21" s="77"/>
      <c r="F21" s="18"/>
      <c r="G21" s="18"/>
      <c r="H21" s="18"/>
      <c r="I21" s="18"/>
      <c r="J21" s="18"/>
      <c r="K21" s="18"/>
      <c r="L21" s="18"/>
      <c r="M21" s="18"/>
    </row>
    <row r="22" spans="1:13" x14ac:dyDescent="0.3">
      <c r="A22" s="75"/>
      <c r="B22" s="77"/>
      <c r="C22" s="77"/>
      <c r="E22" s="77"/>
      <c r="F22" s="18"/>
      <c r="G22" s="18"/>
      <c r="H22" s="18"/>
      <c r="I22" s="18"/>
      <c r="J22" s="18"/>
      <c r="K22" s="18"/>
      <c r="L22" s="18"/>
      <c r="M22" s="18"/>
    </row>
    <row r="23" spans="1:13" x14ac:dyDescent="0.3">
      <c r="A23" s="77"/>
      <c r="B23" s="77"/>
      <c r="C23" s="77"/>
      <c r="E23" s="77"/>
      <c r="F23" s="18"/>
      <c r="G23" s="112"/>
      <c r="H23" s="112"/>
      <c r="I23" s="18"/>
      <c r="J23" s="18"/>
      <c r="K23" s="18"/>
      <c r="L23" s="18"/>
      <c r="M23" s="18"/>
    </row>
    <row r="24" spans="1:13" x14ac:dyDescent="0.3">
      <c r="A24" s="77"/>
      <c r="B24" s="77"/>
      <c r="C24" s="77"/>
      <c r="E24" s="77"/>
      <c r="F24" s="18"/>
      <c r="G24" s="18"/>
      <c r="H24" s="97"/>
      <c r="I24" s="97"/>
      <c r="J24" s="98"/>
      <c r="K24" s="99"/>
      <c r="L24" s="98"/>
      <c r="M24" s="18"/>
    </row>
    <row r="25" spans="1:13" ht="14.5" x14ac:dyDescent="0.35">
      <c r="A25" s="77"/>
      <c r="B25" s="77"/>
      <c r="C25" s="77"/>
      <c r="D25" s="62"/>
      <c r="E25" s="77"/>
      <c r="F25" s="18"/>
      <c r="G25" s="18"/>
      <c r="H25" s="98"/>
      <c r="I25" s="98"/>
      <c r="J25" s="100"/>
      <c r="K25" s="98"/>
      <c r="L25" s="101"/>
      <c r="M25" s="18"/>
    </row>
    <row r="26" spans="1:13" x14ac:dyDescent="0.3">
      <c r="A26" s="77"/>
      <c r="B26" s="77"/>
      <c r="C26" s="77"/>
      <c r="E26" s="77"/>
      <c r="F26" s="18"/>
      <c r="G26" s="18"/>
      <c r="H26" s="98"/>
      <c r="I26" s="98"/>
      <c r="J26" s="100"/>
      <c r="K26" s="102"/>
      <c r="L26" s="98"/>
      <c r="M26" s="18"/>
    </row>
    <row r="27" spans="1:13" x14ac:dyDescent="0.3">
      <c r="A27" s="77"/>
      <c r="B27" s="77"/>
      <c r="C27" s="77"/>
      <c r="E27" s="77"/>
      <c r="F27" s="18"/>
      <c r="G27" s="18"/>
      <c r="H27" s="98"/>
      <c r="I27" s="98"/>
      <c r="J27" s="100"/>
      <c r="K27" s="98"/>
      <c r="L27" s="103"/>
      <c r="M27" s="18"/>
    </row>
    <row r="28" spans="1:13" x14ac:dyDescent="0.3">
      <c r="A28" s="77"/>
      <c r="B28" s="77"/>
      <c r="C28" s="77"/>
      <c r="E28" s="77"/>
      <c r="F28" s="18"/>
      <c r="G28" s="18"/>
      <c r="H28" s="98"/>
      <c r="I28" s="98"/>
      <c r="J28" s="100"/>
      <c r="K28" s="98"/>
      <c r="L28" s="98"/>
      <c r="M28" s="18"/>
    </row>
    <row r="29" spans="1:13" x14ac:dyDescent="0.3">
      <c r="F29" s="18"/>
      <c r="G29" s="18"/>
      <c r="H29" s="98"/>
      <c r="I29" s="98"/>
      <c r="J29" s="100"/>
      <c r="K29" s="98"/>
      <c r="L29" s="104"/>
      <c r="M29" s="18"/>
    </row>
    <row r="30" spans="1:13" x14ac:dyDescent="0.3">
      <c r="F30" s="18"/>
      <c r="G30" s="18"/>
      <c r="H30" s="18"/>
      <c r="I30" s="18"/>
      <c r="J30" s="100"/>
      <c r="K30" s="18"/>
      <c r="L30" s="100"/>
      <c r="M30" s="18"/>
    </row>
    <row r="31" spans="1:13" ht="14.5" x14ac:dyDescent="0.35">
      <c r="F31" s="18"/>
      <c r="G31" s="105"/>
      <c r="H31" s="106"/>
      <c r="I31" s="106"/>
      <c r="J31" s="106"/>
      <c r="K31" s="106"/>
      <c r="L31" s="106"/>
      <c r="M31" s="18"/>
    </row>
    <row r="32" spans="1:13" ht="14.5" x14ac:dyDescent="0.35">
      <c r="F32" s="18"/>
      <c r="G32" s="112"/>
      <c r="H32" s="112"/>
      <c r="I32" s="18"/>
      <c r="J32" s="18"/>
      <c r="K32" s="106"/>
      <c r="L32" s="106"/>
      <c r="M32" s="18"/>
    </row>
    <row r="33" spans="1:14" ht="14.5" x14ac:dyDescent="0.35">
      <c r="F33" s="18"/>
      <c r="G33" s="98"/>
      <c r="H33" s="98"/>
      <c r="I33" s="18"/>
      <c r="J33" s="104"/>
      <c r="K33" s="106"/>
      <c r="L33" s="106"/>
      <c r="M33" s="18"/>
    </row>
    <row r="34" spans="1:14" ht="14.5" x14ac:dyDescent="0.35">
      <c r="F34" s="18"/>
      <c r="G34" s="98"/>
      <c r="H34" s="98"/>
      <c r="I34" s="18"/>
      <c r="J34" s="100"/>
      <c r="K34" s="106"/>
      <c r="L34" s="106"/>
      <c r="M34" s="18"/>
    </row>
    <row r="35" spans="1:14" ht="14.5" x14ac:dyDescent="0.35">
      <c r="F35" s="18"/>
      <c r="G35" s="98"/>
      <c r="H35" s="98"/>
      <c r="I35" s="18"/>
      <c r="J35" s="100"/>
      <c r="K35" s="106"/>
      <c r="L35" s="106"/>
      <c r="M35" s="18"/>
    </row>
    <row r="36" spans="1:14" ht="14.5" x14ac:dyDescent="0.35">
      <c r="F36" s="18"/>
      <c r="G36" s="98"/>
      <c r="H36" s="98"/>
      <c r="I36" s="18"/>
      <c r="J36" s="100"/>
      <c r="K36" s="106"/>
      <c r="L36" s="106"/>
      <c r="M36" s="18"/>
    </row>
    <row r="37" spans="1:14" ht="14.5" x14ac:dyDescent="0.35">
      <c r="F37" s="18"/>
      <c r="G37" s="98"/>
      <c r="H37" s="98"/>
      <c r="I37" s="18"/>
      <c r="J37" s="103"/>
      <c r="K37" s="106"/>
      <c r="L37" s="106"/>
      <c r="M37" s="18"/>
    </row>
    <row r="38" spans="1:14" ht="14.5" x14ac:dyDescent="0.35">
      <c r="F38" s="18"/>
      <c r="G38" s="98"/>
      <c r="H38" s="98"/>
      <c r="I38" s="18"/>
      <c r="J38" s="101"/>
      <c r="K38" s="106"/>
      <c r="L38" s="106"/>
      <c r="M38" s="18"/>
    </row>
    <row r="39" spans="1:14" x14ac:dyDescent="0.3">
      <c r="A39" s="11"/>
      <c r="F39" s="18"/>
      <c r="G39" s="18"/>
      <c r="H39" s="18"/>
      <c r="I39" s="18"/>
      <c r="J39" s="18"/>
      <c r="K39" s="18"/>
      <c r="L39" s="18"/>
      <c r="M39" s="18"/>
    </row>
    <row r="40" spans="1:14" x14ac:dyDescent="0.3">
      <c r="F40" s="18"/>
      <c r="G40" s="18"/>
      <c r="H40" s="18"/>
      <c r="I40" s="18"/>
      <c r="J40" s="18"/>
      <c r="K40" s="18"/>
      <c r="L40" s="18"/>
      <c r="M40" s="18"/>
    </row>
    <row r="41" spans="1:14" x14ac:dyDescent="0.3">
      <c r="F41" s="18"/>
      <c r="G41" s="18"/>
      <c r="H41" s="18"/>
      <c r="I41" s="18"/>
      <c r="J41" s="18"/>
      <c r="K41" s="18"/>
      <c r="L41" s="18"/>
      <c r="M41" s="18"/>
    </row>
    <row r="46" spans="1:14" x14ac:dyDescent="0.3">
      <c r="M46" s="64"/>
      <c r="N46" s="64"/>
    </row>
    <row r="58" spans="13:13" x14ac:dyDescent="0.3">
      <c r="M58" s="87"/>
    </row>
    <row r="69" spans="12:17" x14ac:dyDescent="0.3">
      <c r="L69" s="88"/>
      <c r="M69" s="18"/>
      <c r="N69" s="18"/>
      <c r="O69" s="18"/>
      <c r="P69" s="18"/>
      <c r="Q69" s="18"/>
    </row>
    <row r="70" spans="12:17" x14ac:dyDescent="0.3">
      <c r="L70" s="18"/>
      <c r="M70" s="88"/>
      <c r="N70" s="88"/>
      <c r="O70" s="18"/>
      <c r="P70" s="18"/>
      <c r="Q70" s="18"/>
    </row>
    <row r="71" spans="12:17" x14ac:dyDescent="0.3">
      <c r="L71" s="18"/>
      <c r="M71" s="18"/>
      <c r="N71" s="18"/>
      <c r="O71" s="18"/>
      <c r="P71" s="18"/>
      <c r="Q71" s="18"/>
    </row>
    <row r="72" spans="12:17" x14ac:dyDescent="0.3">
      <c r="L72" s="18"/>
      <c r="M72" s="18"/>
      <c r="N72" s="18"/>
      <c r="O72" s="18"/>
      <c r="P72" s="18"/>
      <c r="Q72" s="18"/>
    </row>
    <row r="73" spans="12:17" x14ac:dyDescent="0.3">
      <c r="L73" s="18"/>
      <c r="M73" s="18"/>
      <c r="N73" s="18"/>
      <c r="O73" s="18"/>
      <c r="P73" s="18"/>
      <c r="Q73" s="18"/>
    </row>
    <row r="74" spans="12:17" x14ac:dyDescent="0.3">
      <c r="L74" s="18"/>
      <c r="M74" s="18"/>
      <c r="N74" s="18"/>
      <c r="O74" s="18"/>
      <c r="P74" s="18"/>
      <c r="Q74" s="18"/>
    </row>
    <row r="75" spans="12:17" x14ac:dyDescent="0.3">
      <c r="L75" s="18"/>
      <c r="M75" s="18"/>
      <c r="N75" s="18"/>
      <c r="O75" s="18"/>
      <c r="P75" s="18"/>
      <c r="Q75" s="18"/>
    </row>
    <row r="76" spans="12:17" x14ac:dyDescent="0.3">
      <c r="L76" s="18"/>
      <c r="M76" s="18"/>
      <c r="N76" s="18"/>
      <c r="O76" s="18"/>
      <c r="P76" s="18"/>
      <c r="Q76" s="18"/>
    </row>
    <row r="77" spans="12:17" x14ac:dyDescent="0.3">
      <c r="L77" s="18"/>
      <c r="M77" s="18"/>
      <c r="N77" s="18"/>
      <c r="O77" s="18"/>
      <c r="P77" s="18"/>
      <c r="Q77" s="18"/>
    </row>
    <row r="78" spans="12:17" x14ac:dyDescent="0.3">
      <c r="L78" s="18"/>
      <c r="M78" s="18"/>
      <c r="N78" s="18"/>
      <c r="O78" s="18"/>
      <c r="P78" s="18"/>
      <c r="Q78" s="18"/>
    </row>
    <row r="79" spans="12:17" x14ac:dyDescent="0.3">
      <c r="L79" s="88"/>
      <c r="M79" s="18"/>
      <c r="N79" s="18"/>
      <c r="O79" s="18"/>
      <c r="P79" s="18"/>
      <c r="Q79" s="18"/>
    </row>
    <row r="80" spans="12:17" x14ac:dyDescent="0.3">
      <c r="L80" s="18"/>
      <c r="M80" s="18"/>
      <c r="N80" s="18"/>
      <c r="O80" s="18"/>
      <c r="P80" s="18"/>
      <c r="Q80" s="18"/>
    </row>
    <row r="81" spans="12:17" x14ac:dyDescent="0.3">
      <c r="L81" s="18"/>
      <c r="M81" s="18"/>
      <c r="N81" s="18"/>
      <c r="O81" s="18"/>
      <c r="P81" s="18"/>
      <c r="Q81" s="18"/>
    </row>
    <row r="82" spans="12:17" x14ac:dyDescent="0.3">
      <c r="L82" s="18"/>
      <c r="M82" s="18"/>
      <c r="N82" s="18"/>
      <c r="O82" s="18"/>
      <c r="P82" s="18"/>
      <c r="Q82" s="18"/>
    </row>
    <row r="83" spans="12:17" x14ac:dyDescent="0.3">
      <c r="L83" s="18"/>
      <c r="M83" s="18"/>
      <c r="N83" s="18"/>
      <c r="O83" s="18"/>
      <c r="P83" s="18"/>
      <c r="Q83" s="18"/>
    </row>
    <row r="84" spans="12:17" x14ac:dyDescent="0.3">
      <c r="L84" s="18"/>
      <c r="M84" s="18"/>
      <c r="N84" s="18"/>
      <c r="O84" s="18"/>
      <c r="P84" s="18"/>
      <c r="Q84" s="18"/>
    </row>
    <row r="85" spans="12:17" x14ac:dyDescent="0.3">
      <c r="L85" s="18"/>
      <c r="M85" s="18"/>
      <c r="N85" s="18"/>
      <c r="O85" s="18"/>
      <c r="P85" s="18"/>
      <c r="Q85" s="18"/>
    </row>
    <row r="86" spans="12:17" x14ac:dyDescent="0.3">
      <c r="L86" s="18"/>
      <c r="M86" s="18"/>
      <c r="N86" s="18"/>
      <c r="O86" s="18"/>
      <c r="P86" s="18"/>
      <c r="Q86" s="18"/>
    </row>
    <row r="87" spans="12:17" x14ac:dyDescent="0.3">
      <c r="L87" s="18"/>
      <c r="M87" s="18"/>
      <c r="N87" s="18"/>
      <c r="O87" s="18"/>
      <c r="P87" s="18"/>
      <c r="Q87" s="18"/>
    </row>
    <row r="88" spans="12:17" x14ac:dyDescent="0.3">
      <c r="L88" s="18"/>
      <c r="M88" s="18"/>
      <c r="N88" s="18"/>
      <c r="O88" s="18"/>
      <c r="P88" s="18"/>
      <c r="Q88" s="18"/>
    </row>
  </sheetData>
  <mergeCells count="2">
    <mergeCell ref="G23:H23"/>
    <mergeCell ref="G32:H32"/>
  </mergeCells>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H45"/>
  <sheetViews>
    <sheetView showGridLines="0" topLeftCell="A4" zoomScale="90" zoomScaleNormal="90" workbookViewId="0">
      <selection activeCell="C16" sqref="C16"/>
    </sheetView>
  </sheetViews>
  <sheetFormatPr defaultColWidth="8.7265625" defaultRowHeight="13" x14ac:dyDescent="0.3"/>
  <cols>
    <col min="1" max="1" width="37.7265625" style="4" customWidth="1"/>
    <col min="2" max="2" width="16.54296875" style="4" customWidth="1"/>
    <col min="3" max="3" width="77.08984375" style="74" customWidth="1"/>
    <col min="4" max="4" width="8.54296875" style="4" customWidth="1"/>
    <col min="5" max="5" width="44.08984375" style="74" customWidth="1"/>
    <col min="6" max="13" width="8.54296875" style="4" customWidth="1"/>
    <col min="14" max="14" width="20.08984375" style="4" customWidth="1"/>
    <col min="15" max="15" width="8.7265625" style="4"/>
    <col min="16" max="16" width="39.26953125" style="4" customWidth="1"/>
    <col min="17" max="16384" width="8.7265625" style="4"/>
  </cols>
  <sheetData>
    <row r="1" spans="1:8" s="67" customFormat="1" ht="18.5" x14ac:dyDescent="0.3">
      <c r="A1" s="3" t="s">
        <v>190</v>
      </c>
      <c r="B1" s="3"/>
      <c r="C1" s="80"/>
      <c r="D1" s="3"/>
      <c r="E1" s="80"/>
      <c r="F1" s="4"/>
      <c r="G1" s="64"/>
      <c r="H1" s="65"/>
    </row>
    <row r="2" spans="1:8" s="67" customFormat="1" ht="18.5" x14ac:dyDescent="0.3">
      <c r="A2" s="11"/>
      <c r="B2" s="68"/>
      <c r="C2" s="81"/>
      <c r="D2" s="4"/>
      <c r="E2" s="74"/>
      <c r="F2" s="4"/>
      <c r="G2" s="64"/>
      <c r="H2" s="65"/>
    </row>
    <row r="3" spans="1:8" s="67" customFormat="1" ht="18.5" x14ac:dyDescent="0.3">
      <c r="A3" s="11" t="s">
        <v>172</v>
      </c>
      <c r="B3" s="68"/>
      <c r="C3" s="82"/>
      <c r="D3" s="4"/>
      <c r="E3" s="4"/>
      <c r="F3" s="4"/>
      <c r="G3" s="64"/>
      <c r="H3" s="65"/>
    </row>
    <row r="4" spans="1:8" x14ac:dyDescent="0.3">
      <c r="A4" s="14" t="s">
        <v>19</v>
      </c>
      <c r="B4" s="15" t="s">
        <v>205</v>
      </c>
      <c r="C4" s="82"/>
      <c r="E4" s="4"/>
    </row>
    <row r="5" spans="1:8" x14ac:dyDescent="0.3">
      <c r="A5" s="14" t="s">
        <v>20</v>
      </c>
      <c r="B5" s="15"/>
      <c r="C5" s="82"/>
      <c r="E5" s="4"/>
    </row>
    <row r="6" spans="1:8" x14ac:dyDescent="0.3">
      <c r="A6" s="69" t="s">
        <v>18</v>
      </c>
      <c r="B6" s="83" t="s">
        <v>0</v>
      </c>
      <c r="C6" s="82"/>
      <c r="E6" s="4"/>
    </row>
    <row r="7" spans="1:8" x14ac:dyDescent="0.3">
      <c r="A7" s="69" t="s">
        <v>21</v>
      </c>
      <c r="B7" s="70" t="s">
        <v>35</v>
      </c>
      <c r="C7" s="82"/>
    </row>
    <row r="8" spans="1:8" x14ac:dyDescent="0.3">
      <c r="A8" s="69" t="s">
        <v>138</v>
      </c>
      <c r="B8" s="29">
        <f>INDEX(Analysis!$J$6:$J$22,MATCH($B$6,Analysis!$B$6:$B$22,0))</f>
        <v>19.820129557944767</v>
      </c>
    </row>
    <row r="9" spans="1:8" x14ac:dyDescent="0.3">
      <c r="A9" s="73" t="s">
        <v>38</v>
      </c>
      <c r="B9" s="29">
        <f>B8</f>
        <v>19.820129557944767</v>
      </c>
    </row>
    <row r="10" spans="1:8" x14ac:dyDescent="0.3">
      <c r="A10" s="11"/>
    </row>
    <row r="11" spans="1:8" x14ac:dyDescent="0.3">
      <c r="A11" s="11" t="s">
        <v>23</v>
      </c>
      <c r="E11" s="84" t="s">
        <v>24</v>
      </c>
    </row>
    <row r="12" spans="1:8" ht="26" x14ac:dyDescent="0.3">
      <c r="A12" s="69" t="s">
        <v>25</v>
      </c>
      <c r="B12" s="69" t="s">
        <v>36</v>
      </c>
      <c r="C12" s="76" t="s">
        <v>182</v>
      </c>
      <c r="E12" s="69" t="s">
        <v>181</v>
      </c>
    </row>
    <row r="13" spans="1:8" x14ac:dyDescent="0.3">
      <c r="A13" s="69" t="s">
        <v>27</v>
      </c>
      <c r="B13" s="69" t="s">
        <v>26</v>
      </c>
      <c r="C13" s="76"/>
      <c r="E13" s="76"/>
    </row>
    <row r="14" spans="1:8" ht="39" x14ac:dyDescent="0.3">
      <c r="A14" s="69" t="s">
        <v>28</v>
      </c>
      <c r="B14" s="69" t="s">
        <v>36</v>
      </c>
      <c r="C14" s="76" t="s">
        <v>179</v>
      </c>
      <c r="E14" s="69" t="s">
        <v>180</v>
      </c>
    </row>
    <row r="15" spans="1:8" ht="130" x14ac:dyDescent="0.3">
      <c r="A15" s="69" t="s">
        <v>29</v>
      </c>
      <c r="B15" s="69" t="s">
        <v>137</v>
      </c>
      <c r="C15" s="76" t="s">
        <v>232</v>
      </c>
      <c r="E15" s="76" t="s">
        <v>183</v>
      </c>
    </row>
    <row r="16" spans="1:8" ht="114" customHeight="1" x14ac:dyDescent="0.3">
      <c r="A16" s="69" t="s">
        <v>30</v>
      </c>
      <c r="B16" s="69" t="s">
        <v>137</v>
      </c>
      <c r="C16" s="76" t="s">
        <v>217</v>
      </c>
      <c r="E16" s="76" t="s">
        <v>184</v>
      </c>
    </row>
    <row r="17" spans="1:5" ht="91" x14ac:dyDescent="0.3">
      <c r="A17" s="69" t="s">
        <v>31</v>
      </c>
      <c r="B17" s="69" t="s">
        <v>137</v>
      </c>
      <c r="C17" s="76" t="s">
        <v>233</v>
      </c>
      <c r="E17" s="76" t="s">
        <v>178</v>
      </c>
    </row>
    <row r="18" spans="1:5" x14ac:dyDescent="0.3">
      <c r="A18" s="69" t="s">
        <v>32</v>
      </c>
      <c r="B18" s="69" t="s">
        <v>26</v>
      </c>
      <c r="C18" s="76"/>
      <c r="E18" s="76"/>
    </row>
    <row r="19" spans="1:5" ht="76.5" customHeight="1" x14ac:dyDescent="0.3">
      <c r="A19" s="69" t="s">
        <v>33</v>
      </c>
      <c r="B19" s="69" t="s">
        <v>26</v>
      </c>
      <c r="C19" s="76"/>
      <c r="E19" s="76"/>
    </row>
    <row r="20" spans="1:5" x14ac:dyDescent="0.3">
      <c r="A20" s="77"/>
      <c r="B20" s="77"/>
      <c r="C20" s="85"/>
      <c r="E20" s="85"/>
    </row>
    <row r="21" spans="1:5" x14ac:dyDescent="0.3">
      <c r="A21" s="75"/>
      <c r="B21" s="77"/>
      <c r="C21" s="85"/>
      <c r="E21" s="85"/>
    </row>
    <row r="22" spans="1:5" x14ac:dyDescent="0.3">
      <c r="A22" s="77"/>
      <c r="B22" s="77"/>
      <c r="C22" s="85"/>
      <c r="E22" s="85"/>
    </row>
    <row r="23" spans="1:5" x14ac:dyDescent="0.3">
      <c r="A23" s="77"/>
      <c r="B23" s="77"/>
      <c r="C23" s="85"/>
      <c r="E23" s="85"/>
    </row>
    <row r="24" spans="1:5" ht="14.5" x14ac:dyDescent="0.35">
      <c r="A24" s="77"/>
      <c r="B24" s="77"/>
      <c r="C24" s="85"/>
      <c r="D24" s="62"/>
      <c r="E24" s="85"/>
    </row>
    <row r="25" spans="1:5" x14ac:dyDescent="0.3">
      <c r="A25" s="77"/>
      <c r="B25" s="77"/>
      <c r="C25" s="85"/>
      <c r="E25" s="85"/>
    </row>
    <row r="26" spans="1:5" x14ac:dyDescent="0.3">
      <c r="A26" s="77"/>
      <c r="B26" s="77"/>
      <c r="C26" s="85"/>
      <c r="E26" s="85"/>
    </row>
    <row r="27" spans="1:5" x14ac:dyDescent="0.3">
      <c r="A27" s="77"/>
      <c r="B27" s="77"/>
      <c r="C27" s="85"/>
      <c r="E27" s="85"/>
    </row>
    <row r="30" spans="1:5" x14ac:dyDescent="0.3">
      <c r="A30" s="11"/>
      <c r="B30" s="74"/>
      <c r="D30" s="74"/>
    </row>
    <row r="31" spans="1:5" x14ac:dyDescent="0.3">
      <c r="B31" s="74"/>
      <c r="D31" s="74"/>
    </row>
    <row r="32" spans="1:5" x14ac:dyDescent="0.3">
      <c r="A32" s="18"/>
      <c r="B32" s="74"/>
      <c r="D32" s="74"/>
    </row>
    <row r="33" spans="1:4" x14ac:dyDescent="0.3">
      <c r="A33" s="18"/>
      <c r="B33" s="74"/>
      <c r="D33" s="74"/>
    </row>
    <row r="34" spans="1:4" x14ac:dyDescent="0.3">
      <c r="A34" s="18"/>
      <c r="B34" s="74"/>
      <c r="D34" s="74"/>
    </row>
    <row r="35" spans="1:4" x14ac:dyDescent="0.3">
      <c r="A35" s="18"/>
      <c r="B35" s="74"/>
      <c r="D35" s="74"/>
    </row>
    <row r="36" spans="1:4" x14ac:dyDescent="0.3">
      <c r="A36" s="18"/>
      <c r="B36" s="74"/>
      <c r="D36" s="74"/>
    </row>
    <row r="37" spans="1:4" x14ac:dyDescent="0.3">
      <c r="A37" s="18"/>
      <c r="B37" s="74"/>
      <c r="D37" s="74"/>
    </row>
    <row r="38" spans="1:4" x14ac:dyDescent="0.3">
      <c r="A38" s="18"/>
      <c r="B38" s="74"/>
      <c r="D38" s="74"/>
    </row>
    <row r="39" spans="1:4" x14ac:dyDescent="0.3">
      <c r="A39" s="18"/>
      <c r="B39" s="74"/>
      <c r="D39" s="74"/>
    </row>
    <row r="40" spans="1:4" x14ac:dyDescent="0.3">
      <c r="A40" s="18"/>
      <c r="B40" s="74"/>
      <c r="D40" s="74"/>
    </row>
    <row r="41" spans="1:4" x14ac:dyDescent="0.3">
      <c r="A41" s="18"/>
      <c r="B41" s="78"/>
    </row>
    <row r="42" spans="1:4" x14ac:dyDescent="0.3">
      <c r="A42" s="18"/>
      <c r="B42" s="78"/>
    </row>
    <row r="43" spans="1:4" x14ac:dyDescent="0.3">
      <c r="A43" s="18"/>
      <c r="B43" s="78"/>
    </row>
    <row r="44" spans="1:4" x14ac:dyDescent="0.3">
      <c r="A44" s="18"/>
      <c r="B44" s="78"/>
    </row>
    <row r="45" spans="1:4" x14ac:dyDescent="0.3">
      <c r="A45" s="18"/>
      <c r="B45" s="78"/>
    </row>
  </sheetData>
  <dataValidations count="4">
    <dataValidation type="list" allowBlank="1" showInputMessage="1" showErrorMessage="1" sqref="B12:B19">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0:B27">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A1:N55"/>
  <sheetViews>
    <sheetView showGridLines="0" topLeftCell="A16" zoomScaleNormal="100" workbookViewId="0">
      <selection activeCell="C18" sqref="C18"/>
    </sheetView>
  </sheetViews>
  <sheetFormatPr defaultColWidth="8.7265625" defaultRowHeight="13" x14ac:dyDescent="0.3"/>
  <cols>
    <col min="1" max="1" width="37.7265625" style="4" customWidth="1"/>
    <col min="2" max="2" width="16.54296875" style="4" customWidth="1"/>
    <col min="3" max="3" width="68.08984375" style="4" customWidth="1"/>
    <col min="4" max="4" width="8.54296875" style="4" customWidth="1"/>
    <col min="5" max="5" width="26.54296875" style="4" customWidth="1"/>
    <col min="6" max="8" width="8.54296875" style="4" customWidth="1"/>
    <col min="9" max="9" width="47.7265625" style="4" customWidth="1"/>
    <col min="10" max="10" width="7.81640625" style="4" bestFit="1" customWidth="1"/>
    <col min="11" max="11" width="8.54296875" style="4" customWidth="1"/>
    <col min="12" max="12" width="26.08984375" style="4" customWidth="1"/>
    <col min="13" max="13" width="8.54296875" style="4" customWidth="1"/>
    <col min="14" max="14" width="44.81640625" style="4" customWidth="1"/>
    <col min="15" max="15" width="8.7265625" style="4"/>
    <col min="16" max="16" width="44.26953125" style="4" customWidth="1"/>
    <col min="17" max="16384" width="8.7265625" style="4"/>
  </cols>
  <sheetData>
    <row r="1" spans="1:14" s="67" customFormat="1" ht="18.5" x14ac:dyDescent="0.3">
      <c r="A1" s="3" t="s">
        <v>188</v>
      </c>
      <c r="B1" s="3"/>
      <c r="C1" s="3"/>
      <c r="D1" s="3"/>
      <c r="E1" s="3"/>
      <c r="F1" s="4"/>
      <c r="G1" s="64"/>
      <c r="H1" s="65"/>
    </row>
    <row r="2" spans="1:14" s="67" customFormat="1" ht="18.5" x14ac:dyDescent="0.3">
      <c r="A2" s="11"/>
      <c r="B2" s="68"/>
      <c r="C2" s="68"/>
      <c r="D2" s="4"/>
      <c r="E2" s="4"/>
      <c r="F2" s="4"/>
      <c r="G2" s="64"/>
      <c r="H2" s="65"/>
    </row>
    <row r="3" spans="1:14" s="67" customFormat="1" ht="18.5" x14ac:dyDescent="0.3">
      <c r="A3" s="11" t="s">
        <v>172</v>
      </c>
      <c r="B3" s="68"/>
      <c r="C3" s="18"/>
      <c r="D3" s="4"/>
      <c r="E3" s="4"/>
      <c r="F3" s="4"/>
      <c r="G3" s="64"/>
      <c r="H3" s="65"/>
    </row>
    <row r="4" spans="1:14" x14ac:dyDescent="0.3">
      <c r="A4" s="14" t="s">
        <v>19</v>
      </c>
      <c r="B4" s="15" t="s">
        <v>205</v>
      </c>
      <c r="C4" s="18"/>
      <c r="E4" s="91"/>
    </row>
    <row r="5" spans="1:14" x14ac:dyDescent="0.3">
      <c r="A5" s="14" t="s">
        <v>20</v>
      </c>
      <c r="B5" s="15"/>
      <c r="C5" s="18"/>
    </row>
    <row r="6" spans="1:14" x14ac:dyDescent="0.3">
      <c r="A6" s="69" t="s">
        <v>18</v>
      </c>
      <c r="B6" s="70" t="s">
        <v>135</v>
      </c>
      <c r="C6" s="18"/>
    </row>
    <row r="7" spans="1:14" x14ac:dyDescent="0.3">
      <c r="A7" s="69" t="s">
        <v>21</v>
      </c>
      <c r="B7" s="70" t="s">
        <v>35</v>
      </c>
      <c r="C7" s="18"/>
    </row>
    <row r="8" spans="1:14" x14ac:dyDescent="0.3">
      <c r="A8" s="69" t="s">
        <v>138</v>
      </c>
      <c r="B8" s="71">
        <f>Analysis!J11</f>
        <v>40.900000000000006</v>
      </c>
      <c r="C8" s="18"/>
      <c r="D8" s="18"/>
      <c r="I8" s="18"/>
      <c r="J8" s="18"/>
      <c r="K8" s="18"/>
      <c r="L8" s="18"/>
      <c r="M8" s="18"/>
      <c r="N8" s="18"/>
    </row>
    <row r="9" spans="1:14" ht="39" x14ac:dyDescent="0.3">
      <c r="A9" s="73" t="s">
        <v>38</v>
      </c>
      <c r="B9" s="71">
        <f>B8*0.8*(1-Analysis!N11)</f>
        <v>32.720000000000006</v>
      </c>
      <c r="C9" s="74" t="s">
        <v>207</v>
      </c>
      <c r="D9" s="18"/>
      <c r="I9" s="107"/>
      <c r="J9" s="107"/>
      <c r="K9" s="107"/>
      <c r="L9" s="107"/>
      <c r="M9" s="107"/>
      <c r="N9" s="108"/>
    </row>
    <row r="10" spans="1:14" x14ac:dyDescent="0.3">
      <c r="I10" s="109"/>
      <c r="J10" s="109"/>
      <c r="K10" s="109"/>
      <c r="L10" s="110"/>
      <c r="M10" s="110"/>
      <c r="N10" s="110"/>
    </row>
    <row r="11" spans="1:14" x14ac:dyDescent="0.3">
      <c r="A11" s="11" t="s">
        <v>22</v>
      </c>
    </row>
    <row r="12" spans="1:14" x14ac:dyDescent="0.3">
      <c r="A12" s="75" t="s">
        <v>23</v>
      </c>
      <c r="E12" s="11" t="s">
        <v>24</v>
      </c>
    </row>
    <row r="13" spans="1:14" ht="52" x14ac:dyDescent="0.3">
      <c r="A13" s="69" t="s">
        <v>25</v>
      </c>
      <c r="B13" s="69" t="s">
        <v>36</v>
      </c>
      <c r="C13" s="76" t="s">
        <v>161</v>
      </c>
      <c r="E13" s="76" t="s">
        <v>162</v>
      </c>
    </row>
    <row r="14" spans="1:14" x14ac:dyDescent="0.3">
      <c r="A14" s="69" t="s">
        <v>27</v>
      </c>
      <c r="B14" s="69" t="s">
        <v>26</v>
      </c>
      <c r="C14" s="76"/>
      <c r="E14" s="76"/>
    </row>
    <row r="15" spans="1:14" ht="26" x14ac:dyDescent="0.3">
      <c r="A15" s="69" t="s">
        <v>28</v>
      </c>
      <c r="B15" s="69" t="s">
        <v>36</v>
      </c>
      <c r="C15" s="76" t="s">
        <v>218</v>
      </c>
      <c r="E15" s="76" t="s">
        <v>160</v>
      </c>
    </row>
    <row r="16" spans="1:14" ht="104" x14ac:dyDescent="0.3">
      <c r="A16" s="69" t="s">
        <v>29</v>
      </c>
      <c r="B16" s="69" t="s">
        <v>36</v>
      </c>
      <c r="C16" s="76" t="s">
        <v>220</v>
      </c>
      <c r="E16" s="76" t="s">
        <v>219</v>
      </c>
    </row>
    <row r="17" spans="1:9" ht="130" x14ac:dyDescent="0.3">
      <c r="A17" s="69" t="s">
        <v>30</v>
      </c>
      <c r="B17" s="69" t="s">
        <v>137</v>
      </c>
      <c r="C17" s="76" t="s">
        <v>234</v>
      </c>
      <c r="E17" s="76" t="s">
        <v>221</v>
      </c>
    </row>
    <row r="18" spans="1:9" ht="182" x14ac:dyDescent="0.3">
      <c r="A18" s="69" t="s">
        <v>31</v>
      </c>
      <c r="B18" s="69" t="s">
        <v>36</v>
      </c>
      <c r="C18" s="76" t="s">
        <v>222</v>
      </c>
      <c r="E18" s="76" t="s">
        <v>160</v>
      </c>
    </row>
    <row r="19" spans="1:9" x14ac:dyDescent="0.3">
      <c r="A19" s="69" t="s">
        <v>32</v>
      </c>
      <c r="B19" s="69" t="s">
        <v>26</v>
      </c>
      <c r="C19" s="76"/>
      <c r="E19" s="76"/>
    </row>
    <row r="20" spans="1:9" x14ac:dyDescent="0.3">
      <c r="A20" s="69" t="s">
        <v>33</v>
      </c>
      <c r="B20" s="69" t="s">
        <v>26</v>
      </c>
      <c r="C20" s="76"/>
      <c r="E20" s="76"/>
    </row>
    <row r="21" spans="1:9" x14ac:dyDescent="0.3">
      <c r="A21" s="77"/>
      <c r="B21" s="77"/>
      <c r="C21" s="77"/>
      <c r="E21" s="77"/>
    </row>
    <row r="22" spans="1:9" x14ac:dyDescent="0.3">
      <c r="A22" s="75"/>
      <c r="B22" s="77"/>
      <c r="C22" s="77"/>
      <c r="E22" s="77"/>
    </row>
    <row r="23" spans="1:9" x14ac:dyDescent="0.3">
      <c r="A23" s="77"/>
      <c r="B23" s="77"/>
      <c r="C23" s="77"/>
      <c r="E23" s="77"/>
    </row>
    <row r="24" spans="1:9" x14ac:dyDescent="0.3">
      <c r="A24" s="77"/>
      <c r="B24" s="77"/>
      <c r="C24" s="77"/>
      <c r="E24" s="77"/>
    </row>
    <row r="25" spans="1:9" ht="14.5" x14ac:dyDescent="0.35">
      <c r="A25" s="77"/>
      <c r="B25" s="77"/>
      <c r="C25" s="77"/>
      <c r="D25" s="62"/>
      <c r="E25" s="77"/>
    </row>
    <row r="26" spans="1:9" x14ac:dyDescent="0.3">
      <c r="A26" s="77"/>
      <c r="B26" s="77"/>
      <c r="C26" s="77"/>
      <c r="E26" s="77"/>
      <c r="I26" s="74"/>
    </row>
    <row r="27" spans="1:9" x14ac:dyDescent="0.3">
      <c r="A27" s="77"/>
      <c r="B27" s="77"/>
      <c r="C27" s="77"/>
      <c r="E27" s="77"/>
    </row>
    <row r="28" spans="1:9" x14ac:dyDescent="0.3">
      <c r="A28" s="77"/>
      <c r="B28" s="77"/>
      <c r="C28" s="77"/>
      <c r="E28" s="77"/>
    </row>
    <row r="39" spans="1:1" x14ac:dyDescent="0.3">
      <c r="A39" s="11"/>
    </row>
    <row r="42" spans="1:1" x14ac:dyDescent="0.3">
      <c r="A42" s="11"/>
    </row>
    <row r="55" spans="13:13" x14ac:dyDescent="0.3">
      <c r="M55" s="64"/>
    </row>
  </sheetData>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H39"/>
  <sheetViews>
    <sheetView showGridLines="0" tabSelected="1" topLeftCell="A17" zoomScaleNormal="100" workbookViewId="0">
      <selection activeCell="G18" sqref="G18"/>
    </sheetView>
  </sheetViews>
  <sheetFormatPr defaultColWidth="8.7265625" defaultRowHeight="13" x14ac:dyDescent="0.3"/>
  <cols>
    <col min="1" max="1" width="37.7265625" style="4" customWidth="1"/>
    <col min="2" max="2" width="16.54296875" style="4" customWidth="1"/>
    <col min="3" max="3" width="94.26953125" style="4" customWidth="1"/>
    <col min="4" max="4" width="8.54296875" style="4" customWidth="1"/>
    <col min="5" max="5" width="26.54296875" style="4" customWidth="1"/>
    <col min="6" max="6" width="8.54296875" style="4" customWidth="1"/>
    <col min="7" max="7" width="26" style="4" customWidth="1"/>
    <col min="8" max="8" width="8.54296875" style="4" customWidth="1"/>
    <col min="9" max="14" width="8.7265625" style="4"/>
    <col min="15" max="15" width="17.7265625" style="4" bestFit="1" customWidth="1"/>
    <col min="16" max="16" width="8.7265625" style="4"/>
    <col min="17" max="17" width="31.26953125" style="4" customWidth="1"/>
    <col min="18" max="16384" width="8.7265625" style="4"/>
  </cols>
  <sheetData>
    <row r="1" spans="1:8" s="67" customFormat="1" ht="18.5" x14ac:dyDescent="0.3">
      <c r="A1" s="3" t="s">
        <v>191</v>
      </c>
      <c r="B1" s="3"/>
      <c r="C1" s="3"/>
      <c r="D1" s="3"/>
      <c r="E1" s="3"/>
      <c r="F1" s="4"/>
      <c r="G1" s="64"/>
      <c r="H1" s="65"/>
    </row>
    <row r="2" spans="1:8" s="67" customFormat="1" ht="18.5" x14ac:dyDescent="0.3">
      <c r="A2" s="11"/>
      <c r="B2" s="68"/>
      <c r="C2" s="68"/>
      <c r="D2" s="4"/>
      <c r="E2" s="4"/>
      <c r="F2" s="4"/>
      <c r="G2" s="64"/>
      <c r="H2" s="65"/>
    </row>
    <row r="3" spans="1:8" s="67" customFormat="1" ht="18.5" x14ac:dyDescent="0.3">
      <c r="A3" s="11" t="s">
        <v>172</v>
      </c>
      <c r="B3" s="68"/>
      <c r="C3" s="4"/>
      <c r="D3" s="4"/>
      <c r="E3" s="4"/>
      <c r="F3" s="4"/>
      <c r="G3" s="64"/>
      <c r="H3" s="65"/>
    </row>
    <row r="4" spans="1:8" x14ac:dyDescent="0.3">
      <c r="A4" s="14" t="s">
        <v>19</v>
      </c>
      <c r="B4" s="15" t="s">
        <v>205</v>
      </c>
      <c r="E4" s="92"/>
    </row>
    <row r="5" spans="1:8" x14ac:dyDescent="0.3">
      <c r="A5" s="14" t="s">
        <v>20</v>
      </c>
      <c r="B5" s="15"/>
    </row>
    <row r="6" spans="1:8" x14ac:dyDescent="0.3">
      <c r="A6" s="69" t="s">
        <v>18</v>
      </c>
      <c r="B6" s="70" t="s">
        <v>7</v>
      </c>
    </row>
    <row r="7" spans="1:8" x14ac:dyDescent="0.3">
      <c r="A7" s="69" t="s">
        <v>21</v>
      </c>
      <c r="B7" s="70" t="s">
        <v>35</v>
      </c>
    </row>
    <row r="8" spans="1:8" x14ac:dyDescent="0.3">
      <c r="A8" s="69" t="s">
        <v>138</v>
      </c>
      <c r="B8" s="29">
        <f>Analysis!J13</f>
        <v>114.5730956667</v>
      </c>
      <c r="C8" s="72"/>
      <c r="D8" s="18"/>
    </row>
    <row r="9" spans="1:8" ht="26" x14ac:dyDescent="0.3">
      <c r="A9" s="73" t="s">
        <v>38</v>
      </c>
      <c r="B9" s="29">
        <f>B8*0.8*(1-Analysis!N13)</f>
        <v>79.742874584023198</v>
      </c>
      <c r="C9" s="74" t="s">
        <v>207</v>
      </c>
      <c r="D9" s="18"/>
    </row>
    <row r="11" spans="1:8" x14ac:dyDescent="0.3">
      <c r="A11" s="11"/>
    </row>
    <row r="12" spans="1:8" x14ac:dyDescent="0.3">
      <c r="A12" s="11" t="s">
        <v>23</v>
      </c>
      <c r="E12" s="11" t="s">
        <v>24</v>
      </c>
    </row>
    <row r="13" spans="1:8" ht="65" x14ac:dyDescent="0.3">
      <c r="A13" s="69" t="s">
        <v>25</v>
      </c>
      <c r="B13" s="69" t="s">
        <v>36</v>
      </c>
      <c r="C13" s="76" t="s">
        <v>224</v>
      </c>
      <c r="E13" s="76" t="s">
        <v>223</v>
      </c>
    </row>
    <row r="14" spans="1:8" x14ac:dyDescent="0.3">
      <c r="A14" s="69" t="s">
        <v>27</v>
      </c>
      <c r="B14" s="69" t="s">
        <v>26</v>
      </c>
      <c r="C14" s="76"/>
      <c r="E14" s="73"/>
      <c r="G14" s="85"/>
    </row>
    <row r="15" spans="1:8" ht="78" x14ac:dyDescent="0.3">
      <c r="A15" s="69" t="s">
        <v>28</v>
      </c>
      <c r="B15" s="69" t="s">
        <v>36</v>
      </c>
      <c r="C15" s="76" t="s">
        <v>227</v>
      </c>
      <c r="E15" s="76" t="s">
        <v>228</v>
      </c>
    </row>
    <row r="16" spans="1:8" ht="260" x14ac:dyDescent="0.3">
      <c r="A16" s="69" t="s">
        <v>29</v>
      </c>
      <c r="B16" s="69" t="s">
        <v>137</v>
      </c>
      <c r="C16" s="76" t="s">
        <v>238</v>
      </c>
      <c r="E16" s="76" t="s">
        <v>229</v>
      </c>
    </row>
    <row r="17" spans="1:5" ht="273" x14ac:dyDescent="0.3">
      <c r="A17" s="69" t="s">
        <v>30</v>
      </c>
      <c r="B17" s="69" t="s">
        <v>163</v>
      </c>
      <c r="C17" s="76" t="s">
        <v>239</v>
      </c>
      <c r="E17" s="76" t="s">
        <v>230</v>
      </c>
    </row>
    <row r="18" spans="1:5" ht="78" x14ac:dyDescent="0.3">
      <c r="A18" s="69" t="s">
        <v>31</v>
      </c>
      <c r="B18" s="69" t="s">
        <v>36</v>
      </c>
      <c r="C18" s="76" t="s">
        <v>226</v>
      </c>
      <c r="E18" s="76" t="s">
        <v>225</v>
      </c>
    </row>
    <row r="19" spans="1:5" x14ac:dyDescent="0.3">
      <c r="A19" s="69" t="s">
        <v>32</v>
      </c>
      <c r="B19" s="69" t="s">
        <v>26</v>
      </c>
      <c r="C19" s="76"/>
      <c r="E19" s="79"/>
    </row>
    <row r="20" spans="1:5" x14ac:dyDescent="0.3">
      <c r="A20" s="69" t="s">
        <v>33</v>
      </c>
      <c r="B20" s="69" t="s">
        <v>26</v>
      </c>
      <c r="C20" s="76"/>
      <c r="E20" s="76"/>
    </row>
    <row r="21" spans="1:5" x14ac:dyDescent="0.3">
      <c r="A21" s="77"/>
      <c r="B21" s="77"/>
      <c r="C21" s="77"/>
      <c r="E21" s="77"/>
    </row>
    <row r="22" spans="1:5" x14ac:dyDescent="0.3">
      <c r="A22" s="75" t="s">
        <v>37</v>
      </c>
      <c r="B22" s="77"/>
      <c r="C22" s="77"/>
      <c r="E22" s="77"/>
    </row>
    <row r="23" spans="1:5" x14ac:dyDescent="0.3">
      <c r="A23" s="77"/>
      <c r="B23" s="77"/>
      <c r="C23" s="77"/>
      <c r="E23" s="77"/>
    </row>
    <row r="24" spans="1:5" x14ac:dyDescent="0.3">
      <c r="A24" s="77"/>
      <c r="B24" s="77"/>
      <c r="C24" s="77"/>
      <c r="E24" s="77"/>
    </row>
    <row r="25" spans="1:5" ht="14.5" x14ac:dyDescent="0.35">
      <c r="A25" s="77"/>
      <c r="B25" s="77"/>
      <c r="C25" s="77"/>
      <c r="D25" s="62"/>
      <c r="E25" s="77"/>
    </row>
    <row r="26" spans="1:5" x14ac:dyDescent="0.3">
      <c r="A26" s="77"/>
      <c r="B26" s="77"/>
      <c r="C26" s="77"/>
      <c r="E26" s="77"/>
    </row>
    <row r="27" spans="1:5" x14ac:dyDescent="0.3">
      <c r="A27" s="77"/>
      <c r="B27" s="77"/>
      <c r="C27" s="77"/>
      <c r="E27" s="77"/>
    </row>
    <row r="28" spans="1:5" x14ac:dyDescent="0.3">
      <c r="A28" s="77"/>
      <c r="B28" s="77"/>
      <c r="C28" s="77"/>
      <c r="E28" s="77"/>
    </row>
    <row r="39" spans="1:1" x14ac:dyDescent="0.3">
      <c r="A39" s="11"/>
    </row>
  </sheetData>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U38"/>
  <sheetViews>
    <sheetView showGridLines="0" topLeftCell="A7" zoomScale="90" zoomScaleNormal="90" workbookViewId="0">
      <selection activeCell="H17" sqref="H17"/>
    </sheetView>
  </sheetViews>
  <sheetFormatPr defaultColWidth="8.7265625" defaultRowHeight="13" x14ac:dyDescent="0.3"/>
  <cols>
    <col min="1" max="1" width="37.7265625" style="4" customWidth="1"/>
    <col min="2" max="2" width="16.54296875" style="4" customWidth="1"/>
    <col min="3" max="3" width="68.08984375" style="4" customWidth="1"/>
    <col min="4" max="4" width="8.54296875" style="4" customWidth="1"/>
    <col min="5" max="5" width="38.81640625" style="4" customWidth="1"/>
    <col min="6" max="10" width="8.54296875" style="4" customWidth="1"/>
    <col min="11" max="11" width="8.7265625" style="4"/>
    <col min="12" max="12" width="23.81640625" style="4" bestFit="1" customWidth="1"/>
    <col min="13" max="13" width="23.08984375" style="4" bestFit="1" customWidth="1"/>
    <col min="14" max="14" width="8.7265625" style="4"/>
    <col min="15" max="15" width="12" style="4" bestFit="1" customWidth="1"/>
    <col min="16" max="16" width="14.26953125" style="4" bestFit="1" customWidth="1"/>
    <col min="17" max="17" width="10.26953125" style="4" bestFit="1" customWidth="1"/>
    <col min="18" max="18" width="8.7265625" style="4"/>
    <col min="19" max="19" width="9.81640625" style="4" bestFit="1" customWidth="1"/>
    <col min="20" max="20" width="10.81640625" style="4" bestFit="1" customWidth="1"/>
    <col min="21" max="16384" width="8.7265625" style="4"/>
  </cols>
  <sheetData>
    <row r="1" spans="1:21" s="67" customFormat="1" ht="18.5" x14ac:dyDescent="0.3">
      <c r="A1" s="3" t="s">
        <v>177</v>
      </c>
      <c r="B1" s="3"/>
      <c r="C1" s="3"/>
      <c r="D1" s="3"/>
      <c r="E1" s="3"/>
      <c r="F1" s="4"/>
      <c r="G1" s="64"/>
      <c r="H1" s="65"/>
      <c r="I1" s="66"/>
    </row>
    <row r="2" spans="1:21" s="67" customFormat="1" ht="18.5" x14ac:dyDescent="0.3">
      <c r="A2" s="11"/>
      <c r="B2" s="68"/>
      <c r="C2" s="68"/>
      <c r="D2" s="4"/>
      <c r="E2" s="4"/>
      <c r="F2" s="4"/>
      <c r="G2" s="64"/>
      <c r="H2" s="65"/>
    </row>
    <row r="3" spans="1:21" s="67" customFormat="1" ht="18.5" x14ac:dyDescent="0.3">
      <c r="A3" s="11" t="s">
        <v>172</v>
      </c>
      <c r="B3" s="68"/>
      <c r="C3" s="4"/>
      <c r="D3" s="4"/>
      <c r="E3" s="4"/>
      <c r="F3" s="4"/>
      <c r="G3" s="64"/>
      <c r="H3" s="65"/>
    </row>
    <row r="4" spans="1:21" ht="78" x14ac:dyDescent="0.3">
      <c r="A4" s="14" t="s">
        <v>19</v>
      </c>
      <c r="B4" s="15" t="s">
        <v>205</v>
      </c>
      <c r="E4" s="111" t="s">
        <v>235</v>
      </c>
    </row>
    <row r="5" spans="1:21" x14ac:dyDescent="0.3">
      <c r="A5" s="14" t="s">
        <v>20</v>
      </c>
      <c r="B5" s="15"/>
    </row>
    <row r="6" spans="1:21" x14ac:dyDescent="0.3">
      <c r="A6" s="69" t="s">
        <v>18</v>
      </c>
      <c r="B6" s="70" t="s">
        <v>8</v>
      </c>
    </row>
    <row r="7" spans="1:21" x14ac:dyDescent="0.3">
      <c r="A7" s="69" t="s">
        <v>21</v>
      </c>
      <c r="B7" s="70" t="s">
        <v>35</v>
      </c>
    </row>
    <row r="8" spans="1:21" x14ac:dyDescent="0.3">
      <c r="A8" s="69" t="s">
        <v>138</v>
      </c>
      <c r="B8" s="71">
        <f>Analysis!J14</f>
        <v>18.845000000000006</v>
      </c>
      <c r="C8" s="72"/>
      <c r="D8" s="18"/>
    </row>
    <row r="9" spans="1:21" ht="39.5" x14ac:dyDescent="0.35">
      <c r="A9" s="73" t="s">
        <v>38</v>
      </c>
      <c r="B9" s="71">
        <f>(B8)*0.8*(1-Analysis!N14)</f>
        <v>15.076000000000006</v>
      </c>
      <c r="C9" s="74" t="s">
        <v>207</v>
      </c>
      <c r="D9" s="18"/>
      <c r="L9" s="93"/>
      <c r="M9" s="94"/>
      <c r="N9" s="95"/>
      <c r="O9" s="93"/>
      <c r="P9" s="95"/>
      <c r="Q9" s="95"/>
      <c r="R9" s="93"/>
      <c r="S9" s="93"/>
      <c r="T9" s="96"/>
      <c r="U9" s="95"/>
    </row>
    <row r="10" spans="1:21" ht="14.5" x14ac:dyDescent="0.35">
      <c r="C10" s="74"/>
      <c r="L10" s="93"/>
      <c r="M10" s="94"/>
      <c r="N10" s="95"/>
      <c r="O10" s="93"/>
      <c r="P10" s="95"/>
      <c r="Q10" s="95"/>
      <c r="R10" s="93"/>
      <c r="S10" s="93"/>
      <c r="T10" s="96"/>
      <c r="U10" s="95"/>
    </row>
    <row r="11" spans="1:21" ht="14.5" x14ac:dyDescent="0.35">
      <c r="A11" s="11" t="s">
        <v>22</v>
      </c>
      <c r="L11" s="93"/>
      <c r="M11" s="94"/>
      <c r="N11" s="95"/>
      <c r="O11" s="93"/>
      <c r="P11" s="95"/>
      <c r="Q11" s="95"/>
      <c r="R11" s="93"/>
      <c r="S11" s="93"/>
      <c r="T11" s="96"/>
      <c r="U11" s="95"/>
    </row>
    <row r="12" spans="1:21" ht="14.5" x14ac:dyDescent="0.35">
      <c r="A12" s="75" t="s">
        <v>23</v>
      </c>
      <c r="E12" s="11" t="s">
        <v>24</v>
      </c>
      <c r="L12" s="93"/>
      <c r="M12" s="94"/>
      <c r="N12" s="95"/>
      <c r="O12" s="93"/>
      <c r="P12" s="95"/>
      <c r="Q12" s="95"/>
      <c r="R12" s="93"/>
      <c r="S12" s="93"/>
      <c r="T12" s="96"/>
      <c r="U12" s="95"/>
    </row>
    <row r="13" spans="1:21" ht="26" x14ac:dyDescent="0.35">
      <c r="A13" s="69" t="s">
        <v>25</v>
      </c>
      <c r="B13" s="69" t="s">
        <v>36</v>
      </c>
      <c r="C13" s="76" t="s">
        <v>173</v>
      </c>
      <c r="E13" s="69" t="s">
        <v>174</v>
      </c>
      <c r="L13" s="93"/>
      <c r="M13" s="94"/>
      <c r="N13" s="95"/>
      <c r="O13" s="93"/>
      <c r="P13" s="95"/>
      <c r="Q13" s="95"/>
      <c r="R13" s="93"/>
      <c r="S13" s="93"/>
      <c r="T13" s="96"/>
      <c r="U13" s="95"/>
    </row>
    <row r="14" spans="1:21" ht="14.5" x14ac:dyDescent="0.35">
      <c r="A14" s="69" t="s">
        <v>27</v>
      </c>
      <c r="B14" s="69" t="s">
        <v>26</v>
      </c>
      <c r="C14" s="69"/>
      <c r="E14" s="69"/>
      <c r="L14" s="93"/>
      <c r="M14" s="94"/>
      <c r="N14" s="95"/>
      <c r="O14" s="93"/>
      <c r="P14" s="95"/>
      <c r="Q14" s="95"/>
      <c r="R14" s="93"/>
      <c r="S14" s="93"/>
      <c r="T14" s="96"/>
      <c r="U14" s="95"/>
    </row>
    <row r="15" spans="1:21" ht="124.5" customHeight="1" x14ac:dyDescent="0.35">
      <c r="A15" s="69" t="s">
        <v>28</v>
      </c>
      <c r="B15" s="69" t="s">
        <v>36</v>
      </c>
      <c r="C15" s="76" t="s">
        <v>206</v>
      </c>
      <c r="E15" s="69" t="s">
        <v>174</v>
      </c>
      <c r="L15" s="93"/>
      <c r="M15" s="94"/>
      <c r="N15" s="95"/>
      <c r="O15" s="93"/>
      <c r="P15" s="95"/>
      <c r="Q15" s="95"/>
      <c r="R15" s="93"/>
      <c r="S15" s="93"/>
      <c r="T15" s="96"/>
      <c r="U15" s="95"/>
    </row>
    <row r="16" spans="1:21" ht="42" customHeight="1" x14ac:dyDescent="0.35">
      <c r="A16" s="69" t="s">
        <v>29</v>
      </c>
      <c r="B16" s="69" t="s">
        <v>137</v>
      </c>
      <c r="C16" s="76" t="s">
        <v>176</v>
      </c>
      <c r="E16" s="76" t="s">
        <v>175</v>
      </c>
      <c r="L16" s="93"/>
      <c r="M16" s="94"/>
      <c r="N16" s="95"/>
      <c r="O16" s="93"/>
      <c r="P16" s="95"/>
      <c r="Q16" s="95"/>
      <c r="R16" s="93"/>
      <c r="S16" s="93"/>
      <c r="T16" s="96"/>
      <c r="U16" s="95"/>
    </row>
    <row r="17" spans="1:21" ht="105.5" customHeight="1" x14ac:dyDescent="0.35">
      <c r="A17" s="69" t="s">
        <v>30</v>
      </c>
      <c r="B17" s="69" t="s">
        <v>137</v>
      </c>
      <c r="C17" s="76" t="s">
        <v>237</v>
      </c>
      <c r="E17" s="69" t="s">
        <v>174</v>
      </c>
      <c r="L17" s="93"/>
      <c r="M17" s="94"/>
      <c r="N17" s="95"/>
      <c r="O17" s="93"/>
      <c r="P17" s="95"/>
      <c r="Q17" s="95"/>
      <c r="R17" s="93"/>
      <c r="S17" s="93"/>
      <c r="T17" s="96"/>
      <c r="U17" s="95"/>
    </row>
    <row r="18" spans="1:21" ht="52" x14ac:dyDescent="0.35">
      <c r="A18" s="69" t="s">
        <v>31</v>
      </c>
      <c r="B18" s="69" t="s">
        <v>137</v>
      </c>
      <c r="C18" s="76" t="s">
        <v>236</v>
      </c>
      <c r="E18" s="76" t="s">
        <v>175</v>
      </c>
      <c r="L18" s="93"/>
      <c r="M18" s="94"/>
      <c r="N18" s="95"/>
      <c r="O18" s="93"/>
      <c r="P18" s="95"/>
      <c r="Q18" s="95"/>
      <c r="R18" s="93"/>
      <c r="S18" s="93"/>
      <c r="T18" s="96"/>
      <c r="U18" s="95"/>
    </row>
    <row r="19" spans="1:21" ht="14.5" x14ac:dyDescent="0.35">
      <c r="A19" s="69" t="s">
        <v>32</v>
      </c>
      <c r="B19" s="69" t="s">
        <v>26</v>
      </c>
      <c r="C19" s="69"/>
      <c r="E19" s="69"/>
      <c r="L19" s="93"/>
      <c r="M19" s="94"/>
      <c r="N19" s="95"/>
      <c r="O19" s="93"/>
      <c r="P19" s="95"/>
      <c r="Q19" s="95"/>
      <c r="R19" s="93"/>
      <c r="S19" s="93"/>
      <c r="T19" s="96"/>
      <c r="U19" s="95"/>
    </row>
    <row r="20" spans="1:21" ht="14.5" x14ac:dyDescent="0.35">
      <c r="A20" s="69" t="s">
        <v>33</v>
      </c>
      <c r="B20" s="69" t="s">
        <v>26</v>
      </c>
      <c r="C20" s="69"/>
      <c r="E20" s="69"/>
      <c r="L20" s="93"/>
      <c r="M20" s="94"/>
      <c r="N20" s="95"/>
      <c r="O20" s="93"/>
      <c r="P20" s="95"/>
      <c r="Q20" s="95"/>
      <c r="R20" s="93"/>
      <c r="S20" s="93"/>
      <c r="T20" s="96"/>
      <c r="U20" s="95"/>
    </row>
    <row r="21" spans="1:21" ht="14.5" x14ac:dyDescent="0.35">
      <c r="A21" s="77"/>
      <c r="B21" s="77"/>
      <c r="C21" s="77"/>
      <c r="E21" s="77"/>
      <c r="L21" s="93"/>
      <c r="M21" s="94"/>
      <c r="N21" s="95"/>
      <c r="O21" s="93"/>
      <c r="P21" s="95"/>
      <c r="Q21" s="95"/>
      <c r="R21" s="93"/>
      <c r="S21" s="93"/>
      <c r="T21" s="96"/>
      <c r="U21" s="95"/>
    </row>
    <row r="22" spans="1:21" ht="14.5" x14ac:dyDescent="0.35">
      <c r="A22" s="18"/>
      <c r="B22" s="78"/>
      <c r="L22" s="93"/>
      <c r="M22" s="94"/>
      <c r="N22" s="95"/>
      <c r="O22" s="93"/>
      <c r="P22" s="95"/>
      <c r="Q22" s="95"/>
      <c r="R22" s="93"/>
      <c r="S22" s="93"/>
      <c r="T22" s="96"/>
      <c r="U22" s="95"/>
    </row>
    <row r="23" spans="1:21" ht="14.5" x14ac:dyDescent="0.35">
      <c r="A23" s="18"/>
      <c r="B23" s="78"/>
      <c r="L23" s="93"/>
      <c r="M23" s="94"/>
      <c r="N23" s="95"/>
      <c r="O23" s="93"/>
      <c r="P23" s="95"/>
      <c r="Q23" s="95"/>
      <c r="R23" s="93"/>
      <c r="S23" s="93"/>
      <c r="T23" s="96"/>
      <c r="U23" s="95"/>
    </row>
    <row r="24" spans="1:21" ht="14.5" x14ac:dyDescent="0.35">
      <c r="L24" s="93"/>
      <c r="M24" s="94"/>
      <c r="N24" s="95"/>
      <c r="O24" s="93"/>
      <c r="P24" s="95"/>
      <c r="Q24" s="95"/>
      <c r="R24" s="93"/>
      <c r="S24" s="93"/>
      <c r="T24" s="96"/>
      <c r="U24" s="95"/>
    </row>
    <row r="25" spans="1:21" ht="14.5" x14ac:dyDescent="0.35">
      <c r="L25" s="93"/>
      <c r="M25" s="94"/>
      <c r="N25" s="95"/>
      <c r="O25" s="93"/>
      <c r="P25" s="95"/>
      <c r="Q25" s="95"/>
      <c r="R25" s="93"/>
      <c r="S25" s="93"/>
      <c r="T25" s="96"/>
      <c r="U25" s="95"/>
    </row>
    <row r="26" spans="1:21" ht="14.5" x14ac:dyDescent="0.35">
      <c r="L26" s="93"/>
      <c r="M26" s="94"/>
      <c r="N26" s="95"/>
      <c r="O26" s="93"/>
      <c r="P26" s="95"/>
      <c r="Q26" s="95"/>
      <c r="R26" s="93"/>
      <c r="S26" s="93"/>
      <c r="T26" s="96"/>
      <c r="U26" s="95"/>
    </row>
    <row r="27" spans="1:21" ht="14.5" x14ac:dyDescent="0.35">
      <c r="L27" s="93"/>
      <c r="M27" s="94"/>
      <c r="N27" s="95"/>
      <c r="O27" s="93"/>
      <c r="P27" s="95"/>
      <c r="Q27" s="95"/>
      <c r="R27" s="93"/>
      <c r="S27" s="93"/>
      <c r="T27" s="96"/>
      <c r="U27" s="95"/>
    </row>
    <row r="28" spans="1:21" ht="14.5" x14ac:dyDescent="0.35">
      <c r="L28" s="93"/>
      <c r="M28" s="94"/>
      <c r="N28" s="95"/>
      <c r="O28" s="93"/>
      <c r="P28" s="95"/>
      <c r="Q28" s="95"/>
      <c r="R28" s="93"/>
      <c r="S28" s="93"/>
      <c r="T28" s="96"/>
      <c r="U28" s="95"/>
    </row>
    <row r="29" spans="1:21" ht="14.5" x14ac:dyDescent="0.35">
      <c r="L29" s="93"/>
      <c r="M29" s="94"/>
      <c r="N29" s="95"/>
      <c r="O29" s="93"/>
      <c r="P29" s="95"/>
      <c r="Q29" s="95"/>
      <c r="R29" s="93"/>
      <c r="S29" s="93"/>
      <c r="T29" s="96"/>
      <c r="U29" s="95"/>
    </row>
    <row r="30" spans="1:21" ht="14.5" x14ac:dyDescent="0.35">
      <c r="L30" s="93"/>
      <c r="M30" s="94"/>
      <c r="N30" s="95"/>
      <c r="O30" s="93"/>
      <c r="P30" s="95"/>
      <c r="Q30" s="95"/>
      <c r="R30" s="93"/>
      <c r="S30" s="93"/>
      <c r="T30" s="96"/>
      <c r="U30" s="95"/>
    </row>
    <row r="33" spans="1:15" ht="14.5" x14ac:dyDescent="0.35">
      <c r="L33" s="62"/>
      <c r="M33" s="62"/>
      <c r="O33" s="62"/>
    </row>
    <row r="38" spans="1:15" x14ac:dyDescent="0.3">
      <c r="A38" s="11"/>
    </row>
  </sheetData>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30"/>
  <sheetViews>
    <sheetView showGridLines="0" zoomScale="80" zoomScaleNormal="80" workbookViewId="0">
      <selection activeCell="Q7" sqref="Q7"/>
    </sheetView>
  </sheetViews>
  <sheetFormatPr defaultColWidth="9.08984375" defaultRowHeight="13" x14ac:dyDescent="0.3"/>
  <cols>
    <col min="1" max="1" width="2.7265625" style="4" customWidth="1"/>
    <col min="2" max="2" width="14.26953125" style="4" customWidth="1"/>
    <col min="3" max="3" width="19.08984375" style="4" customWidth="1"/>
    <col min="4" max="4" width="13.81640625" style="4" customWidth="1"/>
    <col min="5" max="5" width="14.7265625" style="4" customWidth="1"/>
    <col min="6" max="7" width="12.7265625" style="4" customWidth="1"/>
    <col min="8" max="8" width="11.7265625" style="4" customWidth="1"/>
    <col min="9" max="9" width="11.54296875" style="4" bestFit="1" customWidth="1"/>
    <col min="10" max="10" width="11.54296875" style="4" customWidth="1"/>
    <col min="11" max="11" width="11.08984375" style="4" bestFit="1" customWidth="1"/>
    <col min="12" max="12" width="12.7265625" style="4" customWidth="1"/>
    <col min="13" max="13" width="31.26953125" style="4" bestFit="1" customWidth="1"/>
    <col min="14" max="16384" width="9.08984375" style="4"/>
  </cols>
  <sheetData>
    <row r="1" spans="1:12" ht="18.5" x14ac:dyDescent="0.45">
      <c r="A1" s="52" t="s">
        <v>146</v>
      </c>
      <c r="B1" s="13"/>
      <c r="C1" s="13"/>
      <c r="D1" s="13"/>
      <c r="E1" s="13"/>
      <c r="F1" s="13"/>
      <c r="G1" s="13"/>
      <c r="H1" s="13"/>
      <c r="I1" s="13"/>
      <c r="J1" s="13"/>
      <c r="K1" s="13"/>
    </row>
    <row r="3" spans="1:12" x14ac:dyDescent="0.3">
      <c r="B3" s="14" t="s">
        <v>19</v>
      </c>
      <c r="C3" s="15" t="s">
        <v>205</v>
      </c>
      <c r="D3" s="16"/>
      <c r="E3" s="16"/>
      <c r="F3" s="16"/>
      <c r="G3" s="16"/>
      <c r="H3" s="16"/>
    </row>
    <row r="4" spans="1:12" x14ac:dyDescent="0.3">
      <c r="B4" s="14" t="s">
        <v>147</v>
      </c>
      <c r="C4" s="15"/>
      <c r="D4" s="16"/>
      <c r="E4" s="16"/>
      <c r="F4" s="16"/>
      <c r="G4" s="16"/>
      <c r="H4" s="16"/>
    </row>
    <row r="5" spans="1:12" x14ac:dyDescent="0.3">
      <c r="B5" s="14" t="s">
        <v>148</v>
      </c>
      <c r="C5" s="17" t="s">
        <v>34</v>
      </c>
      <c r="D5" s="18"/>
      <c r="E5" s="18"/>
      <c r="F5" s="18"/>
      <c r="G5" s="18"/>
      <c r="H5" s="19"/>
      <c r="I5" s="20"/>
      <c r="J5" s="20"/>
    </row>
    <row r="6" spans="1:12" x14ac:dyDescent="0.3">
      <c r="B6" s="14" t="s">
        <v>149</v>
      </c>
      <c r="C6" s="17" t="s">
        <v>141</v>
      </c>
      <c r="D6" s="18"/>
      <c r="E6" s="18"/>
      <c r="F6" s="18"/>
      <c r="G6" s="18"/>
      <c r="H6" s="21"/>
    </row>
    <row r="7" spans="1:12" x14ac:dyDescent="0.3">
      <c r="B7" s="22" t="s">
        <v>21</v>
      </c>
      <c r="C7" s="23" t="s">
        <v>35</v>
      </c>
      <c r="D7" s="16"/>
      <c r="E7" s="16"/>
      <c r="F7" s="16"/>
      <c r="G7" s="16"/>
      <c r="H7" s="16"/>
    </row>
    <row r="10" spans="1:12" ht="12.75" customHeight="1" x14ac:dyDescent="0.3">
      <c r="A10" s="11" t="s">
        <v>150</v>
      </c>
    </row>
    <row r="11" spans="1:12" ht="12.75" customHeight="1" x14ac:dyDescent="0.3">
      <c r="A11" s="20"/>
      <c r="B11" s="20"/>
      <c r="C11" s="20"/>
      <c r="D11" s="20"/>
      <c r="E11" s="20"/>
      <c r="F11" s="20"/>
      <c r="G11" s="20"/>
      <c r="H11" s="20"/>
      <c r="I11" s="24"/>
      <c r="J11" s="20"/>
    </row>
    <row r="12" spans="1:12" ht="52" x14ac:dyDescent="0.3">
      <c r="B12" s="12" t="s">
        <v>18</v>
      </c>
      <c r="C12" s="44" t="s">
        <v>151</v>
      </c>
      <c r="D12" s="44" t="s">
        <v>157</v>
      </c>
      <c r="E12" s="44" t="s">
        <v>158</v>
      </c>
      <c r="F12" s="44" t="s">
        <v>159</v>
      </c>
      <c r="G12" s="44" t="s">
        <v>170</v>
      </c>
      <c r="H12" s="45" t="s">
        <v>171</v>
      </c>
      <c r="I12" s="46" t="s">
        <v>152</v>
      </c>
      <c r="J12" s="12" t="s">
        <v>153</v>
      </c>
      <c r="K12" s="12" t="s">
        <v>154</v>
      </c>
      <c r="L12" s="12" t="s">
        <v>155</v>
      </c>
    </row>
    <row r="13" spans="1:12" x14ac:dyDescent="0.3">
      <c r="A13" s="25">
        <v>1</v>
      </c>
      <c r="B13" s="26" t="s">
        <v>0</v>
      </c>
      <c r="C13" s="47">
        <f>Analysis!H6</f>
        <v>279.60112955794477</v>
      </c>
      <c r="D13" s="53">
        <v>259.78100000000001</v>
      </c>
      <c r="E13" s="53">
        <v>0</v>
      </c>
      <c r="F13" s="54">
        <f>E13-D13</f>
        <v>-259.78100000000001</v>
      </c>
      <c r="G13" s="47">
        <f>C13+F13</f>
        <v>19.820129557944767</v>
      </c>
      <c r="H13" s="47">
        <f>Analysis!Q6</f>
        <v>16.847110124253053</v>
      </c>
      <c r="I13" s="48">
        <f>MIN(G13,H13)</f>
        <v>16.847110124253053</v>
      </c>
      <c r="J13" s="27">
        <v>7.0886293164478573E-2</v>
      </c>
      <c r="K13" s="47">
        <f>$I13*$J13</f>
        <v>1.194229187242057</v>
      </c>
      <c r="L13" s="47">
        <f>$I13*(1-$J13)</f>
        <v>15.652880937010996</v>
      </c>
    </row>
    <row r="14" spans="1:12" x14ac:dyDescent="0.3">
      <c r="A14" s="25">
        <v>2</v>
      </c>
      <c r="B14" s="26" t="s">
        <v>136</v>
      </c>
      <c r="C14" s="47">
        <f>Analysis!H7</f>
        <v>0</v>
      </c>
      <c r="D14" s="53">
        <v>0</v>
      </c>
      <c r="E14" s="53">
        <v>0</v>
      </c>
      <c r="F14" s="54">
        <f t="shared" ref="F14:F29" si="0">E14-D14</f>
        <v>0</v>
      </c>
      <c r="G14" s="47">
        <f>C14+F14</f>
        <v>0</v>
      </c>
      <c r="H14" s="47">
        <f>Analysis!Q7</f>
        <v>0</v>
      </c>
      <c r="I14" s="48">
        <f>MIN(G14,H14)</f>
        <v>0</v>
      </c>
      <c r="J14" s="27">
        <v>0</v>
      </c>
      <c r="K14" s="47">
        <f>$I14*$J14</f>
        <v>0</v>
      </c>
      <c r="L14" s="47">
        <f>$I14*(1-$J14)</f>
        <v>0</v>
      </c>
    </row>
    <row r="15" spans="1:12" x14ac:dyDescent="0.3">
      <c r="A15" s="25">
        <v>3</v>
      </c>
      <c r="B15" s="26" t="s">
        <v>1</v>
      </c>
      <c r="C15" s="47">
        <f>Analysis!H8</f>
        <v>0.98799999999999999</v>
      </c>
      <c r="D15" s="53">
        <v>0</v>
      </c>
      <c r="E15" s="53">
        <v>0</v>
      </c>
      <c r="F15" s="54">
        <f t="shared" si="0"/>
        <v>0</v>
      </c>
      <c r="G15" s="47">
        <f t="shared" ref="G15:G29" si="1">C15+F15</f>
        <v>0.98799999999999999</v>
      </c>
      <c r="H15" s="47">
        <f>Analysis!Q8</f>
        <v>0.98773813633475083</v>
      </c>
      <c r="I15" s="48">
        <f t="shared" ref="I15:I29" si="2">MIN(G15,H15)</f>
        <v>0.98773813633475083</v>
      </c>
      <c r="J15" s="27">
        <v>1</v>
      </c>
      <c r="K15" s="47">
        <f t="shared" ref="K15:K29" si="3">$I15*$J15</f>
        <v>0.98773813633475083</v>
      </c>
      <c r="L15" s="47">
        <f t="shared" ref="L15:L29" si="4">$I15*(1-$J15)</f>
        <v>0</v>
      </c>
    </row>
    <row r="16" spans="1:12" x14ac:dyDescent="0.3">
      <c r="A16" s="25">
        <v>4</v>
      </c>
      <c r="B16" s="26" t="s">
        <v>2</v>
      </c>
      <c r="C16" s="47">
        <f>Analysis!H9</f>
        <v>0</v>
      </c>
      <c r="D16" s="53">
        <v>0</v>
      </c>
      <c r="E16" s="53">
        <v>0</v>
      </c>
      <c r="F16" s="54">
        <f t="shared" si="0"/>
        <v>0</v>
      </c>
      <c r="G16" s="47">
        <f t="shared" si="1"/>
        <v>0</v>
      </c>
      <c r="H16" s="47">
        <f>Analysis!Q9</f>
        <v>0</v>
      </c>
      <c r="I16" s="48">
        <f t="shared" si="2"/>
        <v>0</v>
      </c>
      <c r="J16" s="27">
        <v>0</v>
      </c>
      <c r="K16" s="47">
        <f t="shared" si="3"/>
        <v>0</v>
      </c>
      <c r="L16" s="47">
        <f t="shared" si="4"/>
        <v>0</v>
      </c>
    </row>
    <row r="17" spans="1:12" x14ac:dyDescent="0.3">
      <c r="A17" s="25">
        <v>5</v>
      </c>
      <c r="B17" s="26" t="s">
        <v>3</v>
      </c>
      <c r="C17" s="47">
        <f>Analysis!H10</f>
        <v>0</v>
      </c>
      <c r="D17" s="53">
        <v>0</v>
      </c>
      <c r="E17" s="53">
        <v>0</v>
      </c>
      <c r="F17" s="54">
        <f t="shared" si="0"/>
        <v>0</v>
      </c>
      <c r="G17" s="47">
        <f t="shared" si="1"/>
        <v>0</v>
      </c>
      <c r="H17" s="47">
        <f>Analysis!Q10</f>
        <v>0</v>
      </c>
      <c r="I17" s="48">
        <f t="shared" si="2"/>
        <v>0</v>
      </c>
      <c r="J17" s="27">
        <v>0</v>
      </c>
      <c r="K17" s="47">
        <f t="shared" si="3"/>
        <v>0</v>
      </c>
      <c r="L17" s="47">
        <f t="shared" si="4"/>
        <v>0</v>
      </c>
    </row>
    <row r="18" spans="1:12" x14ac:dyDescent="0.3">
      <c r="A18" s="25">
        <v>6</v>
      </c>
      <c r="B18" s="26" t="s">
        <v>135</v>
      </c>
      <c r="C18" s="47">
        <f>Analysis!H11</f>
        <v>40.900000000000006</v>
      </c>
      <c r="D18" s="53">
        <v>0</v>
      </c>
      <c r="E18" s="53">
        <v>0</v>
      </c>
      <c r="F18" s="54">
        <f t="shared" si="0"/>
        <v>0</v>
      </c>
      <c r="G18" s="47">
        <f t="shared" ref="G18" si="5">C18+F18</f>
        <v>40.900000000000006</v>
      </c>
      <c r="H18" s="47">
        <f>Analysis!Q11</f>
        <v>32.720000000000006</v>
      </c>
      <c r="I18" s="48">
        <f t="shared" ref="I18" si="6">MIN(G18,H18)</f>
        <v>32.720000000000006</v>
      </c>
      <c r="J18" s="27">
        <v>0</v>
      </c>
      <c r="K18" s="47">
        <f t="shared" si="3"/>
        <v>0</v>
      </c>
      <c r="L18" s="47">
        <f t="shared" si="4"/>
        <v>32.720000000000006</v>
      </c>
    </row>
    <row r="19" spans="1:12" x14ac:dyDescent="0.3">
      <c r="A19" s="25">
        <v>7</v>
      </c>
      <c r="B19" s="26" t="s">
        <v>6</v>
      </c>
      <c r="C19" s="47">
        <f>Analysis!H12</f>
        <v>0.57599999999999996</v>
      </c>
      <c r="D19" s="53">
        <v>0</v>
      </c>
      <c r="E19" s="53">
        <v>0</v>
      </c>
      <c r="F19" s="54">
        <f t="shared" si="0"/>
        <v>0</v>
      </c>
      <c r="G19" s="47">
        <f t="shared" si="1"/>
        <v>0.57599999999999996</v>
      </c>
      <c r="H19" s="47">
        <f>Analysis!Q12</f>
        <v>0.57599999999999996</v>
      </c>
      <c r="I19" s="48">
        <f t="shared" si="2"/>
        <v>0.57599999999999996</v>
      </c>
      <c r="J19" s="27">
        <v>0.55208333333333337</v>
      </c>
      <c r="K19" s="47">
        <f t="shared" si="3"/>
        <v>0.318</v>
      </c>
      <c r="L19" s="47">
        <f t="shared" si="4"/>
        <v>0.25799999999999995</v>
      </c>
    </row>
    <row r="20" spans="1:12" x14ac:dyDescent="0.3">
      <c r="A20" s="25">
        <v>8</v>
      </c>
      <c r="B20" s="26" t="s">
        <v>7</v>
      </c>
      <c r="C20" s="47">
        <f>Analysis!H13</f>
        <v>114.5730956667</v>
      </c>
      <c r="D20" s="53">
        <v>0</v>
      </c>
      <c r="E20" s="53">
        <v>0</v>
      </c>
      <c r="F20" s="54">
        <f t="shared" si="0"/>
        <v>0</v>
      </c>
      <c r="G20" s="47">
        <f t="shared" si="1"/>
        <v>114.5730956667</v>
      </c>
      <c r="H20" s="47">
        <f>Analysis!Q13</f>
        <v>79.742874584023198</v>
      </c>
      <c r="I20" s="48">
        <f t="shared" si="2"/>
        <v>79.742874584023198</v>
      </c>
      <c r="J20" s="27">
        <v>0.21619799383232857</v>
      </c>
      <c r="K20" s="47">
        <f t="shared" si="3"/>
        <v>17.240249507488798</v>
      </c>
      <c r="L20" s="47">
        <f t="shared" si="4"/>
        <v>62.502625076534393</v>
      </c>
    </row>
    <row r="21" spans="1:12" x14ac:dyDescent="0.3">
      <c r="A21" s="25">
        <v>9</v>
      </c>
      <c r="B21" s="26" t="s">
        <v>8</v>
      </c>
      <c r="C21" s="47">
        <f>Analysis!H14</f>
        <v>2.5449999999999999</v>
      </c>
      <c r="D21" s="53">
        <v>0</v>
      </c>
      <c r="E21" s="53">
        <v>16.300000000000004</v>
      </c>
      <c r="F21" s="54">
        <f t="shared" si="0"/>
        <v>16.300000000000004</v>
      </c>
      <c r="G21" s="47">
        <f t="shared" si="1"/>
        <v>18.845000000000006</v>
      </c>
      <c r="H21" s="47">
        <f>Analysis!Q14</f>
        <v>15.076000000000006</v>
      </c>
      <c r="I21" s="48">
        <f t="shared" si="2"/>
        <v>15.076000000000006</v>
      </c>
      <c r="J21" s="27">
        <v>1</v>
      </c>
      <c r="K21" s="47">
        <f t="shared" si="3"/>
        <v>15.076000000000006</v>
      </c>
      <c r="L21" s="47">
        <f t="shared" si="4"/>
        <v>0</v>
      </c>
    </row>
    <row r="22" spans="1:12" x14ac:dyDescent="0.3">
      <c r="A22" s="25">
        <v>10</v>
      </c>
      <c r="B22" s="26" t="s">
        <v>9</v>
      </c>
      <c r="C22" s="47">
        <f>Analysis!H15</f>
        <v>1.7949977307692342</v>
      </c>
      <c r="D22" s="53">
        <v>0</v>
      </c>
      <c r="E22" s="53">
        <v>0</v>
      </c>
      <c r="F22" s="54">
        <f t="shared" si="0"/>
        <v>0</v>
      </c>
      <c r="G22" s="47">
        <f t="shared" si="1"/>
        <v>1.7949977307692342</v>
      </c>
      <c r="H22" s="47">
        <f>Analysis!Q15</f>
        <v>1.7949977307692342</v>
      </c>
      <c r="I22" s="48">
        <f t="shared" si="2"/>
        <v>1.7949977307692342</v>
      </c>
      <c r="J22" s="27">
        <v>1</v>
      </c>
      <c r="K22" s="47">
        <f t="shared" si="3"/>
        <v>1.7949977307692342</v>
      </c>
      <c r="L22" s="47">
        <f t="shared" si="4"/>
        <v>0</v>
      </c>
    </row>
    <row r="23" spans="1:12" x14ac:dyDescent="0.3">
      <c r="A23" s="25">
        <v>11</v>
      </c>
      <c r="B23" s="26" t="s">
        <v>10</v>
      </c>
      <c r="C23" s="47">
        <f>Analysis!H16</f>
        <v>9.7059999999999995</v>
      </c>
      <c r="D23" s="53">
        <v>0</v>
      </c>
      <c r="E23" s="53">
        <v>0</v>
      </c>
      <c r="F23" s="54">
        <f t="shared" si="0"/>
        <v>0</v>
      </c>
      <c r="G23" s="47">
        <f t="shared" si="1"/>
        <v>9.7059999999999995</v>
      </c>
      <c r="H23" s="47">
        <f>Analysis!Q16</f>
        <v>8.7017641271919182</v>
      </c>
      <c r="I23" s="48">
        <f t="shared" si="2"/>
        <v>8.7017641271919182</v>
      </c>
      <c r="J23" s="27">
        <v>0.53801772099732137</v>
      </c>
      <c r="K23" s="47">
        <f t="shared" si="3"/>
        <v>4.6817033043680407</v>
      </c>
      <c r="L23" s="47">
        <f t="shared" si="4"/>
        <v>4.0200608228238774</v>
      </c>
    </row>
    <row r="24" spans="1:12" x14ac:dyDescent="0.3">
      <c r="A24" s="25">
        <v>12</v>
      </c>
      <c r="B24" s="26" t="s">
        <v>11</v>
      </c>
      <c r="C24" s="47">
        <f>Analysis!H17</f>
        <v>64.990184115994197</v>
      </c>
      <c r="D24" s="53">
        <v>0</v>
      </c>
      <c r="E24" s="53">
        <v>0</v>
      </c>
      <c r="F24" s="54">
        <f t="shared" si="0"/>
        <v>0</v>
      </c>
      <c r="G24" s="47">
        <f t="shared" si="1"/>
        <v>64.990184115994197</v>
      </c>
      <c r="H24" s="47">
        <f>Analysis!Q17</f>
        <v>48.835945344824573</v>
      </c>
      <c r="I24" s="48">
        <f t="shared" si="2"/>
        <v>48.835945344824573</v>
      </c>
      <c r="J24" s="27">
        <v>0.8237863842192914</v>
      </c>
      <c r="K24" s="47">
        <f t="shared" si="3"/>
        <v>40.230386835543968</v>
      </c>
      <c r="L24" s="47">
        <f t="shared" si="4"/>
        <v>8.605558509280602</v>
      </c>
    </row>
    <row r="25" spans="1:12" x14ac:dyDescent="0.3">
      <c r="A25" s="25">
        <v>13</v>
      </c>
      <c r="B25" s="26" t="s">
        <v>12</v>
      </c>
      <c r="C25" s="47">
        <f>Analysis!H18</f>
        <v>0</v>
      </c>
      <c r="D25" s="53">
        <v>0</v>
      </c>
      <c r="E25" s="53">
        <v>0</v>
      </c>
      <c r="F25" s="54">
        <f t="shared" si="0"/>
        <v>0</v>
      </c>
      <c r="G25" s="47">
        <f t="shared" si="1"/>
        <v>0</v>
      </c>
      <c r="H25" s="47">
        <f>Analysis!Q18</f>
        <v>0</v>
      </c>
      <c r="I25" s="48">
        <f t="shared" si="2"/>
        <v>0</v>
      </c>
      <c r="J25" s="27">
        <v>0</v>
      </c>
      <c r="K25" s="47">
        <f t="shared" si="3"/>
        <v>0</v>
      </c>
      <c r="L25" s="47">
        <f t="shared" si="4"/>
        <v>0</v>
      </c>
    </row>
    <row r="26" spans="1:12" x14ac:dyDescent="0.3">
      <c r="A26" s="25">
        <v>14</v>
      </c>
      <c r="B26" s="26" t="s">
        <v>14</v>
      </c>
      <c r="C26" s="47">
        <f>Analysis!H19</f>
        <v>0</v>
      </c>
      <c r="D26" s="53">
        <v>0</v>
      </c>
      <c r="E26" s="53">
        <v>0</v>
      </c>
      <c r="F26" s="54">
        <f t="shared" si="0"/>
        <v>0</v>
      </c>
      <c r="G26" s="47">
        <f t="shared" si="1"/>
        <v>0</v>
      </c>
      <c r="H26" s="47">
        <f>Analysis!Q19</f>
        <v>0</v>
      </c>
      <c r="I26" s="48">
        <f t="shared" si="2"/>
        <v>0</v>
      </c>
      <c r="J26" s="27">
        <v>0</v>
      </c>
      <c r="K26" s="47">
        <f t="shared" si="3"/>
        <v>0</v>
      </c>
      <c r="L26" s="47">
        <f t="shared" si="4"/>
        <v>0</v>
      </c>
    </row>
    <row r="27" spans="1:12" x14ac:dyDescent="0.3">
      <c r="A27" s="25">
        <v>15</v>
      </c>
      <c r="B27" s="26" t="s">
        <v>15</v>
      </c>
      <c r="C27" s="47">
        <f>Analysis!H20</f>
        <v>0</v>
      </c>
      <c r="D27" s="53">
        <v>0</v>
      </c>
      <c r="E27" s="53">
        <v>0</v>
      </c>
      <c r="F27" s="54">
        <f t="shared" si="0"/>
        <v>0</v>
      </c>
      <c r="G27" s="47">
        <f t="shared" si="1"/>
        <v>0</v>
      </c>
      <c r="H27" s="47">
        <f>Analysis!Q20</f>
        <v>0</v>
      </c>
      <c r="I27" s="48">
        <f t="shared" si="2"/>
        <v>0</v>
      </c>
      <c r="J27" s="27">
        <v>0</v>
      </c>
      <c r="K27" s="47">
        <f t="shared" si="3"/>
        <v>0</v>
      </c>
      <c r="L27" s="47">
        <f t="shared" si="4"/>
        <v>0</v>
      </c>
    </row>
    <row r="28" spans="1:12" x14ac:dyDescent="0.3">
      <c r="A28" s="25">
        <v>16</v>
      </c>
      <c r="B28" s="26" t="s">
        <v>16</v>
      </c>
      <c r="C28" s="47">
        <f>Analysis!H21</f>
        <v>4.4088069602819271</v>
      </c>
      <c r="D28" s="53">
        <v>0</v>
      </c>
      <c r="E28" s="53">
        <v>0</v>
      </c>
      <c r="F28" s="54">
        <f t="shared" si="0"/>
        <v>0</v>
      </c>
      <c r="G28" s="47">
        <f t="shared" si="1"/>
        <v>4.4088069602819271</v>
      </c>
      <c r="H28" s="47">
        <f>Analysis!Q21</f>
        <v>4.3710571867470716</v>
      </c>
      <c r="I28" s="48">
        <f t="shared" si="2"/>
        <v>4.3710571867470716</v>
      </c>
      <c r="J28" s="27">
        <v>0.96999212055246942</v>
      </c>
      <c r="K28" s="47">
        <f t="shared" si="3"/>
        <v>4.239891029628903</v>
      </c>
      <c r="L28" s="47">
        <f t="shared" si="4"/>
        <v>0.13116615711816829</v>
      </c>
    </row>
    <row r="29" spans="1:12" x14ac:dyDescent="0.3">
      <c r="A29" s="25">
        <v>17</v>
      </c>
      <c r="B29" s="26" t="s">
        <v>17</v>
      </c>
      <c r="C29" s="47">
        <f>Analysis!H22</f>
        <v>0.54954446499098508</v>
      </c>
      <c r="D29" s="53">
        <v>0</v>
      </c>
      <c r="E29" s="53">
        <v>0</v>
      </c>
      <c r="F29" s="54">
        <f t="shared" si="0"/>
        <v>0</v>
      </c>
      <c r="G29" s="47">
        <f t="shared" si="1"/>
        <v>0.54954446499098508</v>
      </c>
      <c r="H29" s="47">
        <f>Analysis!Q22</f>
        <v>0.51174756561153312</v>
      </c>
      <c r="I29" s="48">
        <f t="shared" si="2"/>
        <v>0.51174756561153312</v>
      </c>
      <c r="J29" s="27">
        <v>1</v>
      </c>
      <c r="K29" s="47">
        <f t="shared" si="3"/>
        <v>0.51174756561153312</v>
      </c>
      <c r="L29" s="47">
        <f t="shared" si="4"/>
        <v>0</v>
      </c>
    </row>
    <row r="30" spans="1:12" x14ac:dyDescent="0.3">
      <c r="B30" s="28" t="s">
        <v>156</v>
      </c>
      <c r="C30" s="49">
        <f t="shared" ref="C30:I30" si="7">SUM(C13:C29)</f>
        <v>520.63275849668116</v>
      </c>
      <c r="D30" s="49">
        <f t="shared" si="7"/>
        <v>259.78100000000001</v>
      </c>
      <c r="E30" s="49">
        <f t="shared" si="7"/>
        <v>16.300000000000004</v>
      </c>
      <c r="F30" s="49">
        <f t="shared" si="7"/>
        <v>-243.48099999999999</v>
      </c>
      <c r="G30" s="49">
        <f t="shared" si="7"/>
        <v>277.15175849668105</v>
      </c>
      <c r="H30" s="49">
        <f t="shared" si="7"/>
        <v>210.16523479975532</v>
      </c>
      <c r="I30" s="50">
        <f t="shared" si="7"/>
        <v>210.16523479975532</v>
      </c>
      <c r="J30" s="30">
        <f>SUM(J13:J29)</f>
        <v>7.1709638460992222</v>
      </c>
      <c r="K30" s="49">
        <f>SUM(K13:K29)</f>
        <v>86.274943296987288</v>
      </c>
      <c r="L30" s="49">
        <f>SUM(L13:L29)</f>
        <v>123.89029150276805</v>
      </c>
    </row>
  </sheetData>
  <conditionalFormatting sqref="F13:F29">
    <cfRule type="cellIs" dxfId="1" priority="1" operator="lessThan">
      <formula>0</formula>
    </cfRule>
    <cfRule type="cellIs" dxfId="0" priority="2" operator="greaterThan">
      <formula>0</formula>
    </cfRule>
  </conditionalFormatting>
  <dataValidations disablePrompts="1" count="1">
    <dataValidation type="list" allowBlank="1" showInputMessage="1" showErrorMessage="1" sqref="C7:H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Cover</vt:lpstr>
      <vt:lpstr>Data</vt:lpstr>
      <vt:lpstr>Analysis</vt:lpstr>
      <vt:lpstr>Deep dive_AFW</vt:lpstr>
      <vt:lpstr>Deep dive_ANH</vt:lpstr>
      <vt:lpstr>Deep dive_SVE</vt:lpstr>
      <vt:lpstr>Deep dive_TMS</vt:lpstr>
      <vt:lpstr>Deep dive_WSH</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2019-01-24T09:46:33Z</dcterms:created>
  <dcterms:modified xsi:type="dcterms:W3CDTF">2019-01-25T15:34:02Z</dcterms:modified>
  <cp:category/>
  <cp:contentStatus/>
</cp:coreProperties>
</file>