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2000" windowHeight="4550" tabRatio="899"/>
  </bookViews>
  <sheets>
    <sheet name="Cover" sheetId="52" r:id="rId1"/>
    <sheet name="Controls" sheetId="48" r:id="rId2"/>
    <sheet name="Inputs&gt;&gt;" sheetId="15" r:id="rId3"/>
    <sheet name="Model coeffs" sheetId="1" r:id="rId4"/>
    <sheet name="Actual costs" sheetId="9" r:id="rId5"/>
    <sheet name="Cost drivers" sheetId="38" r:id="rId6"/>
    <sheet name="Outputs&gt;&gt;" sheetId="28" r:id="rId7"/>
    <sheet name="Modelled costs" sheetId="11" r:id="rId8"/>
    <sheet name="Efficiency" sheetId="51" r:id="rId9"/>
    <sheet name="Interface" sheetId="49"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48" l="1"/>
  <c r="D16" i="48"/>
  <c r="D15" i="48"/>
  <c r="D14" i="48"/>
  <c r="O2" i="11" l="1"/>
  <c r="N2" i="11"/>
  <c r="E2" i="11"/>
  <c r="F2" i="11"/>
  <c r="G2" i="11"/>
  <c r="H2" i="11"/>
  <c r="D2" i="11"/>
  <c r="Q19" i="51" l="1"/>
  <c r="N19" i="51"/>
  <c r="M19" i="51"/>
  <c r="L19" i="51"/>
  <c r="K19" i="51"/>
  <c r="J19" i="51"/>
  <c r="E14" i="51" l="1"/>
  <c r="E38" i="51" s="1"/>
  <c r="G11" i="51"/>
  <c r="C4" i="11"/>
  <c r="B4" i="11"/>
  <c r="A4" i="11"/>
  <c r="C4" i="38"/>
  <c r="B4" i="38"/>
  <c r="A4" i="38"/>
  <c r="B128" i="11"/>
  <c r="A128" i="11"/>
  <c r="B127" i="11"/>
  <c r="A127" i="11"/>
  <c r="B126" i="11"/>
  <c r="A126" i="11"/>
  <c r="B125" i="11"/>
  <c r="A125" i="11"/>
  <c r="B124" i="11"/>
  <c r="A124" i="11"/>
  <c r="B123" i="11"/>
  <c r="A123" i="11"/>
  <c r="B122" i="11"/>
  <c r="A122" i="11"/>
  <c r="B121" i="11"/>
  <c r="A121" i="11"/>
  <c r="B120" i="11"/>
  <c r="A120" i="11"/>
  <c r="B119" i="11"/>
  <c r="A119" i="11"/>
  <c r="B118" i="11"/>
  <c r="A118" i="11"/>
  <c r="B117" i="11"/>
  <c r="A117" i="11"/>
  <c r="B116" i="11"/>
  <c r="A116" i="11"/>
  <c r="B115" i="11"/>
  <c r="A115" i="11"/>
  <c r="B114" i="11"/>
  <c r="A114" i="11"/>
  <c r="B113" i="11"/>
  <c r="A113" i="11"/>
  <c r="B112" i="11"/>
  <c r="A112" i="11"/>
  <c r="B111" i="11"/>
  <c r="A111" i="11"/>
  <c r="B110" i="11"/>
  <c r="A110" i="11"/>
  <c r="B109" i="11"/>
  <c r="A109" i="11"/>
  <c r="B108" i="11"/>
  <c r="A108" i="11"/>
  <c r="B107" i="11"/>
  <c r="A107" i="11"/>
  <c r="B106" i="11"/>
  <c r="A106" i="11"/>
  <c r="B105" i="11"/>
  <c r="A105" i="11"/>
  <c r="B104" i="11"/>
  <c r="A104" i="11"/>
  <c r="B103" i="11"/>
  <c r="A103" i="11"/>
  <c r="B102" i="11"/>
  <c r="A102" i="11"/>
  <c r="B101" i="11"/>
  <c r="A101" i="11"/>
  <c r="B100" i="11"/>
  <c r="A100" i="11"/>
  <c r="B99" i="11"/>
  <c r="A99" i="11"/>
  <c r="B98" i="11"/>
  <c r="A98" i="11"/>
  <c r="B97" i="11"/>
  <c r="A97" i="11"/>
  <c r="B96" i="11"/>
  <c r="A96" i="11"/>
  <c r="B95" i="11"/>
  <c r="A95" i="11"/>
  <c r="B94" i="11"/>
  <c r="A94" i="11"/>
  <c r="B93" i="11"/>
  <c r="A93" i="11"/>
  <c r="B92" i="11"/>
  <c r="A92" i="11"/>
  <c r="B91" i="11"/>
  <c r="A91" i="11"/>
  <c r="B90" i="11"/>
  <c r="A90" i="11"/>
  <c r="B89" i="11"/>
  <c r="A89" i="11"/>
  <c r="B88" i="11"/>
  <c r="A88" i="11"/>
  <c r="B87" i="11"/>
  <c r="A87" i="11"/>
  <c r="B86" i="11"/>
  <c r="A86" i="11"/>
  <c r="B85" i="11"/>
  <c r="A85" i="11"/>
  <c r="B84" i="11"/>
  <c r="A84" i="11"/>
  <c r="B83" i="11"/>
  <c r="A83" i="11"/>
  <c r="B82" i="11"/>
  <c r="A82" i="11"/>
  <c r="B81" i="11"/>
  <c r="A81" i="11"/>
  <c r="B80" i="11"/>
  <c r="A80" i="11"/>
  <c r="B79" i="11"/>
  <c r="A79" i="11"/>
  <c r="B78" i="11"/>
  <c r="A78" i="11"/>
  <c r="B77" i="11"/>
  <c r="A77" i="11"/>
  <c r="B76" i="11"/>
  <c r="A76" i="11"/>
  <c r="B75" i="11"/>
  <c r="A75" i="11"/>
  <c r="B74" i="11"/>
  <c r="A74" i="11"/>
  <c r="B73" i="11"/>
  <c r="A73" i="11"/>
  <c r="B72" i="11"/>
  <c r="A72" i="11"/>
  <c r="B71" i="11"/>
  <c r="A71" i="11"/>
  <c r="B70" i="11"/>
  <c r="A70" i="11"/>
  <c r="B69" i="11"/>
  <c r="A69" i="11"/>
  <c r="B68" i="11"/>
  <c r="A68" i="11"/>
  <c r="B67" i="11"/>
  <c r="A67" i="11"/>
  <c r="B66" i="11"/>
  <c r="A66" i="11"/>
  <c r="B65" i="11"/>
  <c r="A65" i="11"/>
  <c r="B64" i="11"/>
  <c r="A64" i="11"/>
  <c r="C63" i="11"/>
  <c r="B63" i="11"/>
  <c r="A63" i="11"/>
  <c r="B62" i="11"/>
  <c r="A62" i="11"/>
  <c r="B61" i="11"/>
  <c r="A61" i="11"/>
  <c r="B60" i="11"/>
  <c r="A60" i="11"/>
  <c r="B59" i="11"/>
  <c r="A59" i="11"/>
  <c r="B58" i="11"/>
  <c r="A58" i="11"/>
  <c r="B57" i="11"/>
  <c r="A57" i="11"/>
  <c r="B56" i="11"/>
  <c r="A56" i="11"/>
  <c r="B55" i="11"/>
  <c r="A55" i="11"/>
  <c r="B54" i="11"/>
  <c r="A54" i="11"/>
  <c r="B53" i="11"/>
  <c r="A53" i="11"/>
  <c r="B52" i="11"/>
  <c r="A52" i="11"/>
  <c r="B51" i="11"/>
  <c r="A51" i="11"/>
  <c r="B50" i="11"/>
  <c r="A50" i="11"/>
  <c r="B49" i="11"/>
  <c r="A49" i="11"/>
  <c r="B48" i="11"/>
  <c r="A48" i="11"/>
  <c r="C47" i="11"/>
  <c r="B47" i="11"/>
  <c r="A47" i="11"/>
  <c r="B46" i="11"/>
  <c r="A46" i="11"/>
  <c r="B45" i="11"/>
  <c r="A45" i="11"/>
  <c r="B44" i="11"/>
  <c r="A44" i="11"/>
  <c r="B43" i="11"/>
  <c r="A43" i="11"/>
  <c r="B42" i="11"/>
  <c r="A42" i="11"/>
  <c r="B41" i="11"/>
  <c r="A41" i="11"/>
  <c r="B40" i="11"/>
  <c r="A40" i="11"/>
  <c r="B39" i="11"/>
  <c r="A39" i="11"/>
  <c r="B38" i="11"/>
  <c r="A38" i="11"/>
  <c r="B37" i="11"/>
  <c r="A37" i="11"/>
  <c r="B36" i="11"/>
  <c r="A36" i="11"/>
  <c r="B35" i="11"/>
  <c r="A35" i="11"/>
  <c r="B34" i="11"/>
  <c r="A34" i="11"/>
  <c r="B33" i="11"/>
  <c r="A33" i="11"/>
  <c r="B32" i="11"/>
  <c r="A32" i="11"/>
  <c r="C31" i="11"/>
  <c r="B31" i="11"/>
  <c r="A31" i="11"/>
  <c r="B30" i="11"/>
  <c r="A30" i="11"/>
  <c r="B29" i="11"/>
  <c r="A29" i="11"/>
  <c r="B28" i="11"/>
  <c r="A28" i="11"/>
  <c r="B27" i="11"/>
  <c r="A27" i="11"/>
  <c r="B26" i="11"/>
  <c r="A26" i="11"/>
  <c r="B25" i="11"/>
  <c r="A25" i="11"/>
  <c r="B24" i="11"/>
  <c r="A24" i="11"/>
  <c r="B23" i="11"/>
  <c r="A23" i="11"/>
  <c r="B22" i="11"/>
  <c r="A22" i="11"/>
  <c r="B21" i="11"/>
  <c r="A21" i="11"/>
  <c r="B20" i="11"/>
  <c r="A20" i="11"/>
  <c r="B19" i="11"/>
  <c r="A19" i="11"/>
  <c r="B18" i="11"/>
  <c r="A18" i="11"/>
  <c r="B17" i="11"/>
  <c r="A17" i="11"/>
  <c r="B16" i="11"/>
  <c r="A16" i="11"/>
  <c r="C15" i="11"/>
  <c r="B15" i="11"/>
  <c r="A15" i="11"/>
  <c r="B14" i="11"/>
  <c r="A14" i="11"/>
  <c r="B13" i="11"/>
  <c r="A13" i="11"/>
  <c r="B12" i="11"/>
  <c r="A12" i="11"/>
  <c r="B11" i="11"/>
  <c r="A11" i="11"/>
  <c r="B10" i="11"/>
  <c r="A10" i="11"/>
  <c r="B9" i="11"/>
  <c r="A9" i="11"/>
  <c r="B8" i="11"/>
  <c r="A8" i="11"/>
  <c r="B7" i="11"/>
  <c r="A7" i="11"/>
  <c r="B6" i="11"/>
  <c r="A6" i="11"/>
  <c r="B5" i="11"/>
  <c r="A5" i="11"/>
  <c r="C129" i="9"/>
  <c r="C128" i="11" s="1"/>
  <c r="C128" i="9"/>
  <c r="C127" i="11" s="1"/>
  <c r="C127" i="9"/>
  <c r="C126" i="11" s="1"/>
  <c r="C126" i="9"/>
  <c r="C125" i="11" s="1"/>
  <c r="C125" i="9"/>
  <c r="C124" i="11" s="1"/>
  <c r="C124" i="9"/>
  <c r="C123" i="11" s="1"/>
  <c r="C123" i="9"/>
  <c r="C122" i="11" s="1"/>
  <c r="C122" i="9"/>
  <c r="C121" i="11" s="1"/>
  <c r="C121" i="9"/>
  <c r="C120" i="11" s="1"/>
  <c r="C120" i="9"/>
  <c r="C119" i="11" s="1"/>
  <c r="C119" i="9"/>
  <c r="C118" i="11" s="1"/>
  <c r="C118" i="9"/>
  <c r="C117" i="11" s="1"/>
  <c r="C117" i="9"/>
  <c r="C116" i="11" s="1"/>
  <c r="C116" i="9"/>
  <c r="C115" i="11" s="1"/>
  <c r="C115" i="9"/>
  <c r="C114" i="11" s="1"/>
  <c r="C114" i="9"/>
  <c r="C113" i="11" s="1"/>
  <c r="C113" i="9"/>
  <c r="C112" i="11" s="1"/>
  <c r="C112" i="9"/>
  <c r="C111" i="11" s="1"/>
  <c r="C111" i="9"/>
  <c r="C110" i="11" s="1"/>
  <c r="C110" i="9"/>
  <c r="C109" i="11" s="1"/>
  <c r="C109" i="9"/>
  <c r="C108" i="11" s="1"/>
  <c r="C108" i="9"/>
  <c r="C107" i="11" s="1"/>
  <c r="C107" i="9"/>
  <c r="C106" i="11" s="1"/>
  <c r="C106" i="9"/>
  <c r="C105" i="11" s="1"/>
  <c r="C105" i="9"/>
  <c r="C104" i="11" s="1"/>
  <c r="C104" i="9"/>
  <c r="C103" i="11" s="1"/>
  <c r="C103" i="9"/>
  <c r="C102" i="11" s="1"/>
  <c r="C102" i="9"/>
  <c r="C101" i="11" s="1"/>
  <c r="C101" i="9"/>
  <c r="C100" i="11" s="1"/>
  <c r="C100" i="9"/>
  <c r="C99" i="11" s="1"/>
  <c r="C99" i="9"/>
  <c r="C98" i="11" s="1"/>
  <c r="C98" i="9"/>
  <c r="C97" i="11" s="1"/>
  <c r="C97" i="9"/>
  <c r="C96" i="11" s="1"/>
  <c r="C96" i="9"/>
  <c r="C95" i="11" s="1"/>
  <c r="C95" i="9"/>
  <c r="C94" i="11" s="1"/>
  <c r="C94" i="9"/>
  <c r="C93" i="11" s="1"/>
  <c r="C93" i="9"/>
  <c r="C92" i="11" s="1"/>
  <c r="C92" i="9"/>
  <c r="C91" i="11" s="1"/>
  <c r="C91" i="9"/>
  <c r="C90" i="11" s="1"/>
  <c r="C90" i="9"/>
  <c r="C89" i="11" s="1"/>
  <c r="C89" i="9"/>
  <c r="C88" i="11" s="1"/>
  <c r="C88" i="9"/>
  <c r="C87" i="11" s="1"/>
  <c r="C87" i="9"/>
  <c r="C86" i="11" s="1"/>
  <c r="C86" i="9"/>
  <c r="C85" i="11" s="1"/>
  <c r="C85" i="9"/>
  <c r="C84" i="11" s="1"/>
  <c r="C84" i="9"/>
  <c r="C83" i="11" s="1"/>
  <c r="C83" i="9"/>
  <c r="C82" i="11" s="1"/>
  <c r="C82" i="9"/>
  <c r="C81" i="11" s="1"/>
  <c r="C81" i="9"/>
  <c r="C80" i="11" s="1"/>
  <c r="C80" i="9"/>
  <c r="C79" i="11" s="1"/>
  <c r="C79" i="9"/>
  <c r="C78" i="11" s="1"/>
  <c r="C78" i="9"/>
  <c r="C77" i="11" s="1"/>
  <c r="C77" i="9"/>
  <c r="C76" i="11" s="1"/>
  <c r="C76" i="9"/>
  <c r="C75" i="11" s="1"/>
  <c r="C75" i="9"/>
  <c r="C74" i="11" s="1"/>
  <c r="C74" i="9"/>
  <c r="C73" i="11" s="1"/>
  <c r="C73" i="9"/>
  <c r="C72" i="11" s="1"/>
  <c r="C72" i="9"/>
  <c r="C71" i="11" s="1"/>
  <c r="C71" i="9"/>
  <c r="C70" i="11" s="1"/>
  <c r="C70" i="9"/>
  <c r="C69" i="11" s="1"/>
  <c r="C69" i="9"/>
  <c r="C68" i="11" s="1"/>
  <c r="C68" i="9"/>
  <c r="C67" i="11" s="1"/>
  <c r="C67" i="9"/>
  <c r="C66" i="11" s="1"/>
  <c r="C66" i="9"/>
  <c r="C65" i="11" s="1"/>
  <c r="C65" i="9"/>
  <c r="C64" i="11" s="1"/>
  <c r="C64" i="9"/>
  <c r="C63" i="9"/>
  <c r="C62" i="11" s="1"/>
  <c r="C62" i="9"/>
  <c r="C61" i="11" s="1"/>
  <c r="C61" i="9"/>
  <c r="C60" i="11" s="1"/>
  <c r="C60" i="9"/>
  <c r="C59" i="11" s="1"/>
  <c r="C59" i="9"/>
  <c r="C58" i="11" s="1"/>
  <c r="C58" i="9"/>
  <c r="C57" i="11" s="1"/>
  <c r="C57" i="9"/>
  <c r="C56" i="11" s="1"/>
  <c r="C56" i="9"/>
  <c r="C55" i="11" s="1"/>
  <c r="C55" i="9"/>
  <c r="C54" i="11" s="1"/>
  <c r="C54" i="9"/>
  <c r="C53" i="11" s="1"/>
  <c r="C53" i="9"/>
  <c r="C52" i="11" s="1"/>
  <c r="C52" i="9"/>
  <c r="C51" i="11" s="1"/>
  <c r="C51" i="9"/>
  <c r="C50" i="11" s="1"/>
  <c r="C50" i="9"/>
  <c r="C49" i="11" s="1"/>
  <c r="C49" i="9"/>
  <c r="C48" i="11" s="1"/>
  <c r="C48" i="9"/>
  <c r="C47" i="9"/>
  <c r="C46" i="11" s="1"/>
  <c r="C46" i="9"/>
  <c r="C45" i="11" s="1"/>
  <c r="C45" i="9"/>
  <c r="C44" i="11" s="1"/>
  <c r="C44" i="9"/>
  <c r="C43" i="11" s="1"/>
  <c r="C43" i="9"/>
  <c r="C42" i="11" s="1"/>
  <c r="C42" i="9"/>
  <c r="C41" i="11" s="1"/>
  <c r="C41" i="9"/>
  <c r="C40" i="11" s="1"/>
  <c r="C40" i="9"/>
  <c r="C39" i="11" s="1"/>
  <c r="C39" i="9"/>
  <c r="C38" i="11" s="1"/>
  <c r="C38" i="9"/>
  <c r="C37" i="11" s="1"/>
  <c r="C37" i="9"/>
  <c r="C36" i="11" s="1"/>
  <c r="C36" i="9"/>
  <c r="C35" i="11" s="1"/>
  <c r="C35" i="9"/>
  <c r="C34" i="11" s="1"/>
  <c r="C34" i="9"/>
  <c r="C33" i="11" s="1"/>
  <c r="C33" i="9"/>
  <c r="C32" i="11" s="1"/>
  <c r="C32" i="9"/>
  <c r="C31" i="9"/>
  <c r="C30" i="11" s="1"/>
  <c r="C30" i="9"/>
  <c r="C29" i="11" s="1"/>
  <c r="C29" i="9"/>
  <c r="C28" i="11" s="1"/>
  <c r="C28" i="9"/>
  <c r="C27" i="11" s="1"/>
  <c r="C27" i="9"/>
  <c r="C26" i="11" s="1"/>
  <c r="C26" i="9"/>
  <c r="C25" i="11" s="1"/>
  <c r="C25" i="9"/>
  <c r="C24" i="11" s="1"/>
  <c r="C24" i="9"/>
  <c r="C23" i="11" s="1"/>
  <c r="C23" i="9"/>
  <c r="C22" i="11" s="1"/>
  <c r="C22" i="9"/>
  <c r="C21" i="11" s="1"/>
  <c r="C21" i="9"/>
  <c r="C20" i="11" s="1"/>
  <c r="C20" i="9"/>
  <c r="C19" i="11" s="1"/>
  <c r="C19" i="9"/>
  <c r="C18" i="11" s="1"/>
  <c r="C18" i="9"/>
  <c r="C17" i="11" s="1"/>
  <c r="C17" i="9"/>
  <c r="C16" i="11" s="1"/>
  <c r="C16" i="9"/>
  <c r="C15" i="9"/>
  <c r="C14" i="11" s="1"/>
  <c r="C14" i="9"/>
  <c r="C13" i="11" s="1"/>
  <c r="C13" i="9"/>
  <c r="C12" i="11" s="1"/>
  <c r="C12" i="9"/>
  <c r="C11" i="11" s="1"/>
  <c r="C11" i="9"/>
  <c r="C10" i="11" s="1"/>
  <c r="C10" i="9"/>
  <c r="C9" i="11" s="1"/>
  <c r="C9" i="9"/>
  <c r="C8" i="11" s="1"/>
  <c r="C8" i="9"/>
  <c r="C7" i="11" s="1"/>
  <c r="C7" i="9"/>
  <c r="C6" i="11" s="1"/>
  <c r="C6" i="9"/>
  <c r="C5" i="11" s="1"/>
  <c r="C128" i="38" l="1"/>
  <c r="B128" i="38"/>
  <c r="A128" i="38"/>
  <c r="C127" i="38"/>
  <c r="B127" i="38"/>
  <c r="A127" i="38"/>
  <c r="C126" i="38"/>
  <c r="B126" i="38"/>
  <c r="A126" i="38"/>
  <c r="C125" i="38"/>
  <c r="B125" i="38"/>
  <c r="A125" i="38"/>
  <c r="C124" i="38"/>
  <c r="B124" i="38"/>
  <c r="A124" i="38"/>
  <c r="C123" i="38"/>
  <c r="B123" i="38"/>
  <c r="A123" i="38"/>
  <c r="C122" i="38"/>
  <c r="B122" i="38"/>
  <c r="A122" i="38"/>
  <c r="C121" i="38"/>
  <c r="B121" i="38"/>
  <c r="A121" i="38"/>
  <c r="C120" i="38"/>
  <c r="B120" i="38"/>
  <c r="A120" i="38"/>
  <c r="C119" i="38"/>
  <c r="B119" i="38"/>
  <c r="A119" i="38"/>
  <c r="C118" i="38"/>
  <c r="B118" i="38"/>
  <c r="A118" i="38"/>
  <c r="C117" i="38"/>
  <c r="B117" i="38"/>
  <c r="A117" i="38"/>
  <c r="C116" i="38"/>
  <c r="B116" i="38"/>
  <c r="A116" i="38"/>
  <c r="C115" i="38"/>
  <c r="B115" i="38"/>
  <c r="A115" i="38"/>
  <c r="C114" i="38"/>
  <c r="B114" i="38"/>
  <c r="A114" i="38"/>
  <c r="C113" i="38"/>
  <c r="B113" i="38"/>
  <c r="A113" i="38"/>
  <c r="C112" i="38"/>
  <c r="B112" i="38"/>
  <c r="A112" i="38"/>
  <c r="C111" i="38"/>
  <c r="B111" i="38"/>
  <c r="A111" i="38"/>
  <c r="C110" i="38"/>
  <c r="B110" i="38"/>
  <c r="A110" i="38"/>
  <c r="C109" i="38"/>
  <c r="B109" i="38"/>
  <c r="A109" i="38"/>
  <c r="C108" i="38"/>
  <c r="B108" i="38"/>
  <c r="A108" i="38"/>
  <c r="C107" i="38"/>
  <c r="B107" i="38"/>
  <c r="A107" i="38"/>
  <c r="C106" i="38"/>
  <c r="B106" i="38"/>
  <c r="A106" i="38"/>
  <c r="C105" i="38"/>
  <c r="B105" i="38"/>
  <c r="A105" i="38"/>
  <c r="C104" i="38"/>
  <c r="B104" i="38"/>
  <c r="A104" i="38"/>
  <c r="C103" i="38"/>
  <c r="B103" i="38"/>
  <c r="A103" i="38"/>
  <c r="C102" i="38"/>
  <c r="B102" i="38"/>
  <c r="A102" i="38"/>
  <c r="C101" i="38"/>
  <c r="B101" i="38"/>
  <c r="A101" i="38"/>
  <c r="C100" i="38"/>
  <c r="B100" i="38"/>
  <c r="A100" i="38"/>
  <c r="C99" i="38"/>
  <c r="B99" i="38"/>
  <c r="A99" i="38"/>
  <c r="C98" i="38"/>
  <c r="B98" i="38"/>
  <c r="A98" i="38"/>
  <c r="C97" i="38"/>
  <c r="B97" i="38"/>
  <c r="A97" i="38"/>
  <c r="C96" i="38"/>
  <c r="B96" i="38"/>
  <c r="A96" i="38"/>
  <c r="C95" i="38"/>
  <c r="B95" i="38"/>
  <c r="A95" i="38"/>
  <c r="C94" i="38"/>
  <c r="B94" i="38"/>
  <c r="A94" i="38"/>
  <c r="C93" i="38"/>
  <c r="B93" i="38"/>
  <c r="A93" i="38"/>
  <c r="C92" i="38"/>
  <c r="B92" i="38"/>
  <c r="A92" i="38"/>
  <c r="C91" i="38"/>
  <c r="B91" i="38"/>
  <c r="A91" i="38"/>
  <c r="C90" i="38"/>
  <c r="B90" i="38"/>
  <c r="A90" i="38"/>
  <c r="C89" i="38"/>
  <c r="B89" i="38"/>
  <c r="A89" i="38"/>
  <c r="C88" i="38"/>
  <c r="B88" i="38"/>
  <c r="A88" i="38"/>
  <c r="C87" i="38"/>
  <c r="B87" i="38"/>
  <c r="A87" i="38"/>
  <c r="C86" i="38"/>
  <c r="B86" i="38"/>
  <c r="A86" i="38"/>
  <c r="C85" i="38"/>
  <c r="B85" i="38"/>
  <c r="A85" i="38"/>
  <c r="C84" i="38"/>
  <c r="B84" i="38"/>
  <c r="A84" i="38"/>
  <c r="C83" i="38"/>
  <c r="B83" i="38"/>
  <c r="A83" i="38"/>
  <c r="C82" i="38"/>
  <c r="B82" i="38"/>
  <c r="A82" i="38"/>
  <c r="C81" i="38"/>
  <c r="B81" i="38"/>
  <c r="A81" i="38"/>
  <c r="C80" i="38"/>
  <c r="B80" i="38"/>
  <c r="A80" i="38"/>
  <c r="C79" i="38"/>
  <c r="B79" i="38"/>
  <c r="A79" i="38"/>
  <c r="C78" i="38"/>
  <c r="B78" i="38"/>
  <c r="A78" i="38"/>
  <c r="C77" i="38"/>
  <c r="B77" i="38"/>
  <c r="A77" i="38"/>
  <c r="C76" i="38"/>
  <c r="B76" i="38"/>
  <c r="A76" i="38"/>
  <c r="C75" i="38"/>
  <c r="B75" i="38"/>
  <c r="A75" i="38"/>
  <c r="C74" i="38"/>
  <c r="B74" i="38"/>
  <c r="A74" i="38"/>
  <c r="C73" i="38"/>
  <c r="B73" i="38"/>
  <c r="A73" i="38"/>
  <c r="C72" i="38"/>
  <c r="B72" i="38"/>
  <c r="A72" i="38"/>
  <c r="C71" i="38"/>
  <c r="B71" i="38"/>
  <c r="A71" i="38"/>
  <c r="C70" i="38"/>
  <c r="B70" i="38"/>
  <c r="A70" i="38"/>
  <c r="C69" i="38"/>
  <c r="B69" i="38"/>
  <c r="A69" i="38"/>
  <c r="C68" i="38"/>
  <c r="B68" i="38"/>
  <c r="A68" i="38"/>
  <c r="C67" i="38"/>
  <c r="B67" i="38"/>
  <c r="A67" i="38"/>
  <c r="C66" i="38"/>
  <c r="B66" i="38"/>
  <c r="A66" i="38"/>
  <c r="C65" i="38"/>
  <c r="B65" i="38"/>
  <c r="A65" i="38"/>
  <c r="C64" i="38"/>
  <c r="B64" i="38"/>
  <c r="A64" i="38"/>
  <c r="C63" i="38"/>
  <c r="B63" i="38"/>
  <c r="A63" i="38"/>
  <c r="C62" i="38"/>
  <c r="B62" i="38"/>
  <c r="A62" i="38"/>
  <c r="C61" i="38"/>
  <c r="B61" i="38"/>
  <c r="A61" i="38"/>
  <c r="C60" i="38"/>
  <c r="B60" i="38"/>
  <c r="A60" i="38"/>
  <c r="C59" i="38"/>
  <c r="B59" i="38"/>
  <c r="A59" i="38"/>
  <c r="C58" i="38"/>
  <c r="B58" i="38"/>
  <c r="A58" i="38"/>
  <c r="C57" i="38"/>
  <c r="B57" i="38"/>
  <c r="A57" i="38"/>
  <c r="C56" i="38"/>
  <c r="B56" i="38"/>
  <c r="A56" i="38"/>
  <c r="C55" i="38"/>
  <c r="B55" i="38"/>
  <c r="A55" i="38"/>
  <c r="C54" i="38"/>
  <c r="B54" i="38"/>
  <c r="A54" i="38"/>
  <c r="C53" i="38"/>
  <c r="B53" i="38"/>
  <c r="A53" i="38"/>
  <c r="C52" i="38"/>
  <c r="B52" i="38"/>
  <c r="A52" i="38"/>
  <c r="C51" i="38"/>
  <c r="B51" i="38"/>
  <c r="A51" i="38"/>
  <c r="C50" i="38"/>
  <c r="B50" i="38"/>
  <c r="A50" i="38"/>
  <c r="C49" i="38"/>
  <c r="B49" i="38"/>
  <c r="A49" i="38"/>
  <c r="C48" i="38"/>
  <c r="B48" i="38"/>
  <c r="A48" i="38"/>
  <c r="C47" i="38"/>
  <c r="B47" i="38"/>
  <c r="A47" i="38"/>
  <c r="C46" i="38"/>
  <c r="B46" i="38"/>
  <c r="A46" i="38"/>
  <c r="C45" i="38"/>
  <c r="B45" i="38"/>
  <c r="A45" i="38"/>
  <c r="C44" i="38"/>
  <c r="B44" i="38"/>
  <c r="A44" i="38"/>
  <c r="C43" i="38"/>
  <c r="B43" i="38"/>
  <c r="A43" i="38"/>
  <c r="C42" i="38"/>
  <c r="B42" i="38"/>
  <c r="A42" i="38"/>
  <c r="C41" i="38"/>
  <c r="B41" i="38"/>
  <c r="A41" i="38"/>
  <c r="C40" i="38"/>
  <c r="B40" i="38"/>
  <c r="A40" i="38"/>
  <c r="C39" i="38"/>
  <c r="B39" i="38"/>
  <c r="A39" i="38"/>
  <c r="C38" i="38"/>
  <c r="B38" i="38"/>
  <c r="A38" i="38"/>
  <c r="C37" i="38"/>
  <c r="B37" i="38"/>
  <c r="A37" i="38"/>
  <c r="C36" i="38"/>
  <c r="B36" i="38"/>
  <c r="A36" i="38"/>
  <c r="C35" i="38"/>
  <c r="B35" i="38"/>
  <c r="A35" i="38"/>
  <c r="C34" i="38"/>
  <c r="B34" i="38"/>
  <c r="A34" i="38"/>
  <c r="C33" i="38"/>
  <c r="B33" i="38"/>
  <c r="A33" i="38"/>
  <c r="C32" i="38"/>
  <c r="B32" i="38"/>
  <c r="A32" i="38"/>
  <c r="C31" i="38"/>
  <c r="B31" i="38"/>
  <c r="A31" i="38"/>
  <c r="C30" i="38"/>
  <c r="B30" i="38"/>
  <c r="A30" i="38"/>
  <c r="C29" i="38"/>
  <c r="B29" i="38"/>
  <c r="A29" i="38"/>
  <c r="C28" i="38"/>
  <c r="B28" i="38"/>
  <c r="A28" i="38"/>
  <c r="C27" i="38"/>
  <c r="B27" i="38"/>
  <c r="A27" i="38"/>
  <c r="C26" i="38"/>
  <c r="B26" i="38"/>
  <c r="A26" i="38"/>
  <c r="C25" i="38"/>
  <c r="B25" i="38"/>
  <c r="A25" i="38"/>
  <c r="C24" i="38"/>
  <c r="B24" i="38"/>
  <c r="A24" i="38"/>
  <c r="C23" i="38"/>
  <c r="B23" i="38"/>
  <c r="A23" i="38"/>
  <c r="C22" i="38"/>
  <c r="B22" i="38"/>
  <c r="A22" i="38"/>
  <c r="C21" i="38"/>
  <c r="B21" i="38"/>
  <c r="A21" i="38"/>
  <c r="C20" i="38"/>
  <c r="B20" i="38"/>
  <c r="A20" i="38"/>
  <c r="C19" i="38"/>
  <c r="B19" i="38"/>
  <c r="A19" i="38"/>
  <c r="C18" i="38"/>
  <c r="B18" i="38"/>
  <c r="A18" i="38"/>
  <c r="C17" i="38"/>
  <c r="B17" i="38"/>
  <c r="A17" i="38"/>
  <c r="C16" i="38"/>
  <c r="B16" i="38"/>
  <c r="A16" i="38"/>
  <c r="C15" i="38"/>
  <c r="B15" i="38"/>
  <c r="A15" i="38"/>
  <c r="C14" i="38"/>
  <c r="B14" i="38"/>
  <c r="A14" i="38"/>
  <c r="C13" i="38"/>
  <c r="B13" i="38"/>
  <c r="A13" i="38"/>
  <c r="C12" i="38"/>
  <c r="B12" i="38"/>
  <c r="A12" i="38"/>
  <c r="C11" i="38"/>
  <c r="B11" i="38"/>
  <c r="A11" i="38"/>
  <c r="C10" i="38"/>
  <c r="B10" i="38"/>
  <c r="A10" i="38"/>
  <c r="C9" i="38"/>
  <c r="B9" i="38"/>
  <c r="A9" i="38"/>
  <c r="C8" i="38"/>
  <c r="B8" i="38"/>
  <c r="A8" i="38"/>
  <c r="C7" i="38"/>
  <c r="B7" i="38"/>
  <c r="A7" i="38"/>
  <c r="C6" i="38"/>
  <c r="B6" i="38"/>
  <c r="A6" i="38"/>
  <c r="C5" i="38"/>
  <c r="B5" i="38"/>
  <c r="A5" i="38"/>
  <c r="E41" i="38" l="1"/>
  <c r="D90" i="38"/>
  <c r="D42" i="38"/>
  <c r="F104" i="38"/>
  <c r="F95" i="38"/>
  <c r="D37" i="38" l="1"/>
  <c r="D50" i="38"/>
  <c r="E14" i="38"/>
  <c r="E55" i="38"/>
  <c r="E113" i="38"/>
  <c r="D104" i="38"/>
  <c r="E27" i="38"/>
  <c r="E87" i="38"/>
  <c r="E66" i="38"/>
  <c r="D94" i="38"/>
  <c r="D83" i="38"/>
  <c r="E125" i="38"/>
  <c r="E50" i="38"/>
  <c r="E10" i="38"/>
  <c r="E38" i="38"/>
  <c r="E119" i="38"/>
  <c r="E115" i="38"/>
  <c r="E12" i="38"/>
  <c r="E35" i="38"/>
  <c r="E71" i="38"/>
  <c r="D80" i="38"/>
  <c r="E126" i="38"/>
  <c r="D14" i="38"/>
  <c r="E69" i="38"/>
  <c r="E82" i="38"/>
  <c r="E45" i="38"/>
  <c r="D49" i="38"/>
  <c r="D95" i="38"/>
  <c r="D118" i="38"/>
  <c r="E112" i="38"/>
  <c r="E111" i="38"/>
  <c r="E13" i="38"/>
  <c r="E103" i="38"/>
  <c r="D9" i="38"/>
  <c r="E48" i="38"/>
  <c r="E57" i="38"/>
  <c r="E116" i="38"/>
  <c r="E108" i="38"/>
  <c r="E117" i="38"/>
  <c r="J89" i="38"/>
  <c r="I89" i="38"/>
  <c r="E76" i="38"/>
  <c r="E86" i="38"/>
  <c r="D72" i="38"/>
  <c r="D122" i="38"/>
  <c r="D59" i="38"/>
  <c r="E118" i="38"/>
  <c r="E106" i="38"/>
  <c r="E63" i="38"/>
  <c r="E109" i="38"/>
  <c r="D31" i="38"/>
  <c r="D73" i="38"/>
  <c r="E123" i="38"/>
  <c r="E5" i="38"/>
  <c r="E29" i="38"/>
  <c r="D96" i="38"/>
  <c r="D7" i="38"/>
  <c r="D63" i="38"/>
  <c r="E73" i="38"/>
  <c r="D87" i="38"/>
  <c r="E127" i="38"/>
  <c r="J93" i="38"/>
  <c r="I93" i="38"/>
  <c r="I44" i="38"/>
  <c r="J44" i="38"/>
  <c r="I92" i="38"/>
  <c r="J92" i="38"/>
  <c r="I41" i="38"/>
  <c r="J41" i="38"/>
  <c r="J40" i="38"/>
  <c r="I40" i="38"/>
  <c r="D23" i="38"/>
  <c r="D76" i="38"/>
  <c r="E59" i="38"/>
  <c r="D123" i="38"/>
  <c r="D54" i="38"/>
  <c r="D126" i="38"/>
  <c r="E78" i="38"/>
  <c r="D127" i="38"/>
  <c r="E99" i="38"/>
  <c r="D115" i="38"/>
  <c r="E7" i="38"/>
  <c r="E26" i="38"/>
  <c r="E34" i="38"/>
  <c r="E62" i="38"/>
  <c r="D112" i="38"/>
  <c r="E97" i="38"/>
  <c r="I43" i="38"/>
  <c r="J43" i="38"/>
  <c r="J91" i="38"/>
  <c r="I91" i="38"/>
  <c r="I42" i="38"/>
  <c r="J42" i="38"/>
  <c r="I90" i="38"/>
  <c r="J90" i="38"/>
  <c r="E92" i="38"/>
  <c r="F118" i="38"/>
  <c r="F123" i="38"/>
  <c r="F83" i="38"/>
  <c r="D92" i="38"/>
  <c r="F109" i="38"/>
  <c r="H14" i="38"/>
  <c r="H125" i="38"/>
  <c r="H99" i="38"/>
  <c r="H26" i="38"/>
  <c r="H27" i="38"/>
  <c r="H87" i="38"/>
  <c r="H66" i="38"/>
  <c r="H123" i="38"/>
  <c r="H50" i="38"/>
  <c r="H106" i="38"/>
  <c r="H63" i="38"/>
  <c r="H103" i="38"/>
  <c r="H118" i="38"/>
  <c r="H109" i="38"/>
  <c r="H73" i="38"/>
  <c r="H108" i="38"/>
  <c r="H117" i="38"/>
  <c r="F48" i="38"/>
  <c r="D44" i="38"/>
  <c r="H112" i="38"/>
  <c r="F112" i="38"/>
  <c r="F52" i="38"/>
  <c r="E42" i="38"/>
  <c r="D91" i="38"/>
  <c r="G91" i="38"/>
  <c r="F64" i="38"/>
  <c r="F78" i="38"/>
  <c r="D41" i="38"/>
  <c r="E91" i="38"/>
  <c r="F126" i="38"/>
  <c r="F87" i="38"/>
  <c r="G92" i="38"/>
  <c r="F113" i="38"/>
  <c r="F127" i="38"/>
  <c r="F37" i="38"/>
  <c r="H126" i="38"/>
  <c r="F99" i="38"/>
  <c r="H45" i="38"/>
  <c r="H78" i="38"/>
  <c r="F59" i="38"/>
  <c r="F92" i="38"/>
  <c r="F77" i="38"/>
  <c r="D40" i="38"/>
  <c r="F111" i="38"/>
  <c r="E89" i="38"/>
  <c r="F71" i="38"/>
  <c r="F13" i="38"/>
  <c r="F22" i="38"/>
  <c r="F117" i="38"/>
  <c r="F9" i="38"/>
  <c r="F23" i="38"/>
  <c r="F69" i="38"/>
  <c r="E44" i="38"/>
  <c r="E90" i="38"/>
  <c r="G41" i="38"/>
  <c r="F86" i="38"/>
  <c r="F14" i="38"/>
  <c r="F45" i="38"/>
  <c r="F50" i="38"/>
  <c r="H52" i="38"/>
  <c r="F28" i="38"/>
  <c r="F55" i="38"/>
  <c r="F27" i="38"/>
  <c r="F94" i="38"/>
  <c r="H111" i="38"/>
  <c r="E40" i="38"/>
  <c r="H48" i="38"/>
  <c r="F57" i="38"/>
  <c r="F31" i="38"/>
  <c r="H116" i="38"/>
  <c r="H97" i="38"/>
  <c r="H119" i="38"/>
  <c r="D89" i="38"/>
  <c r="H115" i="38"/>
  <c r="E43" i="38"/>
  <c r="D93" i="38"/>
  <c r="H7" i="38"/>
  <c r="D43" i="38"/>
  <c r="H29" i="38"/>
  <c r="F40" i="38"/>
  <c r="G44" i="38"/>
  <c r="F90" i="38"/>
  <c r="D90" i="11" s="1"/>
  <c r="F49" i="38"/>
  <c r="F91" i="38"/>
  <c r="F98" i="38"/>
  <c r="F103" i="38"/>
  <c r="G90" i="38"/>
  <c r="E90" i="11" s="1"/>
  <c r="F8" i="38"/>
  <c r="H38" i="38"/>
  <c r="F38" i="38"/>
  <c r="F29" i="38"/>
  <c r="F34" i="38"/>
  <c r="G89" i="38"/>
  <c r="F51" i="38"/>
  <c r="F93" i="38"/>
  <c r="F12" i="38"/>
  <c r="F26" i="38"/>
  <c r="F10" i="38"/>
  <c r="F75" i="38"/>
  <c r="F79" i="38"/>
  <c r="E93" i="38"/>
  <c r="F61" i="38"/>
  <c r="F84" i="38"/>
  <c r="F101" i="38"/>
  <c r="F105" i="38"/>
  <c r="F35" i="38"/>
  <c r="F44" i="38"/>
  <c r="F80" i="38"/>
  <c r="F85" i="38"/>
  <c r="F97" i="38"/>
  <c r="F102" i="38"/>
  <c r="F116" i="38"/>
  <c r="F120" i="38"/>
  <c r="F125" i="38"/>
  <c r="F17" i="38"/>
  <c r="F36" i="38"/>
  <c r="F72" i="38"/>
  <c r="F82" i="38"/>
  <c r="F108" i="38"/>
  <c r="H5" i="38"/>
  <c r="F33" i="38"/>
  <c r="G42" i="38"/>
  <c r="E42" i="11" s="1"/>
  <c r="F73" i="38"/>
  <c r="F30" i="38"/>
  <c r="G40" i="38"/>
  <c r="F56" i="38"/>
  <c r="F76" i="38"/>
  <c r="F89" i="38"/>
  <c r="F119" i="38"/>
  <c r="F124" i="38"/>
  <c r="F5" i="38"/>
  <c r="F62" i="38"/>
  <c r="F106" i="38"/>
  <c r="F41" i="38"/>
  <c r="H91" i="38"/>
  <c r="F21" i="38"/>
  <c r="F16" i="38"/>
  <c r="F20" i="38"/>
  <c r="F54" i="38"/>
  <c r="F7" i="38"/>
  <c r="F63" i="38"/>
  <c r="F70" i="38"/>
  <c r="F66" i="38"/>
  <c r="F58" i="38"/>
  <c r="F115" i="38"/>
  <c r="F65" i="38"/>
  <c r="F122" i="38"/>
  <c r="G93" i="38"/>
  <c r="F43" i="38"/>
  <c r="F42" i="38"/>
  <c r="D42" i="11" s="1"/>
  <c r="F96" i="38"/>
  <c r="F110" i="38"/>
  <c r="F19" i="38"/>
  <c r="G43" i="38"/>
  <c r="F68" i="38"/>
  <c r="H47" i="38"/>
  <c r="F47" i="38"/>
  <c r="F15" i="38"/>
  <c r="F24" i="38"/>
  <c r="F6" i="38"/>
  <c r="H95" i="38"/>
  <c r="H94" i="38"/>
  <c r="H105" i="38"/>
  <c r="H35" i="38"/>
  <c r="H85" i="38"/>
  <c r="H86" i="38"/>
  <c r="H69" i="38"/>
  <c r="H10" i="38"/>
  <c r="H17" i="38"/>
  <c r="H22" i="38"/>
  <c r="H59" i="38"/>
  <c r="H51" i="38"/>
  <c r="H62" i="38"/>
  <c r="H13" i="38"/>
  <c r="H33" i="38"/>
  <c r="H55" i="38"/>
  <c r="H113" i="38"/>
  <c r="H71" i="38"/>
  <c r="H57" i="38"/>
  <c r="H41" i="38"/>
  <c r="H34" i="38"/>
  <c r="H98" i="38"/>
  <c r="H12" i="38"/>
  <c r="H76" i="38"/>
  <c r="H79" i="38"/>
  <c r="H21" i="38"/>
  <c r="H92" i="38"/>
  <c r="H82" i="38"/>
  <c r="H127" i="38"/>
  <c r="J42" i="11" l="1"/>
  <c r="G127" i="38"/>
  <c r="G122" i="38"/>
  <c r="G113" i="38"/>
  <c r="G119" i="38"/>
  <c r="G95" i="38"/>
  <c r="G61" i="38"/>
  <c r="G86" i="38"/>
  <c r="G96" i="38"/>
  <c r="G118" i="38"/>
  <c r="G35" i="38"/>
  <c r="G104" i="38"/>
  <c r="G76" i="38"/>
  <c r="E101" i="38"/>
  <c r="D124" i="38"/>
  <c r="E110" i="38"/>
  <c r="D20" i="38"/>
  <c r="E84" i="38"/>
  <c r="E75" i="38"/>
  <c r="E96" i="38"/>
  <c r="E93" i="11"/>
  <c r="D93" i="11"/>
  <c r="D24" i="38"/>
  <c r="D105" i="38"/>
  <c r="D12" i="38"/>
  <c r="E65" i="38"/>
  <c r="D30" i="38"/>
  <c r="D98" i="38"/>
  <c r="D111" i="38"/>
  <c r="E40" i="11"/>
  <c r="D40" i="11"/>
  <c r="D52" i="38"/>
  <c r="E104" i="38"/>
  <c r="D109" i="38"/>
  <c r="E41" i="11"/>
  <c r="G41" i="11"/>
  <c r="L41" i="11" s="1"/>
  <c r="O41" i="11" s="1"/>
  <c r="H41" i="11"/>
  <c r="D41" i="11"/>
  <c r="G91" i="11"/>
  <c r="L91" i="11" s="1"/>
  <c r="O91" i="11" s="1"/>
  <c r="E91" i="11"/>
  <c r="D91" i="11"/>
  <c r="H91" i="11"/>
  <c r="E21" i="38"/>
  <c r="E122" i="38"/>
  <c r="E102" i="38"/>
  <c r="D120" i="38"/>
  <c r="E64" i="38"/>
  <c r="E85" i="38"/>
  <c r="D27" i="38"/>
  <c r="D86" i="38"/>
  <c r="J87" i="38"/>
  <c r="I87" i="38"/>
  <c r="I98" i="38"/>
  <c r="J98" i="38"/>
  <c r="I8" i="38"/>
  <c r="J8" i="38"/>
  <c r="I15" i="38"/>
  <c r="J15" i="38"/>
  <c r="I65" i="38"/>
  <c r="J65" i="38"/>
  <c r="I54" i="38"/>
  <c r="D54" i="11" s="1"/>
  <c r="J54" i="38"/>
  <c r="J30" i="38"/>
  <c r="I30" i="38"/>
  <c r="I19" i="38"/>
  <c r="J19" i="38"/>
  <c r="I31" i="38"/>
  <c r="E31" i="11" s="1"/>
  <c r="J31" i="38"/>
  <c r="I20" i="38"/>
  <c r="J20" i="38"/>
  <c r="G87" i="11"/>
  <c r="I104" i="38"/>
  <c r="J104" i="38"/>
  <c r="J117" i="38"/>
  <c r="I117" i="38"/>
  <c r="F117" i="11" s="1"/>
  <c r="I27" i="38"/>
  <c r="F27" i="11" s="1"/>
  <c r="K27" i="11" s="1"/>
  <c r="J27" i="38"/>
  <c r="I105" i="38"/>
  <c r="J105" i="38"/>
  <c r="I9" i="38"/>
  <c r="J9" i="38"/>
  <c r="J119" i="38"/>
  <c r="I119" i="38"/>
  <c r="F119" i="11" s="1"/>
  <c r="K119" i="11" s="1"/>
  <c r="I108" i="38"/>
  <c r="F108" i="11" s="1"/>
  <c r="K108" i="11" s="1"/>
  <c r="J108" i="38"/>
  <c r="J37" i="38"/>
  <c r="I37" i="38"/>
  <c r="J13" i="38"/>
  <c r="I13" i="38"/>
  <c r="J26" i="38"/>
  <c r="I26" i="38"/>
  <c r="F26" i="11" s="1"/>
  <c r="K26" i="11" s="1"/>
  <c r="J75" i="38"/>
  <c r="I75" i="38"/>
  <c r="G83" i="38"/>
  <c r="G54" i="38"/>
  <c r="E54" i="11" s="1"/>
  <c r="G87" i="38"/>
  <c r="G68" i="38"/>
  <c r="G22" i="38"/>
  <c r="G98" i="38"/>
  <c r="G109" i="38"/>
  <c r="E24" i="38"/>
  <c r="E20" i="38"/>
  <c r="E30" i="38"/>
  <c r="E16" i="38"/>
  <c r="E89" i="11"/>
  <c r="D89" i="11"/>
  <c r="E56" i="38"/>
  <c r="D21" i="38"/>
  <c r="D58" i="38"/>
  <c r="D101" i="38"/>
  <c r="E124" i="38"/>
  <c r="D35" i="38"/>
  <c r="D51" i="38"/>
  <c r="D66" i="38"/>
  <c r="D62" i="38"/>
  <c r="E95" i="38"/>
  <c r="D108" i="38"/>
  <c r="D97" i="38"/>
  <c r="D45" i="38"/>
  <c r="D125" i="38"/>
  <c r="E105" i="38"/>
  <c r="E68" i="38"/>
  <c r="E54" i="38"/>
  <c r="E44" i="11"/>
  <c r="D44" i="11"/>
  <c r="J44" i="11" s="1"/>
  <c r="E36" i="38"/>
  <c r="D22" i="38"/>
  <c r="D102" i="38"/>
  <c r="D5" i="38"/>
  <c r="E31" i="38"/>
  <c r="E37" i="38"/>
  <c r="D77" i="38"/>
  <c r="D113" i="38"/>
  <c r="D116" i="38"/>
  <c r="E33" i="38"/>
  <c r="D69" i="38"/>
  <c r="J111" i="38"/>
  <c r="I111" i="38"/>
  <c r="F111" i="11" s="1"/>
  <c r="K111" i="11" s="1"/>
  <c r="I70" i="38"/>
  <c r="J70" i="38"/>
  <c r="I83" i="38"/>
  <c r="J83" i="38"/>
  <c r="I112" i="38"/>
  <c r="F112" i="11" s="1"/>
  <c r="K112" i="11" s="1"/>
  <c r="J112" i="38"/>
  <c r="J125" i="38"/>
  <c r="I125" i="38"/>
  <c r="F125" i="11" s="1"/>
  <c r="K125" i="11" s="1"/>
  <c r="J52" i="38"/>
  <c r="I52" i="38"/>
  <c r="J101" i="38"/>
  <c r="I101" i="38"/>
  <c r="I113" i="38"/>
  <c r="F113" i="11" s="1"/>
  <c r="K113" i="11" s="1"/>
  <c r="J113" i="38"/>
  <c r="J126" i="38"/>
  <c r="I126" i="38"/>
  <c r="I102" i="38"/>
  <c r="J102" i="38"/>
  <c r="J115" i="38"/>
  <c r="I115" i="38"/>
  <c r="G115" i="11" s="1"/>
  <c r="J86" i="38"/>
  <c r="I86" i="38"/>
  <c r="I62" i="38"/>
  <c r="J62" i="38"/>
  <c r="F92" i="11"/>
  <c r="K92" i="11" s="1"/>
  <c r="J14" i="38"/>
  <c r="I14" i="38"/>
  <c r="F14" i="11" s="1"/>
  <c r="J64" i="38"/>
  <c r="I64" i="38"/>
  <c r="J58" i="38"/>
  <c r="I58" i="38"/>
  <c r="I71" i="38"/>
  <c r="J71" i="38"/>
  <c r="I84" i="38"/>
  <c r="J84" i="38"/>
  <c r="J10" i="38"/>
  <c r="I10" i="38"/>
  <c r="J23" i="38"/>
  <c r="I23" i="38"/>
  <c r="J36" i="38"/>
  <c r="I36" i="38"/>
  <c r="J85" i="38"/>
  <c r="I85" i="38"/>
  <c r="J12" i="38"/>
  <c r="I12" i="38"/>
  <c r="J61" i="38"/>
  <c r="I61" i="38"/>
  <c r="I5" i="38"/>
  <c r="J5" i="38"/>
  <c r="J103" i="38"/>
  <c r="I103" i="38"/>
  <c r="D104" i="11"/>
  <c r="G7" i="38"/>
  <c r="H7" i="11" s="1"/>
  <c r="G31" i="38"/>
  <c r="G117" i="38"/>
  <c r="G36" i="38"/>
  <c r="G62" i="38"/>
  <c r="G21" i="38"/>
  <c r="G37" i="38"/>
  <c r="E37" i="11" s="1"/>
  <c r="G28" i="38"/>
  <c r="G124" i="38"/>
  <c r="D36" i="38"/>
  <c r="D64" i="38"/>
  <c r="D70" i="38"/>
  <c r="D29" i="38"/>
  <c r="D61" i="38"/>
  <c r="D6" i="38"/>
  <c r="E61" i="38"/>
  <c r="D10" i="38"/>
  <c r="D16" i="38"/>
  <c r="E43" i="11"/>
  <c r="D43" i="11"/>
  <c r="D79" i="38"/>
  <c r="E15" i="38"/>
  <c r="D119" i="38"/>
  <c r="E51" i="38"/>
  <c r="D15" i="38"/>
  <c r="D34" i="38"/>
  <c r="D84" i="38"/>
  <c r="E58" i="38"/>
  <c r="D33" i="38"/>
  <c r="D55" i="38"/>
  <c r="E72" i="38"/>
  <c r="E80" i="38"/>
  <c r="E17" i="38"/>
  <c r="D78" i="38"/>
  <c r="E9" i="38"/>
  <c r="D117" i="38"/>
  <c r="E28" i="38"/>
  <c r="E6" i="38"/>
  <c r="D17" i="38"/>
  <c r="E22" i="38"/>
  <c r="E94" i="38"/>
  <c r="H92" i="11"/>
  <c r="E92" i="11"/>
  <c r="D92" i="11"/>
  <c r="J92" i="11" s="1"/>
  <c r="N92" i="11" s="1"/>
  <c r="P92" i="11" s="1"/>
  <c r="G92" i="11"/>
  <c r="L92" i="11" s="1"/>
  <c r="O92" i="11" s="1"/>
  <c r="D57" i="38"/>
  <c r="D68" i="38"/>
  <c r="G126" i="11"/>
  <c r="J123" i="38"/>
  <c r="I123" i="38"/>
  <c r="F123" i="11" s="1"/>
  <c r="K123" i="11" s="1"/>
  <c r="J50" i="38"/>
  <c r="I50" i="38"/>
  <c r="I63" i="38"/>
  <c r="J63" i="38"/>
  <c r="J76" i="38"/>
  <c r="D76" i="11" s="1"/>
  <c r="I76" i="38"/>
  <c r="H76" i="11" s="1"/>
  <c r="I51" i="38"/>
  <c r="J51" i="38"/>
  <c r="I78" i="38"/>
  <c r="F78" i="11" s="1"/>
  <c r="K78" i="11" s="1"/>
  <c r="J78" i="38"/>
  <c r="J17" i="38"/>
  <c r="I17" i="38"/>
  <c r="F17" i="11" s="1"/>
  <c r="K17" i="11" s="1"/>
  <c r="I6" i="38"/>
  <c r="J6" i="38"/>
  <c r="J55" i="38"/>
  <c r="I55" i="38"/>
  <c r="F55" i="11" s="1"/>
  <c r="K55" i="11" s="1"/>
  <c r="I68" i="38"/>
  <c r="J68" i="38"/>
  <c r="J80" i="38"/>
  <c r="I80" i="38"/>
  <c r="J7" i="38"/>
  <c r="G7" i="11" s="1"/>
  <c r="I7" i="38"/>
  <c r="J56" i="38"/>
  <c r="I56" i="38"/>
  <c r="I69" i="38"/>
  <c r="J69" i="38"/>
  <c r="J82" i="38"/>
  <c r="I82" i="38"/>
  <c r="I21" i="38"/>
  <c r="J21" i="38"/>
  <c r="I34" i="38"/>
  <c r="F34" i="11" s="1"/>
  <c r="K34" i="11" s="1"/>
  <c r="J34" i="38"/>
  <c r="I22" i="38"/>
  <c r="J22" i="38"/>
  <c r="I95" i="38"/>
  <c r="F95" i="11" s="1"/>
  <c r="K95" i="11" s="1"/>
  <c r="J95" i="38"/>
  <c r="I109" i="38"/>
  <c r="J109" i="38"/>
  <c r="I122" i="38"/>
  <c r="D122" i="11" s="1"/>
  <c r="J122" i="38"/>
  <c r="I97" i="38"/>
  <c r="J97" i="38"/>
  <c r="J110" i="38"/>
  <c r="I110" i="38"/>
  <c r="G64" i="38"/>
  <c r="G80" i="38"/>
  <c r="G105" i="38"/>
  <c r="G66" i="38"/>
  <c r="G106" i="38"/>
  <c r="D28" i="38"/>
  <c r="E70" i="38"/>
  <c r="D38" i="38"/>
  <c r="D99" i="38"/>
  <c r="D110" i="38"/>
  <c r="D65" i="38"/>
  <c r="J90" i="11"/>
  <c r="E47" i="38"/>
  <c r="E79" i="38"/>
  <c r="D56" i="38"/>
  <c r="D47" i="38"/>
  <c r="D75" i="38"/>
  <c r="D26" i="38"/>
  <c r="D106" i="38"/>
  <c r="D13" i="38"/>
  <c r="E120" i="38"/>
  <c r="D48" i="38"/>
  <c r="D85" i="38"/>
  <c r="E98" i="38"/>
  <c r="E49" i="38"/>
  <c r="E52" i="38"/>
  <c r="E23" i="38"/>
  <c r="E83" i="38"/>
  <c r="D82" i="38"/>
  <c r="E19" i="38"/>
  <c r="E77" i="38"/>
  <c r="E8" i="38"/>
  <c r="D19" i="38"/>
  <c r="D71" i="38"/>
  <c r="D8" i="38"/>
  <c r="D103" i="38"/>
  <c r="I33" i="38"/>
  <c r="J33" i="38"/>
  <c r="J57" i="38"/>
  <c r="I57" i="38"/>
  <c r="I118" i="38"/>
  <c r="D118" i="11" s="1"/>
  <c r="J118" i="38"/>
  <c r="J28" i="38"/>
  <c r="I28" i="38"/>
  <c r="J77" i="38"/>
  <c r="I77" i="38"/>
  <c r="I16" i="38"/>
  <c r="J16" i="38"/>
  <c r="I29" i="38"/>
  <c r="J29" i="38"/>
  <c r="F91" i="11"/>
  <c r="K91" i="11" s="1"/>
  <c r="J66" i="38"/>
  <c r="I66" i="38"/>
  <c r="F66" i="11" s="1"/>
  <c r="K66" i="11" s="1"/>
  <c r="I79" i="38"/>
  <c r="F79" i="11" s="1"/>
  <c r="K79" i="11" s="1"/>
  <c r="J79" i="38"/>
  <c r="J73" i="38"/>
  <c r="I73" i="38"/>
  <c r="F73" i="11" s="1"/>
  <c r="K73" i="11" s="1"/>
  <c r="I49" i="38"/>
  <c r="J49" i="38"/>
  <c r="I38" i="38"/>
  <c r="J38" i="38"/>
  <c r="D112" i="11"/>
  <c r="G112" i="11"/>
  <c r="F41" i="11"/>
  <c r="K41" i="11" s="1"/>
  <c r="E7" i="11"/>
  <c r="E122" i="11"/>
  <c r="J124" i="38"/>
  <c r="I124" i="38"/>
  <c r="J99" i="38"/>
  <c r="I99" i="38"/>
  <c r="I94" i="38"/>
  <c r="J94" i="38"/>
  <c r="J106" i="38"/>
  <c r="I106" i="38"/>
  <c r="J35" i="38"/>
  <c r="I35" i="38"/>
  <c r="F35" i="11" s="1"/>
  <c r="J47" i="38"/>
  <c r="I47" i="38"/>
  <c r="J59" i="38"/>
  <c r="I59" i="38"/>
  <c r="F59" i="11" s="1"/>
  <c r="K59" i="11" s="1"/>
  <c r="J72" i="38"/>
  <c r="D72" i="11" s="1"/>
  <c r="I72" i="38"/>
  <c r="I120" i="38"/>
  <c r="J120" i="38"/>
  <c r="I48" i="38"/>
  <c r="F48" i="11" s="1"/>
  <c r="K48" i="11" s="1"/>
  <c r="J48" i="38"/>
  <c r="I96" i="38"/>
  <c r="J96" i="38"/>
  <c r="J24" i="38"/>
  <c r="I24" i="38"/>
  <c r="I127" i="38"/>
  <c r="J127" i="38"/>
  <c r="I116" i="38"/>
  <c r="F116" i="11" s="1"/>
  <c r="K116" i="11" s="1"/>
  <c r="J116" i="38"/>
  <c r="D9" i="11"/>
  <c r="G95" i="11"/>
  <c r="G14" i="11"/>
  <c r="E80" i="11"/>
  <c r="D80" i="11"/>
  <c r="H89" i="38"/>
  <c r="H89" i="11" s="1"/>
  <c r="H72" i="38"/>
  <c r="G72" i="11" s="1"/>
  <c r="H77" i="38"/>
  <c r="H96" i="38"/>
  <c r="H84" i="38"/>
  <c r="H42" i="38"/>
  <c r="G42" i="11" s="1"/>
  <c r="H54" i="38"/>
  <c r="H54" i="11" s="1"/>
  <c r="H31" i="38"/>
  <c r="H37" i="38"/>
  <c r="H37" i="11" s="1"/>
  <c r="H8" i="38"/>
  <c r="H28" i="38"/>
  <c r="H6" i="38"/>
  <c r="H64" i="38"/>
  <c r="H70" i="38"/>
  <c r="H75" i="38"/>
  <c r="H15" i="38"/>
  <c r="H58" i="38"/>
  <c r="H49" i="38"/>
  <c r="G49" i="11" s="1"/>
  <c r="H122" i="38"/>
  <c r="G122" i="11" s="1"/>
  <c r="H102" i="38"/>
  <c r="H110" i="38"/>
  <c r="H20" i="38"/>
  <c r="H120" i="38"/>
  <c r="H9" i="38"/>
  <c r="G9" i="11" s="1"/>
  <c r="H68" i="38"/>
  <c r="H36" i="38"/>
  <c r="H24" i="38"/>
  <c r="H30" i="38"/>
  <c r="H16" i="38"/>
  <c r="H65" i="38"/>
  <c r="H44" i="38"/>
  <c r="G44" i="11" s="1"/>
  <c r="H23" i="38"/>
  <c r="H83" i="38"/>
  <c r="H101" i="38"/>
  <c r="H93" i="38"/>
  <c r="H93" i="11" s="1"/>
  <c r="H61" i="38"/>
  <c r="H43" i="38"/>
  <c r="G43" i="11" s="1"/>
  <c r="H40" i="38"/>
  <c r="G40" i="11" s="1"/>
  <c r="H90" i="38"/>
  <c r="H90" i="11" s="1"/>
  <c r="H80" i="38"/>
  <c r="H80" i="11" s="1"/>
  <c r="H104" i="38"/>
  <c r="G104" i="11" s="1"/>
  <c r="H19" i="38"/>
  <c r="H124" i="38"/>
  <c r="H56" i="38"/>
  <c r="G31" i="11" l="1"/>
  <c r="D14" i="11"/>
  <c r="D95" i="11"/>
  <c r="D31" i="11"/>
  <c r="J31" i="11" s="1"/>
  <c r="N31" i="11" s="1"/>
  <c r="P31" i="11" s="1"/>
  <c r="D7" i="11"/>
  <c r="E83" i="11"/>
  <c r="J54" i="11"/>
  <c r="L95" i="11"/>
  <c r="O95" i="11" s="1"/>
  <c r="G68" i="11"/>
  <c r="J80" i="11"/>
  <c r="E95" i="11"/>
  <c r="E127" i="11"/>
  <c r="G96" i="11"/>
  <c r="D63" i="11"/>
  <c r="F12" i="11"/>
  <c r="K12" i="11" s="1"/>
  <c r="F10" i="11"/>
  <c r="K10" i="11" s="1"/>
  <c r="H95" i="11"/>
  <c r="F77" i="11"/>
  <c r="D50" i="11"/>
  <c r="H87" i="11"/>
  <c r="L87" i="11" s="1"/>
  <c r="O87" i="11" s="1"/>
  <c r="H83" i="11"/>
  <c r="F87" i="11"/>
  <c r="K87" i="11" s="1"/>
  <c r="J40" i="11"/>
  <c r="J93" i="11"/>
  <c r="G72" i="38"/>
  <c r="G102" i="38"/>
  <c r="E102" i="11" s="1"/>
  <c r="G26" i="38"/>
  <c r="E26" i="11" s="1"/>
  <c r="G12" i="38"/>
  <c r="H12" i="11" s="1"/>
  <c r="G9" i="38"/>
  <c r="G69" i="38"/>
  <c r="H69" i="11" s="1"/>
  <c r="L69" i="11" s="1"/>
  <c r="O69" i="11" s="1"/>
  <c r="G70" i="38"/>
  <c r="H70" i="11" s="1"/>
  <c r="G79" i="38"/>
  <c r="E79" i="11" s="1"/>
  <c r="G19" i="38"/>
  <c r="H19" i="11" s="1"/>
  <c r="G77" i="38"/>
  <c r="E77" i="11" s="1"/>
  <c r="G5" i="38"/>
  <c r="E5" i="11" s="1"/>
  <c r="G73" i="38"/>
  <c r="G17" i="38"/>
  <c r="E17" i="11" s="1"/>
  <c r="G29" i="38"/>
  <c r="E29" i="11" s="1"/>
  <c r="G13" i="38"/>
  <c r="E13" i="11" s="1"/>
  <c r="K35" i="11"/>
  <c r="F124" i="11"/>
  <c r="L7" i="11"/>
  <c r="O7" i="11" s="1"/>
  <c r="F49" i="11"/>
  <c r="K77" i="11"/>
  <c r="D8" i="11"/>
  <c r="G8" i="11"/>
  <c r="G19" i="11"/>
  <c r="L19" i="11" s="1"/>
  <c r="O19" i="11" s="1"/>
  <c r="E19" i="11"/>
  <c r="D19" i="11"/>
  <c r="D82" i="11"/>
  <c r="G82" i="11"/>
  <c r="D106" i="11"/>
  <c r="E106" i="11"/>
  <c r="G106" i="11"/>
  <c r="H106" i="11"/>
  <c r="D47" i="11"/>
  <c r="G47" i="11"/>
  <c r="I45" i="38"/>
  <c r="J45" i="38"/>
  <c r="G37" i="11"/>
  <c r="L37" i="11" s="1"/>
  <c r="O37" i="11" s="1"/>
  <c r="F122" i="11"/>
  <c r="K122" i="11" s="1"/>
  <c r="G90" i="11"/>
  <c r="L90" i="11" s="1"/>
  <c r="O90" i="11" s="1"/>
  <c r="F56" i="11"/>
  <c r="F80" i="11"/>
  <c r="K80" i="11" s="1"/>
  <c r="N80" i="11" s="1"/>
  <c r="G123" i="11"/>
  <c r="D78" i="11"/>
  <c r="G78" i="11"/>
  <c r="G55" i="11"/>
  <c r="D55" i="11"/>
  <c r="G34" i="11"/>
  <c r="D34" i="11"/>
  <c r="G16" i="11"/>
  <c r="D16" i="11"/>
  <c r="H64" i="11"/>
  <c r="D64" i="11"/>
  <c r="J64" i="11" s="1"/>
  <c r="E64" i="11"/>
  <c r="G64" i="11"/>
  <c r="F103" i="11"/>
  <c r="F61" i="11"/>
  <c r="K61" i="11" s="1"/>
  <c r="F85" i="11"/>
  <c r="K85" i="11" s="1"/>
  <c r="F23" i="11"/>
  <c r="K23" i="11" s="1"/>
  <c r="F58" i="11"/>
  <c r="K58" i="11" s="1"/>
  <c r="F89" i="11"/>
  <c r="K89" i="11" s="1"/>
  <c r="G59" i="11"/>
  <c r="F102" i="11"/>
  <c r="K102" i="11" s="1"/>
  <c r="F70" i="11"/>
  <c r="G45" i="11"/>
  <c r="G66" i="11"/>
  <c r="D66" i="11"/>
  <c r="H66" i="11"/>
  <c r="E66" i="11"/>
  <c r="E35" i="11"/>
  <c r="G35" i="11"/>
  <c r="D35" i="11"/>
  <c r="H35" i="11"/>
  <c r="D58" i="11"/>
  <c r="G58" i="11"/>
  <c r="G83" i="11"/>
  <c r="L83" i="11" s="1"/>
  <c r="O83" i="11" s="1"/>
  <c r="F9" i="11"/>
  <c r="K9" i="11" s="1"/>
  <c r="F104" i="11"/>
  <c r="K104" i="11" s="1"/>
  <c r="E87" i="11"/>
  <c r="F30" i="11"/>
  <c r="K30" i="11" s="1"/>
  <c r="F40" i="11"/>
  <c r="K40" i="11" s="1"/>
  <c r="N40" i="11" s="1"/>
  <c r="P40" i="11" s="1"/>
  <c r="F98" i="11"/>
  <c r="K98" i="11" s="1"/>
  <c r="D86" i="11"/>
  <c r="J86" i="11" s="1"/>
  <c r="H86" i="11"/>
  <c r="G86" i="11"/>
  <c r="E86" i="11"/>
  <c r="H40" i="11"/>
  <c r="L40" i="11" s="1"/>
  <c r="O40" i="11" s="1"/>
  <c r="G111" i="11"/>
  <c r="D111" i="11"/>
  <c r="D105" i="11"/>
  <c r="G105" i="11"/>
  <c r="H105" i="11"/>
  <c r="E105" i="11"/>
  <c r="G93" i="11"/>
  <c r="L93" i="11" s="1"/>
  <c r="O93" i="11" s="1"/>
  <c r="G110" i="38"/>
  <c r="H110" i="11" s="1"/>
  <c r="G52" i="38"/>
  <c r="E52" i="11" s="1"/>
  <c r="G63" i="38"/>
  <c r="G75" i="38"/>
  <c r="E75" i="11" s="1"/>
  <c r="G47" i="38"/>
  <c r="H47" i="11" s="1"/>
  <c r="G30" i="38"/>
  <c r="E30" i="11" s="1"/>
  <c r="G48" i="38"/>
  <c r="E48" i="11" s="1"/>
  <c r="G38" i="38"/>
  <c r="H38" i="11" s="1"/>
  <c r="G85" i="38"/>
  <c r="H85" i="11" s="1"/>
  <c r="G34" i="38"/>
  <c r="H34" i="11" s="1"/>
  <c r="G120" i="38"/>
  <c r="H120" i="11" s="1"/>
  <c r="G6" i="38"/>
  <c r="H6" i="11" s="1"/>
  <c r="G57" i="38"/>
  <c r="H57" i="11" s="1"/>
  <c r="G33" i="38"/>
  <c r="H33" i="11" s="1"/>
  <c r="G49" i="38"/>
  <c r="G59" i="38"/>
  <c r="G65" i="38"/>
  <c r="E65" i="11" s="1"/>
  <c r="G80" i="11"/>
  <c r="L80" i="11" s="1"/>
  <c r="O80" i="11" s="1"/>
  <c r="F127" i="11"/>
  <c r="K127" i="11" s="1"/>
  <c r="F96" i="11"/>
  <c r="F120" i="11"/>
  <c r="K120" i="11" s="1"/>
  <c r="F94" i="11"/>
  <c r="K94" i="11" s="1"/>
  <c r="H31" i="11"/>
  <c r="L31" i="11" s="1"/>
  <c r="O31" i="11" s="1"/>
  <c r="F29" i="11"/>
  <c r="K29" i="11" s="1"/>
  <c r="F118" i="11"/>
  <c r="K118" i="11" s="1"/>
  <c r="F33" i="11"/>
  <c r="K33" i="11" s="1"/>
  <c r="E110" i="11"/>
  <c r="D110" i="11"/>
  <c r="G110" i="11"/>
  <c r="D99" i="11"/>
  <c r="G99" i="11"/>
  <c r="G94" i="11"/>
  <c r="F51" i="11"/>
  <c r="K51" i="11" s="1"/>
  <c r="F63" i="11"/>
  <c r="D127" i="11"/>
  <c r="G57" i="11"/>
  <c r="L57" i="11" s="1"/>
  <c r="O57" i="11" s="1"/>
  <c r="D57" i="11"/>
  <c r="H43" i="11"/>
  <c r="L43" i="11" s="1"/>
  <c r="O43" i="11" s="1"/>
  <c r="E61" i="11"/>
  <c r="G61" i="11"/>
  <c r="H61" i="11"/>
  <c r="D61" i="11"/>
  <c r="E70" i="11"/>
  <c r="G70" i="11"/>
  <c r="D70" i="11"/>
  <c r="F84" i="11"/>
  <c r="K14" i="11"/>
  <c r="D96" i="11"/>
  <c r="D115" i="11"/>
  <c r="F115" i="11"/>
  <c r="K115" i="11" s="1"/>
  <c r="D126" i="11"/>
  <c r="F126" i="11"/>
  <c r="K126" i="11" s="1"/>
  <c r="F101" i="11"/>
  <c r="K101" i="11" s="1"/>
  <c r="E113" i="11"/>
  <c r="G113" i="11"/>
  <c r="H113" i="11"/>
  <c r="D113" i="11"/>
  <c r="J113" i="11" s="1"/>
  <c r="N113" i="11" s="1"/>
  <c r="G5" i="11"/>
  <c r="H5" i="11"/>
  <c r="D5" i="11"/>
  <c r="J5" i="11" s="1"/>
  <c r="G22" i="11"/>
  <c r="L22" i="11" s="1"/>
  <c r="O22" i="11" s="1"/>
  <c r="H22" i="11"/>
  <c r="D22" i="11"/>
  <c r="E22" i="11"/>
  <c r="H44" i="11"/>
  <c r="L44" i="11" s="1"/>
  <c r="O44" i="11" s="1"/>
  <c r="F37" i="11"/>
  <c r="K37" i="11" s="1"/>
  <c r="K117" i="11"/>
  <c r="E118" i="11"/>
  <c r="J118" i="11" s="1"/>
  <c r="N118" i="11" s="1"/>
  <c r="F31" i="11"/>
  <c r="K31" i="11" s="1"/>
  <c r="F65" i="11"/>
  <c r="K65" i="11" s="1"/>
  <c r="D23" i="11"/>
  <c r="D120" i="11"/>
  <c r="J120" i="11" s="1"/>
  <c r="N120" i="11" s="1"/>
  <c r="G120" i="11"/>
  <c r="E120" i="11"/>
  <c r="G30" i="11"/>
  <c r="L30" i="11" s="1"/>
  <c r="O30" i="11" s="1"/>
  <c r="D30" i="11"/>
  <c r="J30" i="11" s="1"/>
  <c r="N30" i="11" s="1"/>
  <c r="H30" i="11"/>
  <c r="E124" i="11"/>
  <c r="D124" i="11"/>
  <c r="G124" i="11"/>
  <c r="H124" i="11"/>
  <c r="E104" i="11"/>
  <c r="J104" i="11" s="1"/>
  <c r="N104" i="11" s="1"/>
  <c r="H127" i="11"/>
  <c r="G14" i="38"/>
  <c r="G115" i="38"/>
  <c r="G10" i="38"/>
  <c r="E10" i="11" s="1"/>
  <c r="G71" i="38"/>
  <c r="H71" i="11" s="1"/>
  <c r="G126" i="38"/>
  <c r="G99" i="38"/>
  <c r="H99" i="11" s="1"/>
  <c r="G103" i="38"/>
  <c r="E103" i="11" s="1"/>
  <c r="G78" i="38"/>
  <c r="E78" i="11" s="1"/>
  <c r="G8" i="38"/>
  <c r="E8" i="11" s="1"/>
  <c r="G101" i="38"/>
  <c r="H101" i="11" s="1"/>
  <c r="G24" i="38"/>
  <c r="H24" i="11" s="1"/>
  <c r="G50" i="38"/>
  <c r="G108" i="38"/>
  <c r="H108" i="11" s="1"/>
  <c r="G94" i="38"/>
  <c r="G97" i="38"/>
  <c r="H97" i="11" s="1"/>
  <c r="G125" i="38"/>
  <c r="H125" i="11" s="1"/>
  <c r="G56" i="38"/>
  <c r="F24" i="11"/>
  <c r="K24" i="11" s="1"/>
  <c r="F72" i="11"/>
  <c r="K72" i="11" s="1"/>
  <c r="F47" i="11"/>
  <c r="K47" i="11" s="1"/>
  <c r="F106" i="11"/>
  <c r="K106" i="11" s="1"/>
  <c r="F99" i="11"/>
  <c r="K99" i="11" s="1"/>
  <c r="H122" i="11"/>
  <c r="J7" i="11"/>
  <c r="F38" i="11"/>
  <c r="K38" i="11" s="1"/>
  <c r="D73" i="11"/>
  <c r="F28" i="11"/>
  <c r="F57" i="11"/>
  <c r="K57" i="11" s="1"/>
  <c r="G103" i="11"/>
  <c r="D103" i="11"/>
  <c r="H103" i="11"/>
  <c r="G71" i="11"/>
  <c r="D71" i="11"/>
  <c r="E71" i="11"/>
  <c r="J71" i="11" s="1"/>
  <c r="H48" i="11"/>
  <c r="G48" i="11"/>
  <c r="D48" i="11"/>
  <c r="J48" i="11" s="1"/>
  <c r="N48" i="11" s="1"/>
  <c r="G13" i="11"/>
  <c r="H13" i="11"/>
  <c r="D13" i="11"/>
  <c r="J13" i="11" s="1"/>
  <c r="H26" i="11"/>
  <c r="D26" i="11"/>
  <c r="J26" i="11" s="1"/>
  <c r="N26" i="11" s="1"/>
  <c r="G26" i="11"/>
  <c r="D75" i="11"/>
  <c r="J75" i="11" s="1"/>
  <c r="G75" i="11"/>
  <c r="H75" i="11"/>
  <c r="E28" i="11"/>
  <c r="D28" i="11"/>
  <c r="G28" i="11"/>
  <c r="H28" i="11"/>
  <c r="D94" i="11"/>
  <c r="F97" i="11"/>
  <c r="K97" i="11" s="1"/>
  <c r="F109" i="11"/>
  <c r="K109" i="11" s="1"/>
  <c r="F22" i="11"/>
  <c r="K22" i="11" s="1"/>
  <c r="F21" i="11"/>
  <c r="F69" i="11"/>
  <c r="K69" i="11" s="1"/>
  <c r="F7" i="11"/>
  <c r="F76" i="11"/>
  <c r="K76" i="11" s="1"/>
  <c r="F50" i="11"/>
  <c r="K50" i="11" s="1"/>
  <c r="G76" i="11"/>
  <c r="L76" i="11" s="1"/>
  <c r="O76" i="11" s="1"/>
  <c r="G127" i="11"/>
  <c r="F43" i="11"/>
  <c r="K43" i="11" s="1"/>
  <c r="D33" i="11"/>
  <c r="G33" i="11"/>
  <c r="L33" i="11" s="1"/>
  <c r="O33" i="11" s="1"/>
  <c r="E33" i="11"/>
  <c r="J33" i="11" s="1"/>
  <c r="N33" i="11" s="1"/>
  <c r="P33" i="11" s="1"/>
  <c r="G84" i="11"/>
  <c r="D84" i="11"/>
  <c r="G15" i="11"/>
  <c r="D15" i="11"/>
  <c r="J43" i="11"/>
  <c r="N43" i="11" s="1"/>
  <c r="P43" i="11" s="1"/>
  <c r="D6" i="11"/>
  <c r="G6" i="11"/>
  <c r="L6" i="11" s="1"/>
  <c r="O6" i="11" s="1"/>
  <c r="E6" i="11"/>
  <c r="H104" i="11"/>
  <c r="L104" i="11" s="1"/>
  <c r="O104" i="11" s="1"/>
  <c r="D49" i="11"/>
  <c r="F36" i="11"/>
  <c r="K36" i="11" s="1"/>
  <c r="F64" i="11"/>
  <c r="K64" i="11" s="1"/>
  <c r="H96" i="11"/>
  <c r="L96" i="11" s="1"/>
  <c r="O96" i="11" s="1"/>
  <c r="F62" i="11"/>
  <c r="K62" i="11" s="1"/>
  <c r="F83" i="11"/>
  <c r="K83" i="11" s="1"/>
  <c r="G125" i="11"/>
  <c r="D125" i="11"/>
  <c r="D97" i="11"/>
  <c r="G97" i="11"/>
  <c r="L97" i="11" s="1"/>
  <c r="O97" i="11" s="1"/>
  <c r="G108" i="11"/>
  <c r="L108" i="11" s="1"/>
  <c r="O108" i="11" s="1"/>
  <c r="D108" i="11"/>
  <c r="E108" i="11"/>
  <c r="J108" i="11" s="1"/>
  <c r="N108" i="11" s="1"/>
  <c r="P108" i="11" s="1"/>
  <c r="G62" i="11"/>
  <c r="H62" i="11"/>
  <c r="E62" i="11"/>
  <c r="D62" i="11"/>
  <c r="J62" i="11" s="1"/>
  <c r="N62" i="11" s="1"/>
  <c r="D51" i="11"/>
  <c r="G51" i="11"/>
  <c r="D101" i="11"/>
  <c r="E101" i="11"/>
  <c r="G101" i="11"/>
  <c r="D21" i="11"/>
  <c r="G21" i="11"/>
  <c r="H21" i="11"/>
  <c r="E21" i="11"/>
  <c r="G89" i="11"/>
  <c r="L89" i="11" s="1"/>
  <c r="O89" i="11" s="1"/>
  <c r="H42" i="11"/>
  <c r="L42" i="11" s="1"/>
  <c r="O42" i="11" s="1"/>
  <c r="D83" i="11"/>
  <c r="J83" i="11" s="1"/>
  <c r="N83" i="11" s="1"/>
  <c r="P83" i="11" s="1"/>
  <c r="D37" i="11"/>
  <c r="J37" i="11" s="1"/>
  <c r="N37" i="11" s="1"/>
  <c r="F105" i="11"/>
  <c r="K105" i="11" s="1"/>
  <c r="G118" i="11"/>
  <c r="F20" i="11"/>
  <c r="K20" i="11" s="1"/>
  <c r="F8" i="11"/>
  <c r="K8" i="11" s="1"/>
  <c r="G23" i="11"/>
  <c r="F42" i="11"/>
  <c r="K42" i="11" s="1"/>
  <c r="N42" i="11" s="1"/>
  <c r="G27" i="11"/>
  <c r="D27" i="11"/>
  <c r="J41" i="11"/>
  <c r="N41" i="11" s="1"/>
  <c r="P41" i="11" s="1"/>
  <c r="D109" i="11"/>
  <c r="E109" i="11"/>
  <c r="G109" i="11"/>
  <c r="H109" i="11"/>
  <c r="G52" i="11"/>
  <c r="H52" i="11"/>
  <c r="D52" i="11"/>
  <c r="J52" i="11" s="1"/>
  <c r="D12" i="11"/>
  <c r="E12" i="11"/>
  <c r="G12" i="11"/>
  <c r="D24" i="11"/>
  <c r="G24" i="11"/>
  <c r="L24" i="11" s="1"/>
  <c r="O24" i="11" s="1"/>
  <c r="E24" i="11"/>
  <c r="J24" i="11" s="1"/>
  <c r="N24" i="11" s="1"/>
  <c r="P24" i="11" s="1"/>
  <c r="D20" i="11"/>
  <c r="G20" i="11"/>
  <c r="G123" i="38"/>
  <c r="G20" i="38"/>
  <c r="H20" i="11" s="1"/>
  <c r="G112" i="38"/>
  <c r="G23" i="38"/>
  <c r="G15" i="38"/>
  <c r="E15" i="11" s="1"/>
  <c r="G27" i="38"/>
  <c r="H27" i="11" s="1"/>
  <c r="G111" i="38"/>
  <c r="H111" i="11" s="1"/>
  <c r="G16" i="38"/>
  <c r="H16" i="11" s="1"/>
  <c r="G51" i="38"/>
  <c r="E51" i="11" s="1"/>
  <c r="G45" i="38"/>
  <c r="H45" i="11" s="1"/>
  <c r="L122" i="11"/>
  <c r="O122" i="11" s="1"/>
  <c r="G58" i="38"/>
  <c r="H58" i="11" s="1"/>
  <c r="G116" i="38"/>
  <c r="H116" i="11" s="1"/>
  <c r="G82" i="38"/>
  <c r="H82" i="11" s="1"/>
  <c r="G84" i="38"/>
  <c r="E84" i="11" s="1"/>
  <c r="G55" i="38"/>
  <c r="H55" i="11" s="1"/>
  <c r="J122" i="11"/>
  <c r="F16" i="11"/>
  <c r="K16" i="11" s="1"/>
  <c r="G85" i="11"/>
  <c r="L85" i="11" s="1"/>
  <c r="O85" i="11" s="1"/>
  <c r="D85" i="11"/>
  <c r="E85" i="11"/>
  <c r="D56" i="11"/>
  <c r="G56" i="11"/>
  <c r="E56" i="11"/>
  <c r="H56" i="11"/>
  <c r="G65" i="11"/>
  <c r="D65" i="11"/>
  <c r="J65" i="11" s="1"/>
  <c r="N65" i="11" s="1"/>
  <c r="H65" i="11"/>
  <c r="L65" i="11" s="1"/>
  <c r="O65" i="11" s="1"/>
  <c r="D38" i="11"/>
  <c r="J38" i="11" s="1"/>
  <c r="N38" i="11" s="1"/>
  <c r="P38" i="11" s="1"/>
  <c r="G38" i="11"/>
  <c r="L38" i="11" s="1"/>
  <c r="O38" i="11" s="1"/>
  <c r="E38" i="11"/>
  <c r="F110" i="11"/>
  <c r="F82" i="11"/>
  <c r="K82" i="11" s="1"/>
  <c r="F68" i="11"/>
  <c r="K68" i="11" s="1"/>
  <c r="F6" i="11"/>
  <c r="K6" i="11" s="1"/>
  <c r="D123" i="11"/>
  <c r="H68" i="11"/>
  <c r="L68" i="11" s="1"/>
  <c r="O68" i="11" s="1"/>
  <c r="E68" i="11"/>
  <c r="D68" i="11"/>
  <c r="J68" i="11" s="1"/>
  <c r="N68" i="11" s="1"/>
  <c r="D17" i="11"/>
  <c r="J17" i="11" s="1"/>
  <c r="N17" i="11" s="1"/>
  <c r="G17" i="11"/>
  <c r="H17" i="11"/>
  <c r="H117" i="11"/>
  <c r="D117" i="11"/>
  <c r="G117" i="11"/>
  <c r="E117" i="11"/>
  <c r="D119" i="11"/>
  <c r="H119" i="11"/>
  <c r="E119" i="11"/>
  <c r="G119" i="11"/>
  <c r="G79" i="11"/>
  <c r="D79" i="11"/>
  <c r="G10" i="11"/>
  <c r="H10" i="11"/>
  <c r="D10" i="11"/>
  <c r="J10" i="11" s="1"/>
  <c r="G29" i="11"/>
  <c r="D29" i="11"/>
  <c r="J29" i="11" s="1"/>
  <c r="N29" i="11" s="1"/>
  <c r="H36" i="11"/>
  <c r="E36" i="11"/>
  <c r="D36" i="11"/>
  <c r="G36" i="11"/>
  <c r="L36" i="11" s="1"/>
  <c r="O36" i="11" s="1"/>
  <c r="G50" i="11"/>
  <c r="F5" i="11"/>
  <c r="K5" i="11" s="1"/>
  <c r="F71" i="11"/>
  <c r="K71" i="11" s="1"/>
  <c r="D59" i="11"/>
  <c r="G73" i="11"/>
  <c r="F44" i="11"/>
  <c r="K44" i="11" s="1"/>
  <c r="N44" i="11" s="1"/>
  <c r="F86" i="11"/>
  <c r="K86" i="11" s="1"/>
  <c r="F52" i="11"/>
  <c r="K52" i="11" s="1"/>
  <c r="D69" i="11"/>
  <c r="G69" i="11"/>
  <c r="E69" i="11"/>
  <c r="D116" i="11"/>
  <c r="G116" i="11"/>
  <c r="D77" i="11"/>
  <c r="G77" i="11"/>
  <c r="D102" i="11"/>
  <c r="G102" i="11"/>
  <c r="H102" i="11"/>
  <c r="J89" i="11"/>
  <c r="F75" i="11"/>
  <c r="K75" i="11" s="1"/>
  <c r="F13" i="11"/>
  <c r="K13" i="11" s="1"/>
  <c r="H118" i="11"/>
  <c r="G63" i="11"/>
  <c r="D87" i="11"/>
  <c r="J87" i="11" s="1"/>
  <c r="N87" i="11" s="1"/>
  <c r="F93" i="11"/>
  <c r="K93" i="11" s="1"/>
  <c r="N93" i="11" s="1"/>
  <c r="P93" i="11" s="1"/>
  <c r="F19" i="11"/>
  <c r="K19" i="11" s="1"/>
  <c r="F54" i="11"/>
  <c r="K54" i="11" s="1"/>
  <c r="N54" i="11" s="1"/>
  <c r="F15" i="11"/>
  <c r="K15" i="11" s="1"/>
  <c r="G54" i="11"/>
  <c r="L54" i="11" s="1"/>
  <c r="O54" i="11" s="1"/>
  <c r="F90" i="11"/>
  <c r="K90" i="11" s="1"/>
  <c r="N90" i="11" s="1"/>
  <c r="P90" i="11" s="1"/>
  <c r="J91" i="11"/>
  <c r="N91" i="11" s="1"/>
  <c r="P91" i="11" s="1"/>
  <c r="E98" i="11"/>
  <c r="H98" i="11"/>
  <c r="D98" i="11"/>
  <c r="G98" i="11"/>
  <c r="E76" i="11"/>
  <c r="J76" i="11" s="1"/>
  <c r="N76" i="11" s="1"/>
  <c r="P76" i="11" s="1"/>
  <c r="E96" i="11"/>
  <c r="P87" i="11" l="1"/>
  <c r="L102" i="11"/>
  <c r="O102" i="11" s="1"/>
  <c r="H77" i="11"/>
  <c r="L77" i="11" s="1"/>
  <c r="O77" i="11" s="1"/>
  <c r="J36" i="11"/>
  <c r="N36" i="11" s="1"/>
  <c r="P36" i="11" s="1"/>
  <c r="H29" i="11"/>
  <c r="L127" i="11"/>
  <c r="O127" i="11" s="1"/>
  <c r="P104" i="11"/>
  <c r="L61" i="11"/>
  <c r="O61" i="11" s="1"/>
  <c r="J106" i="11"/>
  <c r="J95" i="11"/>
  <c r="N95" i="11" s="1"/>
  <c r="P95" i="11" s="1"/>
  <c r="L125" i="11"/>
  <c r="O125" i="11" s="1"/>
  <c r="P120" i="11"/>
  <c r="P80" i="11"/>
  <c r="J102" i="11"/>
  <c r="N102" i="11" s="1"/>
  <c r="P102" i="11" s="1"/>
  <c r="L116" i="11"/>
  <c r="O116" i="11" s="1"/>
  <c r="P44" i="11"/>
  <c r="H79" i="11"/>
  <c r="P68" i="11"/>
  <c r="L109" i="11"/>
  <c r="O109" i="11" s="1"/>
  <c r="L71" i="11"/>
  <c r="O71" i="11" s="1"/>
  <c r="J127" i="11"/>
  <c r="L64" i="11"/>
  <c r="O64" i="11" s="1"/>
  <c r="P54" i="11"/>
  <c r="N89" i="11"/>
  <c r="P89" i="11" s="1"/>
  <c r="N10" i="11"/>
  <c r="J79" i="11"/>
  <c r="N79" i="11" s="1"/>
  <c r="L12" i="11"/>
  <c r="O12" i="11" s="1"/>
  <c r="L52" i="11"/>
  <c r="O52" i="11" s="1"/>
  <c r="P37" i="11"/>
  <c r="L101" i="11"/>
  <c r="O101" i="11" s="1"/>
  <c r="L62" i="11"/>
  <c r="O62" i="11" s="1"/>
  <c r="E97" i="11"/>
  <c r="J97" i="11" s="1"/>
  <c r="N97" i="11" s="1"/>
  <c r="P97" i="11" s="1"/>
  <c r="E125" i="11"/>
  <c r="J6" i="11"/>
  <c r="N6" i="11" s="1"/>
  <c r="P6" i="11" s="1"/>
  <c r="L120" i="11"/>
  <c r="O120" i="11" s="1"/>
  <c r="L106" i="11"/>
  <c r="O106" i="11" s="1"/>
  <c r="L117" i="11"/>
  <c r="O117" i="11" s="1"/>
  <c r="L27" i="11"/>
  <c r="O27" i="11" s="1"/>
  <c r="L118" i="11"/>
  <c r="O118" i="11" s="1"/>
  <c r="J51" i="11"/>
  <c r="N51" i="11" s="1"/>
  <c r="K7" i="11"/>
  <c r="N7" i="11" s="1"/>
  <c r="P7" i="11" s="1"/>
  <c r="K21" i="11"/>
  <c r="K28" i="11"/>
  <c r="N5" i="11"/>
  <c r="K84" i="11"/>
  <c r="E99" i="11"/>
  <c r="J110" i="11"/>
  <c r="E49" i="11"/>
  <c r="J49" i="11" s="1"/>
  <c r="H49" i="11"/>
  <c r="L49" i="11" s="1"/>
  <c r="O49" i="11" s="1"/>
  <c r="H63" i="11"/>
  <c r="L63" i="11" s="1"/>
  <c r="O63" i="11" s="1"/>
  <c r="E63" i="11"/>
  <c r="J63" i="11" s="1"/>
  <c r="L105" i="11"/>
  <c r="O105" i="11" s="1"/>
  <c r="L111" i="11"/>
  <c r="O111" i="11" s="1"/>
  <c r="N86" i="11"/>
  <c r="E58" i="11"/>
  <c r="J35" i="11"/>
  <c r="N35" i="11" s="1"/>
  <c r="E45" i="11"/>
  <c r="E16" i="11"/>
  <c r="J16" i="11" s="1"/>
  <c r="N16" i="11" s="1"/>
  <c r="L55" i="11"/>
  <c r="O55" i="11" s="1"/>
  <c r="N122" i="11"/>
  <c r="P122" i="11" s="1"/>
  <c r="L47" i="11"/>
  <c r="O47" i="11" s="1"/>
  <c r="E82" i="11"/>
  <c r="J82" i="11" s="1"/>
  <c r="N82" i="11" s="1"/>
  <c r="L79" i="11"/>
  <c r="O79" i="11" s="1"/>
  <c r="P79" i="11" s="1"/>
  <c r="J119" i="11"/>
  <c r="N119" i="11" s="1"/>
  <c r="J117" i="11"/>
  <c r="N117" i="11" s="1"/>
  <c r="P117" i="11" s="1"/>
  <c r="K110" i="11"/>
  <c r="P65" i="11"/>
  <c r="L56" i="11"/>
  <c r="O56" i="11" s="1"/>
  <c r="H23" i="11"/>
  <c r="L23" i="11" s="1"/>
  <c r="O23" i="11" s="1"/>
  <c r="E23" i="11"/>
  <c r="J23" i="11" s="1"/>
  <c r="N23" i="11" s="1"/>
  <c r="J109" i="11"/>
  <c r="N109" i="11" s="1"/>
  <c r="E27" i="11"/>
  <c r="L21" i="11"/>
  <c r="O21" i="11" s="1"/>
  <c r="J101" i="11"/>
  <c r="N101" i="11" s="1"/>
  <c r="P101" i="11" s="1"/>
  <c r="P62" i="11"/>
  <c r="H84" i="11"/>
  <c r="L13" i="11"/>
  <c r="O13" i="11" s="1"/>
  <c r="N71" i="11"/>
  <c r="J103" i="11"/>
  <c r="E126" i="11"/>
  <c r="J126" i="11" s="1"/>
  <c r="N126" i="11" s="1"/>
  <c r="H126" i="11"/>
  <c r="L126" i="11" s="1"/>
  <c r="O126" i="11" s="1"/>
  <c r="H14" i="11"/>
  <c r="L14" i="11" s="1"/>
  <c r="O14" i="11" s="1"/>
  <c r="E14" i="11"/>
  <c r="J14" i="11" s="1"/>
  <c r="N14" i="11" s="1"/>
  <c r="P14" i="11" s="1"/>
  <c r="P118" i="11"/>
  <c r="J22" i="11"/>
  <c r="N22" i="11" s="1"/>
  <c r="P22" i="11" s="1"/>
  <c r="L113" i="11"/>
  <c r="O113" i="11" s="1"/>
  <c r="J96" i="11"/>
  <c r="J61" i="11"/>
  <c r="N61" i="11" s="1"/>
  <c r="N127" i="11"/>
  <c r="P127" i="11" s="1"/>
  <c r="L99" i="11"/>
  <c r="O99" i="11" s="1"/>
  <c r="J105" i="11"/>
  <c r="N105" i="11" s="1"/>
  <c r="P105" i="11" s="1"/>
  <c r="L58" i="11"/>
  <c r="O58" i="11" s="1"/>
  <c r="L35" i="11"/>
  <c r="O35" i="11" s="1"/>
  <c r="J66" i="11"/>
  <c r="N66" i="11" s="1"/>
  <c r="K70" i="11"/>
  <c r="L34" i="11"/>
  <c r="O34" i="11" s="1"/>
  <c r="H78" i="11"/>
  <c r="L78" i="11" s="1"/>
  <c r="O78" i="11" s="1"/>
  <c r="K56" i="11"/>
  <c r="E47" i="11"/>
  <c r="J47" i="11" s="1"/>
  <c r="N47" i="11" s="1"/>
  <c r="P47" i="11" s="1"/>
  <c r="H8" i="11"/>
  <c r="K124" i="11"/>
  <c r="L98" i="11"/>
  <c r="O98" i="11" s="1"/>
  <c r="J77" i="11"/>
  <c r="N77" i="11" s="1"/>
  <c r="P77" i="11" s="1"/>
  <c r="E116" i="11"/>
  <c r="J116" i="11" s="1"/>
  <c r="N116" i="11" s="1"/>
  <c r="P116" i="11" s="1"/>
  <c r="J69" i="11"/>
  <c r="N69" i="11" s="1"/>
  <c r="P69" i="11" s="1"/>
  <c r="L29" i="11"/>
  <c r="O29" i="11" s="1"/>
  <c r="P29" i="11" s="1"/>
  <c r="L10" i="11"/>
  <c r="O10" i="11" s="1"/>
  <c r="P10" i="11" s="1"/>
  <c r="L119" i="11"/>
  <c r="O119" i="11" s="1"/>
  <c r="P119" i="11" s="1"/>
  <c r="L17" i="11"/>
  <c r="O17" i="11" s="1"/>
  <c r="J56" i="11"/>
  <c r="N56" i="11" s="1"/>
  <c r="P56" i="11" s="1"/>
  <c r="J85" i="11"/>
  <c r="N85" i="11" s="1"/>
  <c r="P85" i="11" s="1"/>
  <c r="E20" i="11"/>
  <c r="J20" i="11" s="1"/>
  <c r="N20" i="11" s="1"/>
  <c r="J12" i="11"/>
  <c r="N12" i="11" s="1"/>
  <c r="P12" i="11" s="1"/>
  <c r="P42" i="11"/>
  <c r="J21" i="11"/>
  <c r="N21" i="11" s="1"/>
  <c r="H51" i="11"/>
  <c r="L51" i="11" s="1"/>
  <c r="O51" i="11" s="1"/>
  <c r="H15" i="11"/>
  <c r="L15" i="11" s="1"/>
  <c r="O15" i="11" s="1"/>
  <c r="J84" i="11"/>
  <c r="N84" i="11" s="1"/>
  <c r="L28" i="11"/>
  <c r="O28" i="11" s="1"/>
  <c r="L75" i="11"/>
  <c r="O75" i="11" s="1"/>
  <c r="L26" i="11"/>
  <c r="O26" i="11" s="1"/>
  <c r="P26" i="11" s="1"/>
  <c r="L103" i="11"/>
  <c r="O103" i="11" s="1"/>
  <c r="L124" i="11"/>
  <c r="O124" i="11" s="1"/>
  <c r="L5" i="11"/>
  <c r="O5" i="11" s="1"/>
  <c r="J70" i="11"/>
  <c r="N70" i="11" s="1"/>
  <c r="E57" i="11"/>
  <c r="K63" i="11"/>
  <c r="J99" i="11"/>
  <c r="N99" i="11" s="1"/>
  <c r="P99" i="11" s="1"/>
  <c r="E59" i="11"/>
  <c r="J59" i="11" s="1"/>
  <c r="N59" i="11" s="1"/>
  <c r="H59" i="11"/>
  <c r="L59" i="11" s="1"/>
  <c r="O59" i="11" s="1"/>
  <c r="E111" i="11"/>
  <c r="J111" i="11" s="1"/>
  <c r="N111" i="11" s="1"/>
  <c r="P111" i="11" s="1"/>
  <c r="L86" i="11"/>
  <c r="O86" i="11" s="1"/>
  <c r="J58" i="11"/>
  <c r="N58" i="11" s="1"/>
  <c r="P58" i="11" s="1"/>
  <c r="L66" i="11"/>
  <c r="O66" i="11" s="1"/>
  <c r="P66" i="11" s="1"/>
  <c r="N64" i="11"/>
  <c r="P64" i="11" s="1"/>
  <c r="L16" i="11"/>
  <c r="O16" i="11" s="1"/>
  <c r="E55" i="11"/>
  <c r="J55" i="11" s="1"/>
  <c r="N55" i="11" s="1"/>
  <c r="P55" i="11" s="1"/>
  <c r="N106" i="11"/>
  <c r="J19" i="11"/>
  <c r="N19" i="11" s="1"/>
  <c r="P19" i="11" s="1"/>
  <c r="L8" i="11"/>
  <c r="O8" i="11" s="1"/>
  <c r="K49" i="11"/>
  <c r="E9" i="11"/>
  <c r="J9" i="11" s="1"/>
  <c r="N9" i="11" s="1"/>
  <c r="P9" i="11" s="1"/>
  <c r="H9" i="11"/>
  <c r="L9" i="11" s="1"/>
  <c r="O9" i="11" s="1"/>
  <c r="E72" i="11"/>
  <c r="J72" i="11" s="1"/>
  <c r="N72" i="11" s="1"/>
  <c r="H72" i="11"/>
  <c r="L72" i="11" s="1"/>
  <c r="O72" i="11" s="1"/>
  <c r="J98" i="11"/>
  <c r="N98" i="11" s="1"/>
  <c r="P98" i="11" s="1"/>
  <c r="P17" i="11"/>
  <c r="E112" i="11"/>
  <c r="J112" i="11" s="1"/>
  <c r="N112" i="11" s="1"/>
  <c r="H112" i="11"/>
  <c r="L112" i="11" s="1"/>
  <c r="O112" i="11" s="1"/>
  <c r="H123" i="11"/>
  <c r="L123" i="11" s="1"/>
  <c r="O123" i="11" s="1"/>
  <c r="E123" i="11"/>
  <c r="J123" i="11" s="1"/>
  <c r="N123" i="11" s="1"/>
  <c r="L20" i="11"/>
  <c r="O20" i="11" s="1"/>
  <c r="N52" i="11"/>
  <c r="P109" i="11"/>
  <c r="J27" i="11"/>
  <c r="N27" i="11" s="1"/>
  <c r="P27" i="11" s="1"/>
  <c r="J125" i="11"/>
  <c r="N125" i="11" s="1"/>
  <c r="P125" i="11" s="1"/>
  <c r="J15" i="11"/>
  <c r="N15" i="11" s="1"/>
  <c r="P15" i="11" s="1"/>
  <c r="L84" i="11"/>
  <c r="O84" i="11" s="1"/>
  <c r="J28" i="11"/>
  <c r="N75" i="11"/>
  <c r="P75" i="11" s="1"/>
  <c r="N13" i="11"/>
  <c r="L48" i="11"/>
  <c r="O48" i="11" s="1"/>
  <c r="P48" i="11" s="1"/>
  <c r="H94" i="11"/>
  <c r="L94" i="11" s="1"/>
  <c r="O94" i="11" s="1"/>
  <c r="E94" i="11"/>
  <c r="J94" i="11" s="1"/>
  <c r="N94" i="11" s="1"/>
  <c r="H50" i="11"/>
  <c r="L50" i="11" s="1"/>
  <c r="O50" i="11" s="1"/>
  <c r="E50" i="11"/>
  <c r="J50" i="11" s="1"/>
  <c r="N50" i="11" s="1"/>
  <c r="P50" i="11" s="1"/>
  <c r="H115" i="11"/>
  <c r="L115" i="11" s="1"/>
  <c r="O115" i="11" s="1"/>
  <c r="E115" i="11"/>
  <c r="J115" i="11" s="1"/>
  <c r="N115" i="11" s="1"/>
  <c r="J124" i="11"/>
  <c r="P30" i="11"/>
  <c r="P113" i="11"/>
  <c r="L70" i="11"/>
  <c r="O70" i="11" s="1"/>
  <c r="J57" i="11"/>
  <c r="N57" i="11" s="1"/>
  <c r="P57" i="11" s="1"/>
  <c r="L110" i="11"/>
  <c r="O110" i="11" s="1"/>
  <c r="K96" i="11"/>
  <c r="L45" i="11"/>
  <c r="O45" i="11" s="1"/>
  <c r="K103" i="11"/>
  <c r="E34" i="11"/>
  <c r="J34" i="11" s="1"/>
  <c r="N34" i="11" s="1"/>
  <c r="P34" i="11" s="1"/>
  <c r="J78" i="11"/>
  <c r="N78" i="11" s="1"/>
  <c r="D45" i="11"/>
  <c r="F45" i="11"/>
  <c r="L82" i="11"/>
  <c r="O82" i="11" s="1"/>
  <c r="J8" i="11"/>
  <c r="N8" i="11" s="1"/>
  <c r="E73" i="11"/>
  <c r="J73" i="11" s="1"/>
  <c r="N73" i="11" s="1"/>
  <c r="P73" i="11" s="1"/>
  <c r="H73" i="11"/>
  <c r="L73" i="11" s="1"/>
  <c r="O73" i="11" s="1"/>
  <c r="P20" i="11" l="1"/>
  <c r="P8" i="11"/>
  <c r="P78" i="11"/>
  <c r="N28" i="11"/>
  <c r="P28" i="11" s="1"/>
  <c r="P21" i="11"/>
  <c r="P61" i="11"/>
  <c r="P126" i="11"/>
  <c r="P106" i="11"/>
  <c r="P13" i="11"/>
  <c r="P52" i="11"/>
  <c r="P70" i="11"/>
  <c r="P71" i="11"/>
  <c r="N124" i="11"/>
  <c r="P124" i="11" s="1"/>
  <c r="P112" i="11"/>
  <c r="P59" i="11"/>
  <c r="N103" i="11"/>
  <c r="P103" i="11" s="1"/>
  <c r="P23" i="11"/>
  <c r="P16" i="11"/>
  <c r="E121" i="38"/>
  <c r="D11" i="38"/>
  <c r="D39" i="38"/>
  <c r="D128" i="38"/>
  <c r="K45" i="11"/>
  <c r="P115" i="11"/>
  <c r="P94" i="11"/>
  <c r="P123" i="11"/>
  <c r="P82" i="11"/>
  <c r="J45" i="11"/>
  <c r="P86" i="11"/>
  <c r="N49" i="11"/>
  <c r="P49" i="11" s="1"/>
  <c r="E100" i="38"/>
  <c r="D88" i="38"/>
  <c r="E60" i="38"/>
  <c r="E67" i="38"/>
  <c r="P84" i="11"/>
  <c r="N96" i="11"/>
  <c r="P96" i="11" s="1"/>
  <c r="N63" i="11"/>
  <c r="P63" i="11" s="1"/>
  <c r="E114" i="38"/>
  <c r="D53" i="38"/>
  <c r="P72" i="11"/>
  <c r="P35" i="11"/>
  <c r="N110" i="11"/>
  <c r="P110" i="11" s="1"/>
  <c r="P5" i="11"/>
  <c r="P51" i="11"/>
  <c r="F39" i="38"/>
  <c r="F100" i="38"/>
  <c r="H121" i="38"/>
  <c r="F74" i="38"/>
  <c r="F46" i="38"/>
  <c r="F114" i="38"/>
  <c r="H67" i="38"/>
  <c r="F88" i="38"/>
  <c r="H60" i="38"/>
  <c r="H114" i="38"/>
  <c r="F67" i="38"/>
  <c r="F81" i="38"/>
  <c r="F121" i="38"/>
  <c r="F18" i="38"/>
  <c r="F32" i="38"/>
  <c r="F11" i="38"/>
  <c r="F60" i="38"/>
  <c r="F128" i="38"/>
  <c r="F25" i="38"/>
  <c r="F107" i="38"/>
  <c r="F53" i="38"/>
  <c r="H100" i="38"/>
  <c r="H39" i="38"/>
  <c r="E107" i="38" l="1"/>
  <c r="D32" i="38"/>
  <c r="E74" i="38"/>
  <c r="D60" i="38"/>
  <c r="I100" i="38"/>
  <c r="J100" i="38"/>
  <c r="I81" i="38"/>
  <c r="J81" i="38"/>
  <c r="I88" i="38"/>
  <c r="J88" i="38"/>
  <c r="I32" i="38"/>
  <c r="J32" i="38"/>
  <c r="J107" i="38"/>
  <c r="I107" i="38"/>
  <c r="E46" i="38"/>
  <c r="D67" i="38"/>
  <c r="D46" i="38"/>
  <c r="D107" i="38"/>
  <c r="E32" i="38"/>
  <c r="E81" i="38"/>
  <c r="D25" i="38"/>
  <c r="E39" i="38"/>
  <c r="I128" i="38"/>
  <c r="J128" i="38"/>
  <c r="D88" i="11"/>
  <c r="J74" i="38"/>
  <c r="I74" i="38"/>
  <c r="N45" i="11"/>
  <c r="P45" i="11" s="1"/>
  <c r="I53" i="38"/>
  <c r="J53" i="38"/>
  <c r="D18" i="38"/>
  <c r="E18" i="38"/>
  <c r="D74" i="38"/>
  <c r="D81" i="38"/>
  <c r="E128" i="38"/>
  <c r="D53" i="11"/>
  <c r="J25" i="38"/>
  <c r="I25" i="38"/>
  <c r="I60" i="38"/>
  <c r="F60" i="11" s="1"/>
  <c r="J60" i="38"/>
  <c r="I11" i="38"/>
  <c r="D11" i="11" s="1"/>
  <c r="J11" i="38"/>
  <c r="I18" i="38"/>
  <c r="J18" i="38"/>
  <c r="I121" i="38"/>
  <c r="F121" i="11" s="1"/>
  <c r="J121" i="38"/>
  <c r="E25" i="38"/>
  <c r="E88" i="38"/>
  <c r="D121" i="38"/>
  <c r="E11" i="38"/>
  <c r="D114" i="38"/>
  <c r="E53" i="38"/>
  <c r="D100" i="38"/>
  <c r="J39" i="38"/>
  <c r="D39" i="11" s="1"/>
  <c r="I39" i="38"/>
  <c r="J67" i="38"/>
  <c r="I67" i="38"/>
  <c r="J114" i="38"/>
  <c r="I114" i="38"/>
  <c r="H46" i="38"/>
  <c r="H32" i="38"/>
  <c r="H81" i="38"/>
  <c r="H18" i="38"/>
  <c r="H25" i="38"/>
  <c r="H11" i="38"/>
  <c r="H53" i="38"/>
  <c r="G53" i="11" s="1"/>
  <c r="H107" i="38"/>
  <c r="H74" i="38"/>
  <c r="H88" i="38"/>
  <c r="G88" i="11" s="1"/>
  <c r="H128" i="38"/>
  <c r="G128" i="11" s="1"/>
  <c r="G39" i="11" l="1"/>
  <c r="F67" i="11"/>
  <c r="M26" i="51"/>
  <c r="J20" i="51"/>
  <c r="M24" i="51"/>
  <c r="J24" i="51"/>
  <c r="M31" i="51"/>
  <c r="G88" i="38"/>
  <c r="G18" i="38"/>
  <c r="H18" i="11" s="1"/>
  <c r="N21" i="51" s="1"/>
  <c r="G11" i="38"/>
  <c r="G67" i="38"/>
  <c r="E67" i="11" s="1"/>
  <c r="K28" i="51" s="1"/>
  <c r="G128" i="38"/>
  <c r="K67" i="11"/>
  <c r="L28" i="51"/>
  <c r="P28" i="51" s="1"/>
  <c r="F32" i="11"/>
  <c r="F81" i="11"/>
  <c r="G25" i="38"/>
  <c r="E25" i="11" s="1"/>
  <c r="K22" i="51" s="1"/>
  <c r="G32" i="38"/>
  <c r="E32" i="11" s="1"/>
  <c r="K23" i="51" s="1"/>
  <c r="G46" i="38"/>
  <c r="E46" i="11" s="1"/>
  <c r="K25" i="51" s="1"/>
  <c r="K121" i="11"/>
  <c r="L35" i="51"/>
  <c r="P35" i="51" s="1"/>
  <c r="F11" i="11"/>
  <c r="F25" i="11"/>
  <c r="J26" i="51"/>
  <c r="D81" i="11"/>
  <c r="G81" i="11"/>
  <c r="F53" i="11"/>
  <c r="F128" i="11"/>
  <c r="D107" i="11"/>
  <c r="G107" i="11"/>
  <c r="D67" i="11"/>
  <c r="G67" i="11"/>
  <c r="F107" i="11"/>
  <c r="F100" i="11"/>
  <c r="G107" i="38"/>
  <c r="E107" i="11" s="1"/>
  <c r="K33" i="51" s="1"/>
  <c r="G100" i="38"/>
  <c r="H100" i="11" s="1"/>
  <c r="N32" i="51" s="1"/>
  <c r="G114" i="38"/>
  <c r="H114" i="11" s="1"/>
  <c r="N34" i="51" s="1"/>
  <c r="G60" i="38"/>
  <c r="H60" i="11" s="1"/>
  <c r="N27" i="51" s="1"/>
  <c r="G53" i="38"/>
  <c r="F114" i="11"/>
  <c r="F39" i="11"/>
  <c r="D121" i="11"/>
  <c r="G121" i="11"/>
  <c r="G18" i="11"/>
  <c r="D18" i="11"/>
  <c r="F88" i="11"/>
  <c r="D60" i="11"/>
  <c r="E60" i="11"/>
  <c r="K27" i="51" s="1"/>
  <c r="G60" i="11"/>
  <c r="G32" i="11"/>
  <c r="D32" i="11"/>
  <c r="H32" i="11"/>
  <c r="N23" i="51" s="1"/>
  <c r="M36" i="51"/>
  <c r="G81" i="38"/>
  <c r="H81" i="11" s="1"/>
  <c r="N30" i="51" s="1"/>
  <c r="G121" i="38"/>
  <c r="H121" i="11" s="1"/>
  <c r="N35" i="51" s="1"/>
  <c r="G39" i="38"/>
  <c r="G74" i="38"/>
  <c r="E74" i="11" s="1"/>
  <c r="K29" i="51" s="1"/>
  <c r="G100" i="11"/>
  <c r="E100" i="11"/>
  <c r="K32" i="51" s="1"/>
  <c r="D100" i="11"/>
  <c r="G114" i="11"/>
  <c r="D114" i="11"/>
  <c r="E114" i="11"/>
  <c r="K34" i="51" s="1"/>
  <c r="F18" i="11"/>
  <c r="K60" i="11"/>
  <c r="L27" i="51"/>
  <c r="P27" i="51" s="1"/>
  <c r="D74" i="11"/>
  <c r="G74" i="11"/>
  <c r="I46" i="38"/>
  <c r="J46" i="38"/>
  <c r="D46" i="11" s="1"/>
  <c r="G11" i="11"/>
  <c r="D128" i="11"/>
  <c r="F74" i="11"/>
  <c r="J31" i="51"/>
  <c r="G25" i="11"/>
  <c r="D25" i="11"/>
  <c r="H25" i="11" l="1"/>
  <c r="N22" i="51" s="1"/>
  <c r="E18" i="11"/>
  <c r="K21" i="51" s="1"/>
  <c r="H67" i="11"/>
  <c r="N28" i="51" s="1"/>
  <c r="J46" i="11"/>
  <c r="J25" i="51"/>
  <c r="O25" i="51" s="1"/>
  <c r="M22" i="51"/>
  <c r="J36" i="51"/>
  <c r="L114" i="11"/>
  <c r="O114" i="11" s="1"/>
  <c r="M34" i="51"/>
  <c r="Q34" i="51" s="1"/>
  <c r="L18" i="11"/>
  <c r="O18" i="11" s="1"/>
  <c r="M21" i="51"/>
  <c r="Q21" i="51" s="1"/>
  <c r="K114" i="11"/>
  <c r="L34" i="51"/>
  <c r="P34" i="51" s="1"/>
  <c r="M33" i="51"/>
  <c r="K128" i="11"/>
  <c r="L36" i="51"/>
  <c r="P36" i="51" s="1"/>
  <c r="J30" i="51"/>
  <c r="K11" i="11"/>
  <c r="L20" i="51"/>
  <c r="P20" i="51" s="1"/>
  <c r="H128" i="11"/>
  <c r="E128" i="11"/>
  <c r="E11" i="11"/>
  <c r="J11" i="11" s="1"/>
  <c r="N11" i="11" s="1"/>
  <c r="H11" i="11"/>
  <c r="N20" i="51" s="1"/>
  <c r="E88" i="11"/>
  <c r="H88" i="11"/>
  <c r="G46" i="11"/>
  <c r="M20" i="51"/>
  <c r="F46" i="11"/>
  <c r="M29" i="51"/>
  <c r="J100" i="11"/>
  <c r="J32" i="51"/>
  <c r="O32" i="51" s="1"/>
  <c r="J32" i="11"/>
  <c r="J23" i="51"/>
  <c r="O23" i="51" s="1"/>
  <c r="J60" i="11"/>
  <c r="N60" i="11" s="1"/>
  <c r="J27" i="51"/>
  <c r="O27" i="51" s="1"/>
  <c r="R27" i="51" s="1"/>
  <c r="L121" i="11"/>
  <c r="O121" i="11" s="1"/>
  <c r="M35" i="51"/>
  <c r="Q35" i="51" s="1"/>
  <c r="H53" i="11"/>
  <c r="E53" i="11"/>
  <c r="K107" i="11"/>
  <c r="L33" i="51"/>
  <c r="P33" i="51" s="1"/>
  <c r="L67" i="11"/>
  <c r="O67" i="11" s="1"/>
  <c r="M28" i="51"/>
  <c r="Q28" i="51" s="1"/>
  <c r="J107" i="11"/>
  <c r="N107" i="11" s="1"/>
  <c r="J33" i="51"/>
  <c r="O33" i="51" s="1"/>
  <c r="R33" i="51" s="1"/>
  <c r="K53" i="11"/>
  <c r="L26" i="51"/>
  <c r="P26" i="51" s="1"/>
  <c r="K81" i="11"/>
  <c r="L30" i="51"/>
  <c r="P30" i="51" s="1"/>
  <c r="H46" i="11"/>
  <c r="N25" i="51" s="1"/>
  <c r="H74" i="11"/>
  <c r="N29" i="51" s="1"/>
  <c r="K18" i="11"/>
  <c r="L21" i="51"/>
  <c r="P21" i="51" s="1"/>
  <c r="H39" i="11"/>
  <c r="E39" i="11"/>
  <c r="L32" i="11"/>
  <c r="O32" i="11" s="1"/>
  <c r="M23" i="51"/>
  <c r="Q23" i="51" s="1"/>
  <c r="K88" i="11"/>
  <c r="L31" i="51"/>
  <c r="P31" i="51" s="1"/>
  <c r="E121" i="11"/>
  <c r="K35" i="51" s="1"/>
  <c r="K100" i="11"/>
  <c r="L32" i="51"/>
  <c r="P32" i="51" s="1"/>
  <c r="J67" i="11"/>
  <c r="N67" i="11" s="1"/>
  <c r="P67" i="11" s="1"/>
  <c r="J28" i="51"/>
  <c r="O28" i="51" s="1"/>
  <c r="R28" i="51" s="1"/>
  <c r="E81" i="11"/>
  <c r="K30" i="51" s="1"/>
  <c r="K32" i="11"/>
  <c r="L23" i="51"/>
  <c r="P23" i="51" s="1"/>
  <c r="J25" i="11"/>
  <c r="J22" i="51"/>
  <c r="O22" i="51" s="1"/>
  <c r="K74" i="11"/>
  <c r="L29" i="51"/>
  <c r="P29" i="51" s="1"/>
  <c r="J74" i="11"/>
  <c r="N74" i="11" s="1"/>
  <c r="J29" i="51"/>
  <c r="O29" i="51" s="1"/>
  <c r="R29" i="51" s="1"/>
  <c r="J114" i="11"/>
  <c r="N114" i="11" s="1"/>
  <c r="P114" i="11" s="1"/>
  <c r="J34" i="51"/>
  <c r="O34" i="51" s="1"/>
  <c r="L100" i="11"/>
  <c r="O100" i="11" s="1"/>
  <c r="M32" i="51"/>
  <c r="Q32" i="51" s="1"/>
  <c r="L60" i="11"/>
  <c r="O60" i="11" s="1"/>
  <c r="M27" i="51"/>
  <c r="Q27" i="51" s="1"/>
  <c r="J21" i="51"/>
  <c r="J121" i="11"/>
  <c r="N121" i="11" s="1"/>
  <c r="P121" i="11" s="1"/>
  <c r="J35" i="51"/>
  <c r="K39" i="11"/>
  <c r="L24" i="51"/>
  <c r="P24" i="51" s="1"/>
  <c r="H107" i="11"/>
  <c r="N33" i="51" s="1"/>
  <c r="L81" i="11"/>
  <c r="O81" i="11" s="1"/>
  <c r="M30" i="51"/>
  <c r="Q30" i="51" s="1"/>
  <c r="K25" i="11"/>
  <c r="L22" i="51"/>
  <c r="P22" i="51" s="1"/>
  <c r="O35" i="51" l="1"/>
  <c r="R35" i="51" s="1"/>
  <c r="Q22" i="51"/>
  <c r="S35" i="51"/>
  <c r="L25" i="11"/>
  <c r="O25" i="11" s="1"/>
  <c r="O21" i="51"/>
  <c r="R21" i="51" s="1"/>
  <c r="S21" i="51" s="1"/>
  <c r="R34" i="51"/>
  <c r="S34" i="51" s="1"/>
  <c r="L11" i="11"/>
  <c r="O11" i="11" s="1"/>
  <c r="J18" i="11"/>
  <c r="N18" i="11" s="1"/>
  <c r="P18" i="11" s="1"/>
  <c r="N25" i="11"/>
  <c r="P25" i="11" s="1"/>
  <c r="S28" i="51"/>
  <c r="N26" i="51"/>
  <c r="Q26" i="51" s="1"/>
  <c r="L53" i="11"/>
  <c r="O53" i="11" s="1"/>
  <c r="N32" i="11"/>
  <c r="P32" i="11" s="1"/>
  <c r="Q29" i="51"/>
  <c r="S29" i="51" s="1"/>
  <c r="K24" i="51"/>
  <c r="O24" i="51" s="1"/>
  <c r="R24" i="51" s="1"/>
  <c r="J39" i="11"/>
  <c r="N39" i="11" s="1"/>
  <c r="S27" i="51"/>
  <c r="R32" i="51"/>
  <c r="S32" i="51" s="1"/>
  <c r="L74" i="11"/>
  <c r="O74" i="11" s="1"/>
  <c r="L46" i="11"/>
  <c r="O46" i="11" s="1"/>
  <c r="M25" i="51"/>
  <c r="Q25" i="51" s="1"/>
  <c r="P11" i="11"/>
  <c r="P74" i="11"/>
  <c r="N24" i="51"/>
  <c r="Q24" i="51" s="1"/>
  <c r="S24" i="51" s="1"/>
  <c r="L39" i="11"/>
  <c r="O39" i="11" s="1"/>
  <c r="P60" i="11"/>
  <c r="N100" i="11"/>
  <c r="P100" i="11" s="1"/>
  <c r="K46" i="11"/>
  <c r="N46" i="11" s="1"/>
  <c r="P46" i="11" s="1"/>
  <c r="L25" i="51"/>
  <c r="P25" i="51" s="1"/>
  <c r="R25" i="51" s="1"/>
  <c r="S25" i="51" s="1"/>
  <c r="N31" i="51"/>
  <c r="Q31" i="51" s="1"/>
  <c r="L88" i="11"/>
  <c r="O88" i="11" s="1"/>
  <c r="K36" i="51"/>
  <c r="O36" i="51" s="1"/>
  <c r="R36" i="51" s="1"/>
  <c r="K20" i="51"/>
  <c r="O20" i="51" s="1"/>
  <c r="R20" i="51" s="1"/>
  <c r="O30" i="51"/>
  <c r="R30" i="51" s="1"/>
  <c r="S30" i="51" s="1"/>
  <c r="Q33" i="51"/>
  <c r="S33" i="51" s="1"/>
  <c r="J128" i="11"/>
  <c r="N128" i="11" s="1"/>
  <c r="R22" i="51"/>
  <c r="S22" i="51" s="1"/>
  <c r="K26" i="51"/>
  <c r="O26" i="51" s="1"/>
  <c r="R26" i="51" s="1"/>
  <c r="J53" i="11"/>
  <c r="N53" i="11" s="1"/>
  <c r="P53" i="11" s="1"/>
  <c r="R23" i="51"/>
  <c r="S23" i="51" s="1"/>
  <c r="Q20" i="51"/>
  <c r="K31" i="51"/>
  <c r="O31" i="51" s="1"/>
  <c r="R31" i="51" s="1"/>
  <c r="J88" i="11"/>
  <c r="N88" i="11" s="1"/>
  <c r="P88" i="11" s="1"/>
  <c r="N36" i="51"/>
  <c r="Q36" i="51" s="1"/>
  <c r="L128" i="11"/>
  <c r="O128" i="11" s="1"/>
  <c r="P128" i="11" s="1"/>
  <c r="J81" i="11"/>
  <c r="N81" i="11" s="1"/>
  <c r="P81" i="11" s="1"/>
  <c r="L107" i="11"/>
  <c r="O107" i="11" s="1"/>
  <c r="P107" i="11" s="1"/>
  <c r="S36" i="51" l="1"/>
  <c r="P39" i="11"/>
  <c r="S26" i="51"/>
  <c r="S31" i="51"/>
  <c r="S20" i="51"/>
  <c r="G35" i="51" l="1"/>
  <c r="D36" i="51" l="1"/>
  <c r="D58" i="51" s="1"/>
  <c r="D33" i="51"/>
  <c r="D55" i="51" s="1"/>
  <c r="D31" i="51"/>
  <c r="D53" i="51" s="1"/>
  <c r="G30" i="51"/>
  <c r="D35" i="51"/>
  <c r="D57" i="51" s="1"/>
  <c r="G33" i="51"/>
  <c r="D32" i="51"/>
  <c r="D54" i="51" s="1"/>
  <c r="G31" i="51"/>
  <c r="H57" i="51"/>
  <c r="E57" i="51"/>
  <c r="G32" i="51"/>
  <c r="D34" i="51"/>
  <c r="D56" i="51" s="1"/>
  <c r="G36" i="51"/>
  <c r="G34" i="51"/>
  <c r="D30" i="51"/>
  <c r="D52" i="51" s="1"/>
  <c r="F31" i="51" l="1"/>
  <c r="C53" i="51" s="1"/>
  <c r="F34" i="51"/>
  <c r="C56" i="51" s="1"/>
  <c r="F35" i="51"/>
  <c r="C57" i="51" s="1"/>
  <c r="F33" i="51"/>
  <c r="C55" i="51" s="1"/>
  <c r="H58" i="51"/>
  <c r="E58" i="51"/>
  <c r="E52" i="51"/>
  <c r="H52" i="51"/>
  <c r="F32" i="51"/>
  <c r="C54" i="51" s="1"/>
  <c r="H53" i="51"/>
  <c r="E53" i="51"/>
  <c r="F30" i="51"/>
  <c r="C52" i="51" s="1"/>
  <c r="F36" i="51"/>
  <c r="C58" i="51" s="1"/>
  <c r="E56" i="51"/>
  <c r="H56" i="51"/>
  <c r="E54" i="51"/>
  <c r="H54" i="51"/>
  <c r="E55" i="51"/>
  <c r="H55" i="51"/>
  <c r="C30" i="51"/>
  <c r="H30" i="51" s="1"/>
  <c r="T30" i="51" s="1"/>
  <c r="F52" i="51" s="1"/>
  <c r="C31" i="51"/>
  <c r="H31" i="51" s="1"/>
  <c r="T31" i="51" s="1"/>
  <c r="F53" i="51" s="1"/>
  <c r="C32" i="51"/>
  <c r="H32" i="51" s="1"/>
  <c r="T32" i="51" s="1"/>
  <c r="F54" i="51" s="1"/>
  <c r="C33" i="51"/>
  <c r="H33" i="51" s="1"/>
  <c r="T33" i="51" s="1"/>
  <c r="F55" i="51" s="1"/>
  <c r="C34" i="51"/>
  <c r="H34" i="51" s="1"/>
  <c r="T34" i="51" s="1"/>
  <c r="F56" i="51" s="1"/>
  <c r="C36" i="51"/>
  <c r="H36" i="51" s="1"/>
  <c r="T36" i="51" s="1"/>
  <c r="F58" i="51" s="1"/>
  <c r="C35" i="51" l="1"/>
  <c r="H35" i="51" s="1"/>
  <c r="T35" i="51" s="1"/>
  <c r="F57" i="51" s="1"/>
  <c r="E31" i="51"/>
  <c r="I31" i="51" s="1"/>
  <c r="U31" i="51" s="1"/>
  <c r="G53" i="51" s="1"/>
  <c r="E32" i="51"/>
  <c r="I32" i="51" s="1"/>
  <c r="U32" i="51" s="1"/>
  <c r="G54" i="51" s="1"/>
  <c r="E33" i="51"/>
  <c r="I33" i="51" s="1"/>
  <c r="U33" i="51" s="1"/>
  <c r="G55" i="51" s="1"/>
  <c r="E34" i="51"/>
  <c r="I34" i="51" s="1"/>
  <c r="U34" i="51" s="1"/>
  <c r="G56" i="51" s="1"/>
  <c r="E36" i="51"/>
  <c r="I36" i="51" s="1"/>
  <c r="U36" i="51" s="1"/>
  <c r="G58" i="51" s="1"/>
  <c r="E30" i="51" l="1"/>
  <c r="I30" i="51" s="1"/>
  <c r="U30" i="51" s="1"/>
  <c r="G52" i="51" s="1"/>
  <c r="E35" i="51"/>
  <c r="I35" i="51" s="1"/>
  <c r="U35" i="51" s="1"/>
  <c r="G57" i="51" s="1"/>
  <c r="G25" i="51" l="1"/>
  <c r="C25" i="51" l="1"/>
  <c r="H25" i="51" s="1"/>
  <c r="T25" i="51" s="1"/>
  <c r="F47" i="51" s="1"/>
  <c r="D25" i="51"/>
  <c r="D47" i="51" s="1"/>
  <c r="E47" i="51"/>
  <c r="H47" i="51"/>
  <c r="E25" i="51"/>
  <c r="I25" i="51" s="1"/>
  <c r="U25" i="51" s="1"/>
  <c r="G47" i="51" s="1"/>
  <c r="F25" i="51" l="1"/>
  <c r="C47" i="51" s="1"/>
  <c r="G29" i="51" l="1"/>
  <c r="C29" i="51"/>
  <c r="H29" i="51" s="1"/>
  <c r="T29" i="51" s="1"/>
  <c r="F51" i="51" s="1"/>
  <c r="D29" i="51"/>
  <c r="D51" i="51" s="1"/>
  <c r="C28" i="51" l="1"/>
  <c r="D28" i="51"/>
  <c r="D50" i="51" s="1"/>
  <c r="F29" i="51"/>
  <c r="C51" i="51" s="1"/>
  <c r="E29" i="51"/>
  <c r="I29" i="51" s="1"/>
  <c r="U29" i="51" s="1"/>
  <c r="G51" i="51" s="1"/>
  <c r="E51" i="51"/>
  <c r="H51" i="51"/>
  <c r="C27" i="51" l="1"/>
  <c r="G27" i="51"/>
  <c r="D27" i="51"/>
  <c r="D49" i="51" s="1"/>
  <c r="D26" i="51" l="1"/>
  <c r="D48" i="51" s="1"/>
  <c r="F27" i="51"/>
  <c r="C49" i="51" s="1"/>
  <c r="G26" i="51"/>
  <c r="C26" i="51"/>
  <c r="H49" i="51"/>
  <c r="E49" i="51"/>
  <c r="E27" i="51"/>
  <c r="I27" i="51" s="1"/>
  <c r="U27" i="51" s="1"/>
  <c r="G49" i="51" s="1"/>
  <c r="H27" i="51"/>
  <c r="T27" i="51" s="1"/>
  <c r="F49" i="51" s="1"/>
  <c r="E26" i="51" l="1"/>
  <c r="I26" i="51" s="1"/>
  <c r="U26" i="51" s="1"/>
  <c r="G48" i="51" s="1"/>
  <c r="H26" i="51"/>
  <c r="T26" i="51" s="1"/>
  <c r="F48" i="51" s="1"/>
  <c r="F26" i="51"/>
  <c r="C48" i="51" s="1"/>
  <c r="H48" i="51"/>
  <c r="E48" i="51"/>
  <c r="C23" i="51"/>
  <c r="C24" i="51" l="1"/>
  <c r="D23" i="51"/>
  <c r="D45" i="51" s="1"/>
  <c r="D24" i="51"/>
  <c r="D46" i="51" s="1"/>
  <c r="D22" i="51" l="1"/>
  <c r="D44" i="51" s="1"/>
  <c r="C22" i="51"/>
  <c r="G22" i="51"/>
  <c r="H22" i="51" l="1"/>
  <c r="T22" i="51" s="1"/>
  <c r="F44" i="51" s="1"/>
  <c r="F22" i="51"/>
  <c r="C44" i="51" s="1"/>
  <c r="D20" i="51"/>
  <c r="D42" i="51" s="1"/>
  <c r="E22" i="51"/>
  <c r="I22" i="51" s="1"/>
  <c r="U22" i="51" s="1"/>
  <c r="G44" i="51" s="1"/>
  <c r="C21" i="51"/>
  <c r="E44" i="51"/>
  <c r="H44" i="51"/>
  <c r="D21" i="51"/>
  <c r="D43" i="51" s="1"/>
  <c r="M51" i="51" s="1"/>
  <c r="L51" i="51" s="1"/>
  <c r="C20" i="51"/>
  <c r="G21" i="51"/>
  <c r="E21" i="51"/>
  <c r="I21" i="51" s="1"/>
  <c r="U21" i="51" s="1"/>
  <c r="G43" i="51" s="1"/>
  <c r="F21" i="51" l="1"/>
  <c r="C43" i="51" s="1"/>
  <c r="M54" i="51"/>
  <c r="L54" i="51" s="1"/>
  <c r="M42" i="51"/>
  <c r="L42" i="51" s="1"/>
  <c r="M47" i="51"/>
  <c r="L47" i="51" s="1"/>
  <c r="M52" i="51"/>
  <c r="L52" i="51" s="1"/>
  <c r="H43" i="51"/>
  <c r="E43" i="51"/>
  <c r="M53" i="51"/>
  <c r="L53" i="51" s="1"/>
  <c r="M48" i="51"/>
  <c r="L48" i="51" s="1"/>
  <c r="M49" i="51"/>
  <c r="L49" i="51" s="1"/>
  <c r="M44" i="51"/>
  <c r="L44" i="51" s="1"/>
  <c r="M46" i="51"/>
  <c r="L46" i="51" s="1"/>
  <c r="M50" i="51"/>
  <c r="L50" i="51" s="1"/>
  <c r="M58" i="51"/>
  <c r="L58" i="51" s="1"/>
  <c r="M56" i="51"/>
  <c r="L56" i="51" s="1"/>
  <c r="H21" i="51"/>
  <c r="T21" i="51" s="1"/>
  <c r="F43" i="51" s="1"/>
  <c r="M43" i="51"/>
  <c r="L43" i="51" s="1"/>
  <c r="M57" i="51"/>
  <c r="L57" i="51" s="1"/>
  <c r="M55" i="51"/>
  <c r="L55" i="51" s="1"/>
  <c r="M45" i="51"/>
  <c r="L45" i="51" s="1"/>
  <c r="G20" i="51" l="1"/>
  <c r="E20" i="51" l="1"/>
  <c r="I20" i="51" s="1"/>
  <c r="U20" i="51" s="1"/>
  <c r="G42" i="51" s="1"/>
  <c r="F20" i="51"/>
  <c r="C42" i="51" s="1"/>
  <c r="H42" i="51"/>
  <c r="E42" i="51"/>
  <c r="H20" i="51"/>
  <c r="T20" i="51" s="1"/>
  <c r="F42" i="51" s="1"/>
  <c r="G24" i="51" l="1"/>
  <c r="E24" i="51" l="1"/>
  <c r="I24" i="51" s="1"/>
  <c r="U24" i="51" s="1"/>
  <c r="G46" i="51" s="1"/>
  <c r="F24" i="51"/>
  <c r="C46" i="51" s="1"/>
  <c r="E46" i="51"/>
  <c r="H46" i="51"/>
  <c r="H24" i="51"/>
  <c r="T24" i="51" s="1"/>
  <c r="F46" i="51" s="1"/>
  <c r="G28" i="51" l="1"/>
  <c r="H50" i="51" l="1"/>
  <c r="E50" i="51"/>
  <c r="H28" i="51"/>
  <c r="T28" i="51" s="1"/>
  <c r="F50" i="51" s="1"/>
  <c r="E28" i="51"/>
  <c r="I28" i="51" s="1"/>
  <c r="U28" i="51" s="1"/>
  <c r="G50" i="51" s="1"/>
  <c r="F28" i="51"/>
  <c r="C50" i="51" s="1"/>
  <c r="G23" i="51" l="1"/>
  <c r="F23" i="51" l="1"/>
  <c r="C45" i="51" s="1"/>
  <c r="E23" i="51"/>
  <c r="I23" i="51" s="1"/>
  <c r="U23" i="51" s="1"/>
  <c r="G45" i="51" s="1"/>
  <c r="E45" i="51"/>
  <c r="H45" i="51"/>
  <c r="H23" i="51"/>
  <c r="T23" i="51" s="1"/>
  <c r="F45" i="51" s="1"/>
  <c r="U54" i="51" l="1"/>
  <c r="U43" i="51"/>
  <c r="U52" i="51"/>
  <c r="U50" i="51"/>
  <c r="U49" i="51"/>
  <c r="C9" i="51"/>
  <c r="C10" i="51"/>
  <c r="U53" i="51"/>
  <c r="C11" i="51"/>
  <c r="E6" i="51" s="1"/>
  <c r="B4" i="49" s="1"/>
  <c r="U46" i="51"/>
  <c r="U57" i="51"/>
  <c r="U42" i="51"/>
  <c r="U56" i="51"/>
  <c r="C12" i="51"/>
  <c r="U47" i="51"/>
  <c r="U51" i="51"/>
  <c r="U55" i="51"/>
  <c r="U45" i="51"/>
  <c r="U48" i="51"/>
  <c r="U58" i="51"/>
  <c r="U44" i="51"/>
  <c r="O47" i="51"/>
  <c r="N47" i="51" s="1"/>
  <c r="O43" i="51"/>
  <c r="N43" i="51" s="1"/>
  <c r="O50" i="51"/>
  <c r="N50" i="51" s="1"/>
  <c r="O54" i="51"/>
  <c r="N54" i="51" s="1"/>
  <c r="O46" i="51"/>
  <c r="N46" i="51" s="1"/>
  <c r="O45" i="51"/>
  <c r="N45" i="51" s="1"/>
  <c r="O42" i="51"/>
  <c r="N42" i="51" s="1"/>
  <c r="O56" i="51"/>
  <c r="N56" i="51" s="1"/>
  <c r="O53" i="51"/>
  <c r="N53" i="51" s="1"/>
  <c r="O49" i="51"/>
  <c r="N49" i="51" s="1"/>
  <c r="O57" i="51"/>
  <c r="N57" i="51" s="1"/>
  <c r="O44" i="51"/>
  <c r="N44" i="51" s="1"/>
  <c r="O48" i="51"/>
  <c r="N48" i="51" s="1"/>
  <c r="O52" i="51"/>
  <c r="N52" i="51" s="1"/>
  <c r="O55" i="51"/>
  <c r="N55" i="51" s="1"/>
  <c r="O58" i="51"/>
  <c r="N58" i="51" s="1"/>
  <c r="O51" i="51"/>
  <c r="N51" i="51" s="1"/>
  <c r="S51" i="51"/>
  <c r="R51" i="51" s="1"/>
  <c r="S42" i="51"/>
  <c r="R42" i="51" s="1"/>
  <c r="S44" i="51"/>
  <c r="R44" i="51" s="1"/>
  <c r="S49" i="51"/>
  <c r="R49" i="51" s="1"/>
  <c r="S48" i="51"/>
  <c r="R48" i="51" s="1"/>
  <c r="S50" i="51"/>
  <c r="R50" i="51" s="1"/>
  <c r="S57" i="51"/>
  <c r="R57" i="51" s="1"/>
  <c r="S52" i="51"/>
  <c r="R52" i="51" s="1"/>
  <c r="S46" i="51"/>
  <c r="R46" i="51" s="1"/>
  <c r="S53" i="51"/>
  <c r="R53" i="51" s="1"/>
  <c r="S47" i="51"/>
  <c r="R47" i="51" s="1"/>
  <c r="S55" i="51"/>
  <c r="R55" i="51" s="1"/>
  <c r="S58" i="51"/>
  <c r="R58" i="51" s="1"/>
  <c r="S45" i="51"/>
  <c r="R45" i="51" s="1"/>
  <c r="S56" i="51"/>
  <c r="R56" i="51" s="1"/>
  <c r="S43" i="51"/>
  <c r="R43" i="51" s="1"/>
  <c r="S54" i="51"/>
  <c r="R54" i="51" s="1"/>
  <c r="Q53" i="51"/>
  <c r="P53" i="51" s="1"/>
  <c r="Q50" i="51"/>
  <c r="P50" i="51" s="1"/>
  <c r="Q58" i="51"/>
  <c r="P58" i="51" s="1"/>
  <c r="Q57" i="51"/>
  <c r="P57" i="51" s="1"/>
  <c r="Q56" i="51"/>
  <c r="P56" i="51" s="1"/>
  <c r="Q54" i="51"/>
  <c r="P54" i="51" s="1"/>
  <c r="Q43" i="51"/>
  <c r="P43" i="51" s="1"/>
  <c r="Q42" i="51"/>
  <c r="P42" i="51" s="1"/>
  <c r="Q44" i="51"/>
  <c r="P44" i="51" s="1"/>
  <c r="Q52" i="51"/>
  <c r="P52" i="51" s="1"/>
  <c r="Q45" i="51"/>
  <c r="P45" i="51" s="1"/>
  <c r="Q48" i="51"/>
  <c r="P48" i="51" s="1"/>
  <c r="Q47" i="51"/>
  <c r="P47" i="51" s="1"/>
  <c r="Q55" i="51"/>
  <c r="P55" i="51" s="1"/>
  <c r="Q49" i="51"/>
  <c r="P49" i="51" s="1"/>
  <c r="Q46" i="51"/>
  <c r="P46" i="51" s="1"/>
  <c r="Q51" i="51"/>
  <c r="P51" i="51" s="1"/>
  <c r="K52" i="51"/>
  <c r="J52" i="51" s="1"/>
  <c r="K42" i="51"/>
  <c r="J42" i="51" s="1"/>
  <c r="K50" i="51"/>
  <c r="J50" i="51" s="1"/>
  <c r="K45" i="51"/>
  <c r="J45" i="51" s="1"/>
  <c r="K44" i="51"/>
  <c r="J44" i="51" s="1"/>
  <c r="K55" i="51"/>
  <c r="J55" i="51" s="1"/>
  <c r="K54" i="51"/>
  <c r="J54" i="51" s="1"/>
  <c r="K57" i="51"/>
  <c r="J57" i="51" s="1"/>
  <c r="K51" i="51"/>
  <c r="J51" i="51" s="1"/>
  <c r="K53" i="51"/>
  <c r="J53" i="51" s="1"/>
  <c r="K58" i="51"/>
  <c r="J58" i="51" s="1"/>
  <c r="K43" i="51"/>
  <c r="J43" i="51" s="1"/>
  <c r="K56" i="51"/>
  <c r="J56" i="51" s="1"/>
  <c r="K49" i="51"/>
  <c r="J49" i="51" s="1"/>
  <c r="K47" i="51"/>
  <c r="J47" i="51" s="1"/>
  <c r="K48" i="51"/>
  <c r="J48" i="51" s="1"/>
  <c r="K46" i="51"/>
  <c r="J46" i="51" s="1"/>
  <c r="T58" i="51" l="1"/>
  <c r="T51" i="51"/>
  <c r="T42" i="51"/>
  <c r="T53" i="51"/>
  <c r="T50" i="51"/>
  <c r="T48" i="51"/>
  <c r="T47" i="51"/>
  <c r="T57" i="51"/>
  <c r="T52" i="51"/>
  <c r="T45" i="51"/>
  <c r="T46" i="51"/>
  <c r="T43" i="51"/>
  <c r="T44" i="51"/>
  <c r="T55" i="51"/>
  <c r="T56" i="51"/>
  <c r="T49" i="51"/>
  <c r="T54" i="51"/>
</calcChain>
</file>

<file path=xl/sharedStrings.xml><?xml version="1.0" encoding="utf-8"?>
<sst xmlns="http://schemas.openxmlformats.org/spreadsheetml/2006/main" count="380" uniqueCount="151">
  <si>
    <t>_cons</t>
  </si>
  <si>
    <t>Cost drivers</t>
  </si>
  <si>
    <t>ANH</t>
  </si>
  <si>
    <t>NES</t>
  </si>
  <si>
    <t>NWT</t>
  </si>
  <si>
    <t>SRN</t>
  </si>
  <si>
    <t>SVT</t>
  </si>
  <si>
    <t>TMS</t>
  </si>
  <si>
    <t>WSX</t>
  </si>
  <si>
    <t>YKY</t>
  </si>
  <si>
    <t>AFW</t>
  </si>
  <si>
    <t>BRL</t>
  </si>
  <si>
    <t>DVW</t>
  </si>
  <si>
    <t>PRT</t>
  </si>
  <si>
    <t>SES</t>
  </si>
  <si>
    <t>SEW</t>
  </si>
  <si>
    <t>SSC</t>
  </si>
  <si>
    <t>SWB</t>
  </si>
  <si>
    <t>Efficiency score</t>
  </si>
  <si>
    <t>Actual costs</t>
  </si>
  <si>
    <t>Raw data</t>
  </si>
  <si>
    <t>Company</t>
  </si>
  <si>
    <t>Modelled costs</t>
  </si>
  <si>
    <t>Sample period</t>
  </si>
  <si>
    <t>Model</t>
  </si>
  <si>
    <t>Econometric</t>
  </si>
  <si>
    <t>WSH</t>
  </si>
  <si>
    <t>Rank</t>
  </si>
  <si>
    <t>Percentile</t>
  </si>
  <si>
    <t>Interpretation</t>
  </si>
  <si>
    <t>median</t>
  </si>
  <si>
    <t>upper third</t>
  </si>
  <si>
    <t>upper quartile</t>
  </si>
  <si>
    <t>frontier</t>
  </si>
  <si>
    <t>Weighted average density</t>
  </si>
  <si>
    <t>Constant</t>
  </si>
  <si>
    <t>Variable name</t>
  </si>
  <si>
    <t>Variable code</t>
  </si>
  <si>
    <t>lnproperties</t>
  </si>
  <si>
    <t>Water resources plus</t>
  </si>
  <si>
    <t>Treated water distribution</t>
  </si>
  <si>
    <t>Wholesale water</t>
  </si>
  <si>
    <t>lnwedensitywater</t>
  </si>
  <si>
    <t>WRP1</t>
  </si>
  <si>
    <t>WRP2</t>
  </si>
  <si>
    <t>lnlengthsofmain</t>
  </si>
  <si>
    <t>lnwedensitywater2</t>
  </si>
  <si>
    <t>ln (weighted average density)</t>
  </si>
  <si>
    <t>TWD1</t>
  </si>
  <si>
    <t>WW1</t>
  </si>
  <si>
    <t>WW2</t>
  </si>
  <si>
    <t>pctwatertreated36</t>
  </si>
  <si>
    <t>ln (number of properties)</t>
  </si>
  <si>
    <t>(ln(weighted average density))^2</t>
  </si>
  <si>
    <t>Water resources</t>
  </si>
  <si>
    <t>Network plus water</t>
  </si>
  <si>
    <t>Natural log</t>
  </si>
  <si>
    <t>Number of properties</t>
  </si>
  <si>
    <t>Lengths of main</t>
  </si>
  <si>
    <t>% of water treated complexity levels bands 3-6</t>
  </si>
  <si>
    <t>Squared Weighted average density</t>
  </si>
  <si>
    <t>% of water treated at complexity levels 3 to 6</t>
  </si>
  <si>
    <t>WRP</t>
  </si>
  <si>
    <t>TWD</t>
  </si>
  <si>
    <t>WW</t>
  </si>
  <si>
    <t>1. Water resources plus</t>
  </si>
  <si>
    <t>2. Treated water distribution</t>
  </si>
  <si>
    <t>3. Wholesale water</t>
  </si>
  <si>
    <t>WR</t>
  </si>
  <si>
    <t>NPW</t>
  </si>
  <si>
    <t>Apportions</t>
  </si>
  <si>
    <t>re1</t>
  </si>
  <si>
    <t>re2</t>
  </si>
  <si>
    <t>re3</t>
  </si>
  <si>
    <t>re4</t>
  </si>
  <si>
    <t>re5</t>
  </si>
  <si>
    <t>SWT</t>
  </si>
  <si>
    <t>financialyear</t>
  </si>
  <si>
    <t>km</t>
  </si>
  <si>
    <t>000s</t>
  </si>
  <si>
    <t>level</t>
  </si>
  <si>
    <t>nr/km</t>
  </si>
  <si>
    <t>lnboosterperlength</t>
  </si>
  <si>
    <t>xy%</t>
  </si>
  <si>
    <t>000s inhabitants  per km</t>
  </si>
  <si>
    <t>BWH</t>
  </si>
  <si>
    <t>properties</t>
  </si>
  <si>
    <t>lengthsofmain</t>
  </si>
  <si>
    <t>boosterperlength</t>
  </si>
  <si>
    <t>wedensitywater</t>
  </si>
  <si>
    <t>populationwater</t>
  </si>
  <si>
    <t>realbotexwr</t>
  </si>
  <si>
    <t>realbotextwd</t>
  </si>
  <si>
    <t>realbotexnpw</t>
  </si>
  <si>
    <t>realbotexwrp</t>
  </si>
  <si>
    <t>realbotexww</t>
  </si>
  <si>
    <t>All costs in £m, 2017/18 prices</t>
  </si>
  <si>
    <t>wac</t>
  </si>
  <si>
    <t>lnwac</t>
  </si>
  <si>
    <t>nr</t>
  </si>
  <si>
    <t>Weighted average water treatment complexity</t>
  </si>
  <si>
    <t>ln (weighted average water treatment complexity)</t>
  </si>
  <si>
    <t xml:space="preserve">Model weights </t>
  </si>
  <si>
    <t>Bottom up</t>
  </si>
  <si>
    <t>Top down</t>
  </si>
  <si>
    <t>Model weights</t>
  </si>
  <si>
    <t>Unique id</t>
  </si>
  <si>
    <t>Score</t>
  </si>
  <si>
    <t>From year</t>
  </si>
  <si>
    <t>To year</t>
  </si>
  <si>
    <t>Total costs, £m of 2017-18</t>
  </si>
  <si>
    <t>Modelled costs - weighted</t>
  </si>
  <si>
    <t>Apportioned costs for PR19 controls</t>
  </si>
  <si>
    <t>Wholesale</t>
  </si>
  <si>
    <t>Bottom up wholesale</t>
  </si>
  <si>
    <t>Wholesale totex - triangulated</t>
  </si>
  <si>
    <t>Efficiency scores</t>
  </si>
  <si>
    <t>Wholesale water triangulated</t>
  </si>
  <si>
    <t>Catch-up efficiency challenge parameter</t>
  </si>
  <si>
    <t>Triangulation and efficiency scores</t>
  </si>
  <si>
    <t>Modelled base costs</t>
  </si>
  <si>
    <t>Network plus</t>
  </si>
  <si>
    <t>Actual base costs</t>
  </si>
  <si>
    <t>Wholesale - triangulated</t>
  </si>
  <si>
    <t>Wholesale (triangulated)</t>
  </si>
  <si>
    <t>Years in sample</t>
  </si>
  <si>
    <t>Sorted&gt;&gt;</t>
  </si>
  <si>
    <t/>
  </si>
  <si>
    <t>Version 1.0. 31st January 2019</t>
  </si>
  <si>
    <t>* Modelled base costs are defined as:</t>
  </si>
  <si>
    <t>The sum of the following costs categories</t>
  </si>
  <si>
    <t>a) Power</t>
  </si>
  <si>
    <t>Minus the following cost categories:</t>
  </si>
  <si>
    <t>i) Traffic Management Act</t>
  </si>
  <si>
    <t>c) Bulky supply</t>
  </si>
  <si>
    <t>d) Renewals expensed in year - infra</t>
  </si>
  <si>
    <t>e) Renewals expensed in year - noninfra</t>
  </si>
  <si>
    <t>f) Other operating expenditure excluding renewals</t>
  </si>
  <si>
    <t>g) Maintaining the long term of capability of the assets - infra</t>
  </si>
  <si>
    <t>h) Maintaining the long term of capability of the assets - noninfra</t>
  </si>
  <si>
    <t>j) Statutory Water Softening</t>
  </si>
  <si>
    <t>Triangulation weights</t>
  </si>
  <si>
    <t>ln (lengths of main)</t>
  </si>
  <si>
    <t>ln (number of booster pumping stations per lengths of main)</t>
  </si>
  <si>
    <t>Number of booster pumping stations per lengths of main</t>
  </si>
  <si>
    <r>
      <t xml:space="preserve">b) Abstraction chapters / Discharge consents </t>
    </r>
    <r>
      <rPr>
        <b/>
        <sz val="10"/>
        <color theme="1"/>
        <rFont val="Calibri"/>
        <family val="2"/>
      </rPr>
      <t>but not for water resources</t>
    </r>
  </si>
  <si>
    <t xml:space="preserve">Calculation of catch-up efficiency challenge </t>
  </si>
  <si>
    <t>Summary of catch-up adjustments</t>
  </si>
  <si>
    <t>catch-up efficiency challenge</t>
  </si>
  <si>
    <t>Number of years 
for catch-up challenge calc</t>
  </si>
  <si>
    <t xml:space="preserve">Objective
To calculate the historical catch-up efficiency challenge. 
Guide to model
Inputs: the model takes as inputs the coefficients from our econometric models, costs and costs drivers as reported by companies in their business plans. 
Base modelled costs are estimated in the “Modelled costs” worksheet by multiplying the coefficients by costs drivers.   
            The coefficients are produced by the econometric models (see worksheet   named “Model coeffs”) and  
            Costs drivers are imported from feeder model FM_WW1 (see “Costs drivers” worksheet).
The catch-up efficiency challenge is estimated in the worksheet named “Efficiency”. 
           Base modelled costs at different levels of aggregation are triangulated to estimate wholesale base modelled costs.
           The catch-up efficiency challenge is estimated from companies’ efficiency scores, which are defined as the ratio of the modelled base costs that results from our model using historical data with modelled base costs as reported by companies for the period 2013/14 to 2017/18. The upper quartile efficiency score is used. 
            Information on the weights assigned to the econometric models can be found in the “Controls” worksheet.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</si>
</sst>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_(* \(#,##0.00\);_(* &quot;-&quot;??_);_(@_)"/>
    <numFmt numFmtId="165" formatCode="_-* #,##0_-;\-* #,##0_-;_-* &quot;-&quot;??_-;_-@_-"/>
    <numFmt numFmtId="166" formatCode="_-* #,##0.000_-;\-* #,##0.000_-;_-* &quot;-&quot;??_-;_-@_-"/>
    <numFmt numFmtId="167" formatCode="#,##0.00_ ;\-#,##0.00\ "/>
    <numFmt numFmtId="168" formatCode="#,##0.0000"/>
    <numFmt numFmtId="169" formatCode="#,##0_);\(#,##0\);&quot;-  &quot;;&quot; &quot;@&quot; &quot;"/>
    <numFmt numFmtId="170" formatCode="0.0%"/>
    <numFmt numFmtId="171" formatCode="_(* #,##0.0000_);_(* \(#,##0.0000\);_(* &quot;-&quot;??_);_(@_)"/>
    <numFmt numFmtId="172" formatCode="_-* #,##0.0_-;\-* #,##0.0_-;_-* &quot;-&quot;??_-;_-@_-"/>
    <numFmt numFmtId="173" formatCode="0.0"/>
    <numFmt numFmtId="174" formatCode="_-* #,##0.0000_-;\-* #,##0.0000_-;_-* &quot;-&quot;??_-;_-@_-"/>
    <numFmt numFmtId="175" formatCode="0.0000"/>
  </numFmts>
  <fonts count="23" x14ac:knownFonts="1">
    <font>
      <sz val="11"/>
      <color theme="1"/>
      <name val="Arial"/>
      <family val="2"/>
    </font>
    <font>
      <sz val="11"/>
      <color theme="1"/>
      <name val="Arial"/>
      <family val="2"/>
    </font>
    <font>
      <sz val="11"/>
      <color rgb="FFFF0000"/>
      <name val="Arial"/>
      <family val="2"/>
    </font>
    <font>
      <sz val="11"/>
      <color theme="1"/>
      <name val="Arial"/>
      <family val="2"/>
      <scheme val="minor"/>
    </font>
    <font>
      <b/>
      <sz val="14"/>
      <color theme="3"/>
      <name val="Arial"/>
      <family val="2"/>
    </font>
    <font>
      <b/>
      <sz val="9"/>
      <color theme="3"/>
      <name val="Arial"/>
      <family val="2"/>
    </font>
    <font>
      <sz val="11"/>
      <color theme="1"/>
      <name val="Calibri"/>
      <family val="2"/>
    </font>
    <font>
      <b/>
      <sz val="11"/>
      <color theme="1"/>
      <name val="Calibri"/>
      <family val="2"/>
    </font>
    <font>
      <sz val="11"/>
      <name val="Calibri"/>
      <family val="2"/>
    </font>
    <font>
      <sz val="10"/>
      <name val="Arial"/>
      <family val="2"/>
    </font>
    <font>
      <b/>
      <sz val="16"/>
      <color theme="3"/>
      <name val="Calibri"/>
      <family val="2"/>
    </font>
    <font>
      <sz val="10"/>
      <color theme="1"/>
      <name val="Calibri"/>
      <family val="2"/>
    </font>
    <font>
      <b/>
      <sz val="12"/>
      <color theme="3"/>
      <name val="Calibri"/>
      <family val="2"/>
    </font>
    <font>
      <b/>
      <sz val="11"/>
      <color theme="4"/>
      <name val="Calibri"/>
      <family val="2"/>
    </font>
    <font>
      <b/>
      <sz val="14"/>
      <color theme="0"/>
      <name val="Calibri"/>
      <family val="2"/>
    </font>
    <font>
      <b/>
      <sz val="11"/>
      <color theme="0"/>
      <name val="Calibri"/>
      <family val="2"/>
    </font>
    <font>
      <b/>
      <sz val="10"/>
      <color theme="1"/>
      <name val="Calibri"/>
      <family val="2"/>
    </font>
    <font>
      <b/>
      <u/>
      <sz val="10"/>
      <color theme="1"/>
      <name val="Calibri"/>
      <family val="2"/>
    </font>
    <font>
      <b/>
      <sz val="11"/>
      <name val="Calibri"/>
      <family val="2"/>
    </font>
    <font>
      <sz val="10"/>
      <name val="Calibri"/>
      <family val="2"/>
    </font>
    <font>
      <b/>
      <sz val="10"/>
      <color theme="4"/>
      <name val="Calibri"/>
      <family val="2"/>
    </font>
    <font>
      <sz val="12"/>
      <color rgb="FFFF0000"/>
      <name val="Calibri"/>
      <family val="2"/>
    </font>
    <font>
      <b/>
      <sz val="10"/>
      <color theme="3"/>
      <name val="Calibri"/>
      <family val="2"/>
    </font>
  </fonts>
  <fills count="12">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6"/>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14993743705557422"/>
      </top>
      <bottom style="thin">
        <color theme="0" tint="-0.34998626667073579"/>
      </bottom>
      <diagonal/>
    </border>
    <border>
      <left/>
      <right/>
      <top style="thin">
        <color theme="0" tint="-0.14993743705557422"/>
      </top>
      <bottom style="thin">
        <color theme="0" tint="-0.34998626667073579"/>
      </bottom>
      <diagonal/>
    </border>
    <border>
      <left style="thin">
        <color theme="0" tint="-0.34998626667073579"/>
      </left>
      <right style="thin">
        <color theme="0" tint="-0.34998626667073579"/>
      </right>
      <top style="thin">
        <color theme="0" tint="-0.14993743705557422"/>
      </top>
      <bottom style="thin">
        <color theme="0" tint="-0.34998626667073579"/>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169" fontId="1" fillId="0" borderId="0" applyFont="0" applyFill="0" applyBorder="0" applyProtection="0">
      <alignment vertical="top"/>
    </xf>
    <xf numFmtId="0" fontId="8" fillId="0" borderId="0"/>
    <xf numFmtId="0" fontId="9" fillId="0" borderId="0"/>
    <xf numFmtId="164" fontId="1" fillId="0" borderId="0" applyFont="0" applyFill="0" applyBorder="0" applyAlignment="0" applyProtection="0"/>
    <xf numFmtId="0" fontId="3" fillId="0" borderId="0"/>
    <xf numFmtId="0" fontId="1" fillId="0" borderId="0"/>
  </cellStyleXfs>
  <cellXfs count="169">
    <xf numFmtId="0" fontId="0" fillId="0" borderId="0" xfId="0"/>
    <xf numFmtId="0" fontId="2" fillId="0" borderId="0" xfId="0" applyFont="1"/>
    <xf numFmtId="0" fontId="10" fillId="0" borderId="0" xfId="3" applyFont="1" applyAlignment="1">
      <alignment vertical="center"/>
    </xf>
    <xf numFmtId="0" fontId="11" fillId="0" borderId="0" xfId="0" applyFont="1" applyAlignment="1">
      <alignment vertical="center"/>
    </xf>
    <xf numFmtId="0" fontId="11" fillId="0" borderId="0" xfId="0" applyFont="1" applyAlignment="1">
      <alignment vertical="center" wrapText="1"/>
    </xf>
    <xf numFmtId="0" fontId="11" fillId="0" borderId="0" xfId="0" applyFont="1" applyFill="1" applyAlignment="1">
      <alignment vertical="center"/>
    </xf>
    <xf numFmtId="0" fontId="11" fillId="0" borderId="0" xfId="0" applyFont="1" applyFill="1" applyAlignment="1">
      <alignment vertical="center" wrapText="1"/>
    </xf>
    <xf numFmtId="0" fontId="12" fillId="0" borderId="0" xfId="3" applyFont="1" applyAlignment="1">
      <alignment horizontal="left" vertical="center"/>
    </xf>
    <xf numFmtId="0" fontId="13" fillId="0" borderId="0" xfId="3" applyFont="1" applyAlignment="1">
      <alignment horizontal="left" vertical="center"/>
    </xf>
    <xf numFmtId="165" fontId="7" fillId="10" borderId="0" xfId="1" applyNumberFormat="1" applyFont="1" applyFill="1" applyBorder="1" applyAlignment="1">
      <alignment horizontal="right" vertical="center"/>
    </xf>
    <xf numFmtId="165" fontId="14" fillId="10" borderId="0" xfId="1" applyNumberFormat="1" applyFont="1" applyFill="1" applyBorder="1" applyAlignment="1">
      <alignment horizontal="left" vertical="center"/>
    </xf>
    <xf numFmtId="165" fontId="15" fillId="10" borderId="0" xfId="1" applyNumberFormat="1" applyFont="1" applyFill="1" applyBorder="1" applyAlignment="1">
      <alignment horizontal="left" vertical="center"/>
    </xf>
    <xf numFmtId="165" fontId="16" fillId="10" borderId="0" xfId="1" applyNumberFormat="1" applyFont="1" applyFill="1" applyBorder="1" applyAlignment="1">
      <alignment horizontal="right" vertical="center"/>
    </xf>
    <xf numFmtId="0" fontId="13" fillId="0" borderId="0" xfId="3" applyFont="1" applyFill="1" applyAlignment="1">
      <alignment horizontal="left" vertical="center"/>
    </xf>
    <xf numFmtId="0" fontId="16" fillId="0" borderId="0" xfId="0" applyFont="1" applyFill="1" applyAlignment="1">
      <alignment vertical="center"/>
    </xf>
    <xf numFmtId="0" fontId="17" fillId="0" borderId="0" xfId="0" applyFont="1" applyFill="1" applyAlignment="1">
      <alignment vertical="center"/>
    </xf>
    <xf numFmtId="0" fontId="16" fillId="0" borderId="1" xfId="0" applyFont="1" applyBorder="1" applyAlignment="1">
      <alignment horizontal="center" vertical="center" wrapText="1"/>
    </xf>
    <xf numFmtId="164" fontId="11" fillId="0" borderId="1" xfId="1" applyFont="1" applyBorder="1" applyAlignment="1">
      <alignment vertical="center" wrapText="1"/>
    </xf>
    <xf numFmtId="166" fontId="11" fillId="0" borderId="1" xfId="1" applyNumberFormat="1" applyFont="1" applyBorder="1" applyAlignment="1">
      <alignment vertical="center" wrapText="1"/>
    </xf>
    <xf numFmtId="164" fontId="11" fillId="6" borderId="1" xfId="1" applyFont="1" applyFill="1" applyBorder="1" applyAlignment="1">
      <alignment vertical="center" wrapText="1"/>
    </xf>
    <xf numFmtId="166" fontId="11" fillId="6" borderId="1" xfId="1" applyNumberFormat="1" applyFont="1" applyFill="1" applyBorder="1" applyAlignment="1">
      <alignment vertical="center" wrapText="1"/>
    </xf>
    <xf numFmtId="165" fontId="7" fillId="0" borderId="0" xfId="1" applyNumberFormat="1" applyFont="1" applyFill="1" applyBorder="1" applyAlignment="1">
      <alignment horizontal="right" vertical="center"/>
    </xf>
    <xf numFmtId="165" fontId="7" fillId="0" borderId="0" xfId="1" applyNumberFormat="1" applyFont="1" applyFill="1" applyBorder="1" applyAlignment="1">
      <alignment horizontal="left" vertical="center"/>
    </xf>
    <xf numFmtId="165" fontId="18" fillId="0" borderId="0" xfId="1" applyNumberFormat="1" applyFont="1" applyFill="1" applyBorder="1" applyAlignment="1">
      <alignment horizontal="left" vertical="center"/>
    </xf>
    <xf numFmtId="165" fontId="16" fillId="0" borderId="0" xfId="1" applyNumberFormat="1" applyFont="1" applyFill="1" applyBorder="1" applyAlignment="1">
      <alignment horizontal="right" vertical="center"/>
    </xf>
    <xf numFmtId="165" fontId="7" fillId="0" borderId="0" xfId="1" applyNumberFormat="1" applyFont="1" applyFill="1" applyBorder="1" applyAlignment="1">
      <alignment horizontal="center"/>
    </xf>
    <xf numFmtId="0" fontId="7" fillId="7" borderId="1" xfId="0" applyFont="1" applyFill="1" applyBorder="1" applyAlignment="1">
      <alignment horizontal="centerContinuous" vertical="center" wrapText="1"/>
    </xf>
    <xf numFmtId="0" fontId="11" fillId="7" borderId="1" xfId="0" applyFont="1" applyFill="1" applyBorder="1" applyAlignment="1">
      <alignment horizontal="centerContinuous" vertical="center" wrapText="1"/>
    </xf>
    <xf numFmtId="0" fontId="11" fillId="7" borderId="1"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0" borderId="1" xfId="0" applyFont="1" applyBorder="1" applyAlignment="1">
      <alignment vertical="center"/>
    </xf>
    <xf numFmtId="0" fontId="11" fillId="0" borderId="1" xfId="0" applyFont="1" applyBorder="1" applyAlignment="1">
      <alignment horizontal="center" vertical="center" wrapText="1"/>
    </xf>
    <xf numFmtId="0" fontId="11" fillId="0" borderId="0" xfId="0" applyFont="1" applyBorder="1" applyAlignment="1">
      <alignment vertical="center"/>
    </xf>
    <xf numFmtId="0" fontId="11" fillId="7" borderId="6"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2" borderId="1" xfId="0" applyFont="1" applyFill="1" applyBorder="1" applyAlignment="1">
      <alignment vertical="center"/>
    </xf>
    <xf numFmtId="9" fontId="11" fillId="0" borderId="1" xfId="2" applyFont="1" applyBorder="1" applyAlignment="1">
      <alignment horizontal="right" vertical="center" wrapText="1"/>
    </xf>
    <xf numFmtId="167" fontId="11" fillId="0" borderId="1" xfId="1" applyNumberFormat="1" applyFont="1" applyBorder="1" applyAlignment="1">
      <alignment horizontal="center" vertical="center" wrapText="1"/>
    </xf>
    <xf numFmtId="2" fontId="11" fillId="0" borderId="1" xfId="1" applyNumberFormat="1" applyFont="1" applyBorder="1" applyAlignment="1">
      <alignment vertical="center" wrapText="1"/>
    </xf>
    <xf numFmtId="0" fontId="6" fillId="2" borderId="2" xfId="0" applyFont="1" applyFill="1" applyBorder="1" applyAlignment="1">
      <alignment vertical="center"/>
    </xf>
    <xf numFmtId="167" fontId="11" fillId="0" borderId="1" xfId="1" applyNumberFormat="1" applyFont="1" applyFill="1" applyBorder="1" applyAlignment="1">
      <alignment horizontal="center" vertical="center" wrapText="1"/>
    </xf>
    <xf numFmtId="0" fontId="11" fillId="0" borderId="0" xfId="0" applyFont="1" applyAlignment="1">
      <alignment horizontal="right" vertical="center"/>
    </xf>
    <xf numFmtId="0" fontId="16" fillId="0" borderId="0" xfId="0" applyFont="1" applyAlignment="1">
      <alignment vertical="center"/>
    </xf>
    <xf numFmtId="0" fontId="16" fillId="3" borderId="2"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7" xfId="0" applyFont="1" applyBorder="1" applyAlignment="1">
      <alignment vertical="center"/>
    </xf>
    <xf numFmtId="0" fontId="16" fillId="0" borderId="8" xfId="0" applyFont="1" applyBorder="1" applyAlignment="1">
      <alignment vertical="center"/>
    </xf>
    <xf numFmtId="0" fontId="11" fillId="0" borderId="9" xfId="0" applyFont="1" applyBorder="1" applyAlignment="1">
      <alignment vertical="center"/>
    </xf>
    <xf numFmtId="0" fontId="11" fillId="0" borderId="2" xfId="0" applyFont="1" applyBorder="1" applyAlignment="1">
      <alignment vertical="center"/>
    </xf>
    <xf numFmtId="0" fontId="11" fillId="0" borderId="4" xfId="0" applyFont="1" applyBorder="1" applyAlignment="1">
      <alignment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Fill="1"/>
    <xf numFmtId="0" fontId="11" fillId="0" borderId="2" xfId="0" applyFont="1" applyFill="1" applyBorder="1"/>
    <xf numFmtId="0" fontId="11" fillId="0" borderId="5" xfId="0" applyFont="1" applyFill="1" applyBorder="1"/>
    <xf numFmtId="0" fontId="11" fillId="6" borderId="2" xfId="0" applyFont="1" applyFill="1" applyBorder="1"/>
    <xf numFmtId="0" fontId="11" fillId="6" borderId="5" xfId="0" applyFont="1" applyFill="1" applyBorder="1"/>
    <xf numFmtId="0" fontId="11" fillId="0" borderId="0" xfId="0" applyFont="1" applyFill="1" applyBorder="1"/>
    <xf numFmtId="0" fontId="16" fillId="0" borderId="0" xfId="0" applyFont="1" applyFill="1"/>
    <xf numFmtId="0" fontId="11" fillId="0" borderId="1" xfId="0" applyFont="1" applyFill="1" applyBorder="1"/>
    <xf numFmtId="165" fontId="19" fillId="0" borderId="11" xfId="7" applyNumberFormat="1" applyFont="1" applyFill="1" applyBorder="1" applyAlignment="1">
      <alignment horizontal="left" vertical="center"/>
    </xf>
    <xf numFmtId="0" fontId="11" fillId="0" borderId="11" xfId="0" applyFont="1" applyBorder="1" applyAlignment="1">
      <alignment horizontal="center" vertical="center" wrapText="1"/>
    </xf>
    <xf numFmtId="165" fontId="19" fillId="0" borderId="13" xfId="7" applyNumberFormat="1" applyFont="1" applyFill="1" applyBorder="1" applyAlignment="1">
      <alignment horizontal="left" vertical="center"/>
    </xf>
    <xf numFmtId="0" fontId="11" fillId="0" borderId="13" xfId="0" applyFont="1" applyBorder="1" applyAlignment="1">
      <alignment horizontal="center" vertical="center" wrapText="1"/>
    </xf>
    <xf numFmtId="0" fontId="11" fillId="0" borderId="14" xfId="0" applyFont="1" applyFill="1" applyBorder="1"/>
    <xf numFmtId="0" fontId="11" fillId="0" borderId="15" xfId="0" applyFont="1" applyFill="1" applyBorder="1"/>
    <xf numFmtId="0" fontId="11" fillId="0" borderId="16" xfId="0" applyFont="1" applyBorder="1" applyAlignment="1">
      <alignment horizontal="center" vertical="center" wrapText="1"/>
    </xf>
    <xf numFmtId="170" fontId="11" fillId="0" borderId="0" xfId="2" applyNumberFormat="1" applyFont="1" applyFill="1" applyBorder="1"/>
    <xf numFmtId="171" fontId="11" fillId="2" borderId="1" xfId="7" applyNumberFormat="1" applyFont="1" applyFill="1" applyBorder="1"/>
    <xf numFmtId="0" fontId="16" fillId="0" borderId="2" xfId="0" applyFont="1" applyBorder="1" applyAlignment="1">
      <alignment horizontal="center" vertical="center" wrapText="1"/>
    </xf>
    <xf numFmtId="0" fontId="16" fillId="0" borderId="5" xfId="0" applyFont="1" applyBorder="1" applyAlignment="1">
      <alignment horizontal="center" vertical="center" wrapText="1"/>
    </xf>
    <xf numFmtId="165" fontId="7" fillId="0" borderId="1" xfId="1" applyNumberFormat="1" applyFont="1" applyFill="1" applyBorder="1" applyAlignment="1">
      <alignment horizontal="left" vertical="center"/>
    </xf>
    <xf numFmtId="0" fontId="16" fillId="8" borderId="2"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1" fillId="0" borderId="0" xfId="0" applyFont="1"/>
    <xf numFmtId="0" fontId="11" fillId="0" borderId="10" xfId="0" applyFont="1" applyFill="1" applyBorder="1" applyAlignment="1">
      <alignment vertical="center"/>
    </xf>
    <xf numFmtId="0" fontId="16" fillId="0" borderId="1" xfId="0" applyFont="1" applyFill="1" applyBorder="1" applyAlignment="1">
      <alignment horizontal="center" vertical="center"/>
    </xf>
    <xf numFmtId="0" fontId="11" fillId="0" borderId="23" xfId="0" applyFont="1" applyFill="1" applyBorder="1" applyAlignment="1">
      <alignment vertical="center"/>
    </xf>
    <xf numFmtId="0" fontId="11" fillId="0" borderId="0" xfId="0" applyFont="1" applyFill="1" applyBorder="1" applyAlignment="1">
      <alignment vertical="center"/>
    </xf>
    <xf numFmtId="0" fontId="11" fillId="0" borderId="24" xfId="0" applyFont="1" applyFill="1" applyBorder="1" applyAlignment="1">
      <alignment vertical="center"/>
    </xf>
    <xf numFmtId="0" fontId="11" fillId="0" borderId="1" xfId="0" applyFont="1" applyFill="1" applyBorder="1" applyAlignment="1">
      <alignment horizontal="center"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1" fillId="0" borderId="9" xfId="0" applyFont="1" applyFill="1" applyBorder="1" applyAlignment="1">
      <alignment vertical="center"/>
    </xf>
    <xf numFmtId="0" fontId="11" fillId="11" borderId="1" xfId="0" applyFont="1" applyFill="1" applyBorder="1" applyAlignment="1">
      <alignment horizontal="center" vertical="center" wrapText="1"/>
    </xf>
    <xf numFmtId="0" fontId="11" fillId="11" borderId="6" xfId="0" applyFont="1" applyFill="1" applyBorder="1" applyAlignment="1">
      <alignment horizontal="center" vertical="center" wrapText="1"/>
    </xf>
    <xf numFmtId="9" fontId="11" fillId="2" borderId="1" xfId="0"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165" fontId="11" fillId="0" borderId="1" xfId="1" applyNumberFormat="1" applyFont="1" applyBorder="1" applyAlignment="1">
      <alignment horizontal="right" vertical="center" wrapText="1"/>
    </xf>
    <xf numFmtId="165" fontId="11" fillId="0" borderId="2" xfId="1" applyNumberFormat="1" applyFont="1" applyBorder="1" applyAlignment="1">
      <alignment horizontal="right" vertical="center" wrapText="1"/>
    </xf>
    <xf numFmtId="165" fontId="16" fillId="0" borderId="1" xfId="1" applyNumberFormat="1" applyFont="1" applyBorder="1" applyAlignment="1">
      <alignment horizontal="right" vertical="center" wrapText="1"/>
    </xf>
    <xf numFmtId="0" fontId="11" fillId="0" borderId="6" xfId="0" applyFont="1" applyBorder="1" applyAlignment="1">
      <alignment horizontal="center" vertical="center" wrapText="1"/>
    </xf>
    <xf numFmtId="0" fontId="16" fillId="0" borderId="22" xfId="0" applyFont="1" applyBorder="1" applyAlignment="1">
      <alignment horizontal="left" vertical="center" wrapText="1"/>
    </xf>
    <xf numFmtId="0" fontId="11" fillId="0" borderId="17" xfId="0" applyFont="1" applyFill="1" applyBorder="1"/>
    <xf numFmtId="1" fontId="11" fillId="0" borderId="1" xfId="0" applyNumberFormat="1" applyFont="1" applyFill="1" applyBorder="1" applyAlignment="1">
      <alignment horizontal="right" vertical="center"/>
    </xf>
    <xf numFmtId="1" fontId="11" fillId="0" borderId="18" xfId="0" applyNumberFormat="1" applyFont="1" applyFill="1" applyBorder="1" applyAlignment="1">
      <alignment horizontal="right" vertical="center"/>
    </xf>
    <xf numFmtId="0" fontId="11" fillId="0" borderId="19" xfId="0" applyFont="1" applyFill="1" applyBorder="1"/>
    <xf numFmtId="0" fontId="11" fillId="0" borderId="20" xfId="0" applyFont="1" applyFill="1" applyBorder="1"/>
    <xf numFmtId="1" fontId="11" fillId="0" borderId="20" xfId="0" applyNumberFormat="1" applyFont="1" applyFill="1" applyBorder="1" applyAlignment="1">
      <alignment horizontal="right" vertical="center"/>
    </xf>
    <xf numFmtId="1" fontId="11" fillId="0" borderId="21" xfId="0" applyNumberFormat="1" applyFont="1" applyFill="1" applyBorder="1" applyAlignment="1">
      <alignment horizontal="right" vertical="center"/>
    </xf>
    <xf numFmtId="174" fontId="16" fillId="0" borderId="12" xfId="0" applyNumberFormat="1" applyFont="1" applyFill="1" applyBorder="1" applyAlignment="1">
      <alignment vertical="center"/>
    </xf>
    <xf numFmtId="0" fontId="20" fillId="0" borderId="0" xfId="3" applyFont="1" applyAlignment="1">
      <alignment horizontal="left" vertical="center"/>
    </xf>
    <xf numFmtId="0" fontId="16" fillId="0" borderId="1" xfId="0" applyFont="1" applyFill="1" applyBorder="1" applyAlignment="1">
      <alignment vertical="center" wrapText="1"/>
    </xf>
    <xf numFmtId="0" fontId="11" fillId="0" borderId="1" xfId="0" applyFont="1" applyFill="1" applyBorder="1" applyAlignment="1">
      <alignment vertical="center"/>
    </xf>
    <xf numFmtId="165" fontId="11" fillId="0" borderId="1" xfId="1" applyNumberFormat="1" applyFont="1" applyFill="1" applyBorder="1" applyAlignment="1">
      <alignment vertical="center"/>
    </xf>
    <xf numFmtId="0" fontId="16" fillId="0" borderId="1" xfId="0" applyFont="1" applyBorder="1" applyAlignment="1">
      <alignment vertical="center" wrapText="1"/>
    </xf>
    <xf numFmtId="0" fontId="21" fillId="0" borderId="0" xfId="0" applyFont="1" applyAlignment="1">
      <alignment vertical="center"/>
    </xf>
    <xf numFmtId="9" fontId="11" fillId="2" borderId="1" xfId="2" applyFont="1" applyFill="1" applyBorder="1" applyAlignment="1">
      <alignment horizontal="center" vertical="center"/>
    </xf>
    <xf numFmtId="0" fontId="16" fillId="0" borderId="0" xfId="0" applyFont="1" applyAlignment="1">
      <alignment vertical="center" wrapText="1"/>
    </xf>
    <xf numFmtId="165" fontId="6" fillId="0" borderId="3" xfId="1" applyNumberFormat="1" applyFont="1" applyFill="1" applyBorder="1" applyAlignment="1">
      <alignment horizontal="right" vertical="center"/>
    </xf>
    <xf numFmtId="0" fontId="11" fillId="0" borderId="4" xfId="0" applyFont="1" applyBorder="1" applyAlignment="1">
      <alignment horizontal="centerContinuous" vertical="center" wrapText="1"/>
    </xf>
    <xf numFmtId="0" fontId="11" fillId="0" borderId="5" xfId="0" applyFont="1" applyBorder="1" applyAlignment="1">
      <alignment horizontal="centerContinuous" vertical="center" wrapText="1"/>
    </xf>
    <xf numFmtId="0" fontId="11" fillId="0" borderId="2" xfId="0" applyFont="1" applyBorder="1" applyAlignment="1">
      <alignment horizontal="centerContinuous" vertical="center" wrapText="1"/>
    </xf>
    <xf numFmtId="0" fontId="11" fillId="0" borderId="5" xfId="0" applyFont="1" applyBorder="1" applyAlignment="1">
      <alignment horizontal="center" vertical="center" wrapText="1"/>
    </xf>
    <xf numFmtId="164" fontId="11" fillId="0" borderId="1" xfId="1" applyNumberFormat="1" applyFont="1" applyBorder="1" applyAlignment="1">
      <alignment horizontal="righ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6" fillId="3" borderId="1" xfId="0" applyFont="1" applyFill="1" applyBorder="1" applyAlignment="1">
      <alignment horizontal="centerContinuous" vertical="center" wrapText="1"/>
    </xf>
    <xf numFmtId="0" fontId="16" fillId="3" borderId="1" xfId="0" applyFont="1" applyFill="1" applyBorder="1" applyAlignment="1">
      <alignment horizontal="centerContinuous" vertical="center"/>
    </xf>
    <xf numFmtId="0" fontId="16" fillId="2" borderId="1" xfId="0" applyFont="1" applyFill="1" applyBorder="1" applyAlignment="1">
      <alignment horizontal="centerContinuous" vertical="center" wrapText="1"/>
    </xf>
    <xf numFmtId="0" fontId="16" fillId="2" borderId="1" xfId="0" applyFont="1" applyFill="1" applyBorder="1" applyAlignment="1">
      <alignment horizontal="centerContinuous" vertical="center"/>
    </xf>
    <xf numFmtId="0" fontId="11" fillId="2" borderId="1" xfId="0" applyFont="1" applyFill="1" applyBorder="1" applyAlignment="1">
      <alignment horizontal="centerContinuous" vertical="center"/>
    </xf>
    <xf numFmtId="0" fontId="11" fillId="2" borderId="1" xfId="0" applyFont="1" applyFill="1" applyBorder="1" applyAlignment="1">
      <alignment vertical="center" wrapText="1"/>
    </xf>
    <xf numFmtId="0" fontId="11" fillId="3" borderId="1" xfId="0" applyFont="1" applyFill="1" applyBorder="1" applyAlignment="1">
      <alignment vertical="center" wrapText="1"/>
    </xf>
    <xf numFmtId="172" fontId="11" fillId="3" borderId="1" xfId="1" applyNumberFormat="1" applyFont="1" applyFill="1" applyBorder="1" applyAlignment="1">
      <alignment vertical="center"/>
    </xf>
    <xf numFmtId="164" fontId="11" fillId="3" borderId="1" xfId="1" applyFont="1" applyFill="1" applyBorder="1" applyAlignment="1">
      <alignment vertical="center"/>
    </xf>
    <xf numFmtId="173" fontId="11" fillId="3" borderId="1" xfId="1" applyNumberFormat="1" applyFont="1" applyFill="1" applyBorder="1" applyAlignment="1">
      <alignment vertical="center"/>
    </xf>
    <xf numFmtId="166" fontId="11" fillId="3" borderId="1" xfId="1" applyNumberFormat="1" applyFont="1" applyFill="1" applyBorder="1" applyAlignment="1">
      <alignment vertical="center"/>
    </xf>
    <xf numFmtId="2" fontId="11" fillId="3" borderId="1" xfId="1" applyNumberFormat="1" applyFont="1" applyFill="1" applyBorder="1" applyAlignment="1">
      <alignment vertical="center"/>
    </xf>
    <xf numFmtId="164" fontId="11" fillId="3" borderId="1" xfId="1" applyNumberFormat="1" applyFont="1" applyFill="1" applyBorder="1" applyAlignment="1">
      <alignment vertical="center"/>
    </xf>
    <xf numFmtId="165" fontId="11" fillId="2" borderId="1" xfId="1" applyNumberFormat="1" applyFont="1" applyFill="1" applyBorder="1" applyAlignment="1">
      <alignment vertical="center"/>
    </xf>
    <xf numFmtId="0" fontId="22" fillId="5" borderId="1" xfId="0" applyFont="1" applyFill="1" applyBorder="1" applyAlignment="1">
      <alignment horizontal="centerContinuous" vertical="center" wrapText="1"/>
    </xf>
    <xf numFmtId="0" fontId="22" fillId="5" borderId="1" xfId="0" applyFont="1" applyFill="1" applyBorder="1" applyAlignment="1">
      <alignment horizontal="center" vertical="center" wrapText="1"/>
    </xf>
    <xf numFmtId="0" fontId="22" fillId="5" borderId="1" xfId="0" applyFont="1" applyFill="1" applyBorder="1" applyAlignment="1">
      <alignment horizontal="centerContinuous" vertical="center"/>
    </xf>
    <xf numFmtId="0" fontId="11" fillId="0" borderId="3" xfId="0" applyFont="1" applyBorder="1" applyAlignment="1">
      <alignment vertical="center"/>
    </xf>
    <xf numFmtId="0" fontId="11" fillId="5" borderId="1" xfId="0" applyFont="1" applyFill="1" applyBorder="1" applyAlignment="1">
      <alignment horizontal="center" vertical="center"/>
    </xf>
    <xf numFmtId="0" fontId="11" fillId="2" borderId="1" xfId="0" applyFont="1" applyFill="1" applyBorder="1" applyAlignment="1">
      <alignment vertical="center"/>
    </xf>
    <xf numFmtId="168" fontId="11" fillId="3" borderId="1" xfId="0" applyNumberFormat="1" applyFont="1" applyFill="1" applyBorder="1" applyAlignment="1">
      <alignment vertical="center"/>
    </xf>
    <xf numFmtId="168" fontId="11" fillId="0" borderId="0" xfId="0" applyNumberFormat="1" applyFont="1" applyFill="1" applyBorder="1" applyAlignment="1">
      <alignment vertical="center"/>
    </xf>
    <xf numFmtId="175" fontId="11" fillId="0" borderId="0" xfId="0" applyNumberFormat="1" applyFont="1" applyFill="1" applyAlignment="1">
      <alignment vertical="center"/>
    </xf>
    <xf numFmtId="175" fontId="11" fillId="0" borderId="0" xfId="0" applyNumberFormat="1" applyFont="1" applyAlignment="1">
      <alignment vertical="center"/>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5" xfId="0" applyFont="1" applyFill="1" applyBorder="1" applyAlignment="1">
      <alignment horizontal="center" vertical="center" wrapText="1"/>
    </xf>
    <xf numFmtId="1" fontId="11" fillId="0" borderId="5" xfId="0" applyNumberFormat="1" applyFont="1" applyFill="1" applyBorder="1" applyAlignment="1">
      <alignment horizontal="right" vertical="center"/>
    </xf>
    <xf numFmtId="1" fontId="11" fillId="0" borderId="17" xfId="0" applyNumberFormat="1" applyFont="1" applyFill="1" applyBorder="1" applyAlignment="1">
      <alignment horizontal="right" vertical="center"/>
    </xf>
    <xf numFmtId="1" fontId="11" fillId="0" borderId="19" xfId="0" applyNumberFormat="1" applyFont="1" applyFill="1" applyBorder="1" applyAlignment="1">
      <alignment horizontal="right" vertical="center"/>
    </xf>
    <xf numFmtId="0" fontId="4" fillId="4" borderId="0" xfId="8" applyFont="1" applyFill="1"/>
    <xf numFmtId="0" fontId="1" fillId="4" borderId="0" xfId="9" applyFill="1"/>
    <xf numFmtId="0" fontId="5" fillId="4" borderId="0" xfId="8" applyFont="1" applyFill="1"/>
    <xf numFmtId="0" fontId="1" fillId="4" borderId="0" xfId="9" applyFill="1" applyBorder="1"/>
    <xf numFmtId="0" fontId="5" fillId="0" borderId="0" xfId="8" applyFont="1" applyBorder="1"/>
    <xf numFmtId="0" fontId="1" fillId="4" borderId="0" xfId="9" applyFill="1" applyBorder="1" applyAlignment="1">
      <alignment vertical="center" wrapText="1"/>
    </xf>
    <xf numFmtId="0" fontId="0" fillId="4" borderId="0" xfId="9" applyFont="1" applyFill="1" applyBorder="1" applyAlignment="1">
      <alignment horizontal="left" vertical="center" wrapText="1"/>
    </xf>
    <xf numFmtId="0" fontId="1" fillId="4" borderId="0" xfId="9" applyFill="1" applyBorder="1" applyAlignment="1">
      <alignment horizontal="left" vertical="center" wrapText="1"/>
    </xf>
    <xf numFmtId="165" fontId="19" fillId="0" borderId="11" xfId="7" applyNumberFormat="1" applyFont="1" applyFill="1" applyBorder="1" applyAlignment="1">
      <alignment horizontal="left" vertical="center" wrapText="1"/>
    </xf>
    <xf numFmtId="165" fontId="19" fillId="0" borderId="13" xfId="7" applyNumberFormat="1" applyFont="1" applyFill="1" applyBorder="1" applyAlignment="1">
      <alignment horizontal="left" vertical="center" wrapText="1"/>
    </xf>
    <xf numFmtId="165" fontId="7" fillId="0" borderId="1" xfId="1" applyNumberFormat="1" applyFont="1" applyFill="1" applyBorder="1" applyAlignment="1">
      <alignment horizontal="left" vertical="center"/>
    </xf>
    <xf numFmtId="165" fontId="7" fillId="8" borderId="1" xfId="1" applyNumberFormat="1" applyFont="1" applyFill="1" applyBorder="1" applyAlignment="1">
      <alignment horizontal="center" vertical="center"/>
    </xf>
    <xf numFmtId="0" fontId="16" fillId="11" borderId="1"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4" xfId="0" applyFont="1" applyFill="1" applyBorder="1" applyAlignment="1">
      <alignment horizontal="center" vertical="center" wrapText="1"/>
    </xf>
  </cellXfs>
  <cellStyles count="10">
    <cellStyle name="Comma" xfId="1" builtinId="3"/>
    <cellStyle name="Comma 2" xfId="7"/>
    <cellStyle name="Normal" xfId="0" builtinId="0"/>
    <cellStyle name="Normal 2" xfId="3"/>
    <cellStyle name="Normal 2 2" xfId="6"/>
    <cellStyle name="Normal 2 6" xfId="8"/>
    <cellStyle name="Normal 20" xfId="4"/>
    <cellStyle name="Normal 3" xfId="5"/>
    <cellStyle name="Normal 87" xfId="9"/>
    <cellStyle name="Percent" xfId="2" builtinId="5"/>
  </cellStyles>
  <dxfs count="12">
    <dxf>
      <fill>
        <patternFill>
          <bgColor theme="0" tint="-0.14996795556505021"/>
        </patternFill>
      </fill>
    </dxf>
    <dxf>
      <fill>
        <patternFill>
          <bgColor theme="0" tint="-0.14996795556505021"/>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
  <sheetViews>
    <sheetView tabSelected="1" zoomScale="80" zoomScaleNormal="80" workbookViewId="0"/>
  </sheetViews>
  <sheetFormatPr defaultColWidth="8.58203125" defaultRowHeight="14" x14ac:dyDescent="0.3"/>
  <cols>
    <col min="1" max="1" width="4.08203125" style="154" customWidth="1"/>
    <col min="2" max="2" width="69.4140625" style="154" bestFit="1" customWidth="1"/>
    <col min="3" max="16384" width="8.58203125" style="154"/>
  </cols>
  <sheetData>
    <row r="1" spans="1:21" ht="18" x14ac:dyDescent="0.4">
      <c r="A1" s="153" t="s">
        <v>146</v>
      </c>
    </row>
    <row r="2" spans="1:21" s="156" customFormat="1" x14ac:dyDescent="0.3">
      <c r="A2" s="155" t="s">
        <v>128</v>
      </c>
    </row>
    <row r="3" spans="1:21" s="156" customFormat="1" x14ac:dyDescent="0.3">
      <c r="A3" s="157"/>
    </row>
    <row r="4" spans="1:21" s="156" customFormat="1" x14ac:dyDescent="0.3"/>
    <row r="5" spans="1:21" s="156" customFormat="1" ht="348" customHeight="1" x14ac:dyDescent="0.3">
      <c r="B5" s="159" t="s">
        <v>150</v>
      </c>
      <c r="C5" s="160"/>
      <c r="D5" s="160"/>
      <c r="E5" s="160"/>
      <c r="F5" s="160"/>
      <c r="G5" s="160"/>
      <c r="H5" s="160"/>
      <c r="I5" s="160"/>
      <c r="J5" s="158"/>
      <c r="K5" s="158"/>
      <c r="L5" s="158"/>
      <c r="M5" s="158"/>
      <c r="N5" s="158"/>
      <c r="O5" s="158"/>
      <c r="P5" s="158"/>
      <c r="Q5" s="158"/>
      <c r="R5" s="158"/>
      <c r="S5" s="158"/>
      <c r="T5" s="158"/>
      <c r="U5" s="158"/>
    </row>
    <row r="6" spans="1:21" s="156" customFormat="1" x14ac:dyDescent="0.3"/>
    <row r="7" spans="1:21" s="156" customFormat="1" x14ac:dyDescent="0.3"/>
  </sheetData>
  <mergeCells count="1">
    <mergeCell ref="B5:I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C4"/>
  <sheetViews>
    <sheetView showGridLines="0" workbookViewId="0"/>
  </sheetViews>
  <sheetFormatPr defaultColWidth="9" defaultRowHeight="13" x14ac:dyDescent="0.3"/>
  <cols>
    <col min="1" max="1" width="4.58203125" style="79" customWidth="1"/>
    <col min="2" max="2" width="18.58203125" style="79" customWidth="1"/>
    <col min="3" max="3" width="8.6640625" style="79" customWidth="1"/>
    <col min="4" max="4" width="18.58203125" style="79" customWidth="1"/>
    <col min="5" max="16384" width="9" style="79"/>
  </cols>
  <sheetData>
    <row r="2" spans="2:3" x14ac:dyDescent="0.3">
      <c r="B2" s="63" t="s">
        <v>118</v>
      </c>
      <c r="C2" s="57"/>
    </row>
    <row r="3" spans="2:3" x14ac:dyDescent="0.3">
      <c r="B3" s="57"/>
      <c r="C3" s="57"/>
    </row>
    <row r="4" spans="2:3" x14ac:dyDescent="0.3">
      <c r="B4" s="73">
        <f>Efficiency!$E$6</f>
        <v>0.95210806052764874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F17"/>
  <sheetViews>
    <sheetView showGridLines="0" workbookViewId="0"/>
  </sheetViews>
  <sheetFormatPr defaultColWidth="9" defaultRowHeight="13" x14ac:dyDescent="0.3"/>
  <cols>
    <col min="1" max="1" width="2.6640625" style="57" customWidth="1"/>
    <col min="2" max="2" width="9.08203125" style="57" customWidth="1"/>
    <col min="3" max="16384" width="9" style="57"/>
  </cols>
  <sheetData>
    <row r="3" spans="2:6" x14ac:dyDescent="0.3">
      <c r="B3" s="63" t="s">
        <v>102</v>
      </c>
      <c r="F3" s="63"/>
    </row>
    <row r="4" spans="2:6" x14ac:dyDescent="0.3">
      <c r="B4" s="63"/>
    </row>
    <row r="5" spans="2:6" x14ac:dyDescent="0.3">
      <c r="B5" s="64" t="s">
        <v>43</v>
      </c>
      <c r="C5" s="112">
        <v>0.5</v>
      </c>
    </row>
    <row r="6" spans="2:6" x14ac:dyDescent="0.3">
      <c r="B6" s="64" t="s">
        <v>44</v>
      </c>
      <c r="C6" s="112">
        <v>0.5</v>
      </c>
    </row>
    <row r="7" spans="2:6" x14ac:dyDescent="0.3">
      <c r="B7" s="64" t="s">
        <v>48</v>
      </c>
      <c r="C7" s="112">
        <v>1</v>
      </c>
    </row>
    <row r="8" spans="2:6" x14ac:dyDescent="0.3">
      <c r="B8" s="64" t="s">
        <v>49</v>
      </c>
      <c r="C8" s="112">
        <v>0.5</v>
      </c>
    </row>
    <row r="9" spans="2:6" x14ac:dyDescent="0.3">
      <c r="B9" s="64" t="s">
        <v>50</v>
      </c>
      <c r="C9" s="112">
        <v>0.5</v>
      </c>
    </row>
    <row r="10" spans="2:6" x14ac:dyDescent="0.3">
      <c r="B10" s="62"/>
      <c r="C10" s="72"/>
    </row>
    <row r="11" spans="2:6" x14ac:dyDescent="0.3">
      <c r="B11" s="64" t="s">
        <v>103</v>
      </c>
      <c r="C11" s="112">
        <v>0.5</v>
      </c>
    </row>
    <row r="12" spans="2:6" x14ac:dyDescent="0.3">
      <c r="B12" s="64" t="s">
        <v>104</v>
      </c>
      <c r="C12" s="112">
        <v>0.5</v>
      </c>
    </row>
    <row r="13" spans="2:6" x14ac:dyDescent="0.3">
      <c r="B13" s="62"/>
      <c r="C13" s="72"/>
    </row>
    <row r="14" spans="2:6" x14ac:dyDescent="0.3">
      <c r="B14" s="161" t="s">
        <v>105</v>
      </c>
      <c r="C14" s="65" t="s">
        <v>62</v>
      </c>
      <c r="D14" s="66" t="str">
        <f>IF(($C$5*100)+($C$6*100)=100,"OK","error")</f>
        <v>OK</v>
      </c>
    </row>
    <row r="15" spans="2:6" x14ac:dyDescent="0.3">
      <c r="B15" s="161"/>
      <c r="C15" s="65" t="s">
        <v>63</v>
      </c>
      <c r="D15" s="66" t="str">
        <f>IF(C7*100=100,"OK","error")</f>
        <v>OK</v>
      </c>
    </row>
    <row r="16" spans="2:6" x14ac:dyDescent="0.3">
      <c r="B16" s="162"/>
      <c r="C16" s="67" t="s">
        <v>64</v>
      </c>
      <c r="D16" s="68" t="str">
        <f>IF(($C$8*100)+($C$9*100)=100,"OK","error")</f>
        <v>OK</v>
      </c>
    </row>
    <row r="17" spans="2:4" x14ac:dyDescent="0.3">
      <c r="B17" s="69" t="s">
        <v>141</v>
      </c>
      <c r="C17" s="70"/>
      <c r="D17" s="71" t="str">
        <f>IF(SUM(C11:C12)*100=100,"OK","error")</f>
        <v>OK</v>
      </c>
    </row>
  </sheetData>
  <mergeCells count="1">
    <mergeCell ref="B14:B16"/>
  </mergeCells>
  <conditionalFormatting sqref="H5">
    <cfRule type="expression" dxfId="11" priority="11">
      <formula>H5="error"</formula>
    </cfRule>
    <cfRule type="expression" dxfId="10" priority="12">
      <formula>H5="OK"</formula>
    </cfRule>
  </conditionalFormatting>
  <conditionalFormatting sqref="H6">
    <cfRule type="expression" dxfId="9" priority="9">
      <formula>H6="error"</formula>
    </cfRule>
    <cfRule type="expression" dxfId="8" priority="10">
      <formula>H6="OK"</formula>
    </cfRule>
  </conditionalFormatting>
  <conditionalFormatting sqref="D15:D16">
    <cfRule type="expression" dxfId="7" priority="7">
      <formula>D15="error"</formula>
    </cfRule>
    <cfRule type="expression" dxfId="6" priority="8">
      <formula>D15="OK"</formula>
    </cfRule>
  </conditionalFormatting>
  <conditionalFormatting sqref="D14">
    <cfRule type="expression" dxfId="5" priority="5">
      <formula>D14="error"</formula>
    </cfRule>
    <cfRule type="expression" dxfId="4" priority="6">
      <formula>D14="OK"</formula>
    </cfRule>
  </conditionalFormatting>
  <conditionalFormatting sqref="D17">
    <cfRule type="expression" dxfId="3" priority="3">
      <formula>D17="error"</formula>
    </cfRule>
    <cfRule type="expression" dxfId="2" priority="4">
      <formula>D17="OK"</formula>
    </cfRule>
  </conditionalFormatting>
  <conditionalFormatting sqref="C5:C9">
    <cfRule type="cellIs" dxfId="1" priority="2" operator="equal">
      <formula>0</formula>
    </cfRule>
  </conditionalFormatting>
  <conditionalFormatting sqref="C11:C12">
    <cfRule type="cellIs" dxfId="0"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
  <sheetViews>
    <sheetView showGridLines="0" workbookViewId="0"/>
  </sheetViews>
  <sheetFormatPr defaultRowHeight="14" x14ac:dyDescent="0.3"/>
  <sheetData>
    <row r="1" spans="1:1" x14ac:dyDescent="0.3">
      <c r="A1"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37"/>
  <sheetViews>
    <sheetView showGridLines="0" zoomScale="90" zoomScaleNormal="90" workbookViewId="0"/>
  </sheetViews>
  <sheetFormatPr defaultColWidth="9" defaultRowHeight="13" x14ac:dyDescent="0.3"/>
  <cols>
    <col min="1" max="1" width="2.08203125" style="3" customWidth="1"/>
    <col min="2" max="2" width="21.58203125" style="3" customWidth="1"/>
    <col min="3" max="3" width="49.58203125" style="3" bestFit="1" customWidth="1"/>
    <col min="4" max="5" width="10.58203125" style="5" customWidth="1"/>
    <col min="6" max="6" width="10.6640625" style="3" bestFit="1" customWidth="1"/>
    <col min="7" max="8" width="10.58203125" style="3" customWidth="1"/>
    <col min="9" max="16384" width="9" style="3"/>
  </cols>
  <sheetData>
    <row r="1" spans="2:8" ht="15.75" customHeight="1" x14ac:dyDescent="0.3"/>
    <row r="2" spans="2:8" ht="48" customHeight="1" x14ac:dyDescent="0.3">
      <c r="B2" s="45"/>
      <c r="C2" s="45"/>
      <c r="D2" s="136" t="s">
        <v>39</v>
      </c>
      <c r="E2" s="136"/>
      <c r="F2" s="137" t="s">
        <v>40</v>
      </c>
      <c r="G2" s="136" t="s">
        <v>41</v>
      </c>
      <c r="H2" s="138"/>
    </row>
    <row r="3" spans="2:8" x14ac:dyDescent="0.3">
      <c r="B3" s="139"/>
      <c r="C3" s="139"/>
      <c r="D3" s="140" t="s">
        <v>43</v>
      </c>
      <c r="E3" s="140" t="s">
        <v>44</v>
      </c>
      <c r="F3" s="140" t="s">
        <v>48</v>
      </c>
      <c r="G3" s="140" t="s">
        <v>49</v>
      </c>
      <c r="H3" s="140" t="s">
        <v>50</v>
      </c>
    </row>
    <row r="4" spans="2:8" x14ac:dyDescent="0.3">
      <c r="B4" s="139" t="s">
        <v>37</v>
      </c>
      <c r="C4" s="139" t="s">
        <v>36</v>
      </c>
      <c r="D4" s="140" t="s">
        <v>71</v>
      </c>
      <c r="E4" s="140" t="s">
        <v>72</v>
      </c>
      <c r="F4" s="140" t="s">
        <v>73</v>
      </c>
      <c r="G4" s="140" t="s">
        <v>74</v>
      </c>
      <c r="H4" s="140" t="s">
        <v>75</v>
      </c>
    </row>
    <row r="5" spans="2:8" x14ac:dyDescent="0.3">
      <c r="B5" s="141" t="s">
        <v>38</v>
      </c>
      <c r="C5" s="141" t="s">
        <v>52</v>
      </c>
      <c r="D5" s="142">
        <v>1.013871</v>
      </c>
      <c r="E5" s="142">
        <v>1.0137510000000001</v>
      </c>
      <c r="F5" s="142" t="s">
        <v>127</v>
      </c>
      <c r="G5" s="142">
        <v>0.99266569999999998</v>
      </c>
      <c r="H5" s="142">
        <v>0.98405679999999995</v>
      </c>
    </row>
    <row r="6" spans="2:8" x14ac:dyDescent="0.3">
      <c r="B6" s="141" t="s">
        <v>51</v>
      </c>
      <c r="C6" s="141" t="s">
        <v>61</v>
      </c>
      <c r="D6" s="142">
        <v>7.7673999999999998E-3</v>
      </c>
      <c r="E6" s="142" t="s">
        <v>127</v>
      </c>
      <c r="F6" s="142" t="s">
        <v>127</v>
      </c>
      <c r="G6" s="142">
        <v>3.1094999999999999E-3</v>
      </c>
      <c r="H6" s="142" t="s">
        <v>127</v>
      </c>
    </row>
    <row r="7" spans="2:8" x14ac:dyDescent="0.3">
      <c r="B7" s="141" t="s">
        <v>98</v>
      </c>
      <c r="C7" s="141" t="s">
        <v>101</v>
      </c>
      <c r="D7" s="142" t="s">
        <v>127</v>
      </c>
      <c r="E7" s="142">
        <v>0.44256820000000002</v>
      </c>
      <c r="F7" s="142" t="s">
        <v>127</v>
      </c>
      <c r="G7" s="142" t="s">
        <v>127</v>
      </c>
      <c r="H7" s="142">
        <v>0.37140000000000001</v>
      </c>
    </row>
    <row r="8" spans="2:8" x14ac:dyDescent="0.3">
      <c r="B8" s="141" t="s">
        <v>42</v>
      </c>
      <c r="C8" s="141" t="s">
        <v>47</v>
      </c>
      <c r="D8" s="142">
        <v>-1.359629</v>
      </c>
      <c r="E8" s="142">
        <v>-0.7008238</v>
      </c>
      <c r="F8" s="142">
        <v>-3.0676049999999999</v>
      </c>
      <c r="G8" s="142">
        <v>-1.710726</v>
      </c>
      <c r="H8" s="142">
        <v>-1.4728479999999999</v>
      </c>
    </row>
    <row r="9" spans="2:8" x14ac:dyDescent="0.3">
      <c r="B9" s="141" t="s">
        <v>46</v>
      </c>
      <c r="C9" s="141" t="s">
        <v>53</v>
      </c>
      <c r="D9" s="142">
        <v>8.2824999999999996E-2</v>
      </c>
      <c r="E9" s="142">
        <v>3.57723E-2</v>
      </c>
      <c r="F9" s="142">
        <v>0.24500440000000001</v>
      </c>
      <c r="G9" s="142">
        <v>0.1261187</v>
      </c>
      <c r="H9" s="142">
        <v>0.10907799999999999</v>
      </c>
    </row>
    <row r="10" spans="2:8" x14ac:dyDescent="0.3">
      <c r="B10" s="141" t="s">
        <v>45</v>
      </c>
      <c r="C10" s="141" t="s">
        <v>142</v>
      </c>
      <c r="D10" s="142" t="s">
        <v>127</v>
      </c>
      <c r="E10" s="142" t="s">
        <v>127</v>
      </c>
      <c r="F10" s="142">
        <v>1.0133730000000001</v>
      </c>
      <c r="G10" s="142" t="s">
        <v>127</v>
      </c>
      <c r="H10" s="142" t="s">
        <v>127</v>
      </c>
    </row>
    <row r="11" spans="2:8" x14ac:dyDescent="0.3">
      <c r="B11" s="141" t="s">
        <v>82</v>
      </c>
      <c r="C11" s="141" t="s">
        <v>143</v>
      </c>
      <c r="D11" s="142" t="s">
        <v>127</v>
      </c>
      <c r="E11" s="142" t="s">
        <v>127</v>
      </c>
      <c r="F11" s="142">
        <v>0.46473490000000001</v>
      </c>
      <c r="G11" s="142">
        <v>0.51486569999999998</v>
      </c>
      <c r="H11" s="142">
        <v>0.5174474</v>
      </c>
    </row>
    <row r="12" spans="2:8" x14ac:dyDescent="0.3">
      <c r="B12" s="141" t="s">
        <v>0</v>
      </c>
      <c r="C12" s="141" t="s">
        <v>35</v>
      </c>
      <c r="D12" s="142">
        <v>-5.3156990000000004</v>
      </c>
      <c r="E12" s="142">
        <v>-7.6047760000000002</v>
      </c>
      <c r="F12" s="142">
        <v>5.7772220000000001</v>
      </c>
      <c r="G12" s="142">
        <v>-1.2734780000000001</v>
      </c>
      <c r="H12" s="142">
        <v>-2.2673009999999998</v>
      </c>
    </row>
    <row r="13" spans="2:8" s="5" customFormat="1" x14ac:dyDescent="0.3">
      <c r="B13" s="83"/>
      <c r="C13" s="83"/>
      <c r="D13" s="143"/>
      <c r="E13" s="143"/>
      <c r="F13" s="143"/>
      <c r="G13" s="143"/>
      <c r="H13" s="143"/>
    </row>
    <row r="14" spans="2:8" s="5" customFormat="1" x14ac:dyDescent="0.3">
      <c r="B14" s="83"/>
      <c r="C14" s="83"/>
      <c r="D14" s="143"/>
      <c r="E14" s="143"/>
    </row>
    <row r="15" spans="2:8" x14ac:dyDescent="0.3">
      <c r="B15" s="14"/>
    </row>
    <row r="16" spans="2:8" x14ac:dyDescent="0.3">
      <c r="B16" s="5"/>
      <c r="D16" s="144"/>
      <c r="E16" s="144"/>
      <c r="F16" s="145"/>
      <c r="G16" s="145"/>
      <c r="H16" s="145"/>
    </row>
    <row r="17" spans="2:8" x14ac:dyDescent="0.3">
      <c r="B17" s="83"/>
      <c r="D17" s="144"/>
      <c r="E17" s="144"/>
      <c r="F17" s="145"/>
      <c r="G17" s="145"/>
      <c r="H17" s="145"/>
    </row>
    <row r="18" spans="2:8" x14ac:dyDescent="0.3">
      <c r="D18" s="144"/>
      <c r="E18" s="144"/>
      <c r="F18" s="145"/>
      <c r="G18" s="145"/>
      <c r="H18" s="145"/>
    </row>
    <row r="19" spans="2:8" x14ac:dyDescent="0.3">
      <c r="D19" s="144"/>
      <c r="E19" s="144"/>
      <c r="F19" s="145"/>
      <c r="G19" s="145"/>
      <c r="H19" s="145"/>
    </row>
    <row r="20" spans="2:8" x14ac:dyDescent="0.3">
      <c r="D20" s="144"/>
      <c r="E20" s="144"/>
      <c r="F20" s="145"/>
      <c r="G20" s="145"/>
      <c r="H20" s="145"/>
    </row>
    <row r="21" spans="2:8" x14ac:dyDescent="0.3">
      <c r="D21" s="144"/>
      <c r="E21" s="144"/>
      <c r="F21" s="145"/>
      <c r="G21" s="145"/>
      <c r="H21" s="145"/>
    </row>
    <row r="22" spans="2:8" x14ac:dyDescent="0.3">
      <c r="D22" s="144"/>
      <c r="E22" s="144"/>
      <c r="F22" s="145"/>
      <c r="G22" s="145"/>
      <c r="H22" s="145"/>
    </row>
    <row r="23" spans="2:8" x14ac:dyDescent="0.3">
      <c r="D23" s="144"/>
      <c r="E23" s="144"/>
      <c r="F23" s="145"/>
      <c r="G23" s="145"/>
      <c r="H23" s="145"/>
    </row>
    <row r="26" spans="2:8" x14ac:dyDescent="0.3">
      <c r="F26" s="5"/>
      <c r="G26" s="5"/>
      <c r="H26" s="5"/>
    </row>
    <row r="27" spans="2:8" x14ac:dyDescent="0.3">
      <c r="F27" s="5"/>
      <c r="G27" s="5"/>
      <c r="H27" s="5"/>
    </row>
    <row r="28" spans="2:8" x14ac:dyDescent="0.3">
      <c r="F28" s="5"/>
      <c r="G28" s="5"/>
      <c r="H28" s="5"/>
    </row>
    <row r="29" spans="2:8" x14ac:dyDescent="0.3">
      <c r="F29" s="5"/>
      <c r="G29" s="5"/>
      <c r="H29" s="5"/>
    </row>
    <row r="30" spans="2:8" x14ac:dyDescent="0.3">
      <c r="F30" s="5"/>
      <c r="G30" s="5"/>
      <c r="H30" s="5"/>
    </row>
    <row r="31" spans="2:8" x14ac:dyDescent="0.3">
      <c r="F31" s="5"/>
      <c r="G31" s="5"/>
      <c r="H31" s="5"/>
    </row>
    <row r="32" spans="2:8" x14ac:dyDescent="0.3">
      <c r="F32" s="5"/>
      <c r="G32" s="5"/>
      <c r="H32" s="5"/>
    </row>
    <row r="33" spans="6:8" x14ac:dyDescent="0.3">
      <c r="F33" s="5"/>
      <c r="G33" s="5"/>
      <c r="H33" s="5"/>
    </row>
    <row r="34" spans="6:8" x14ac:dyDescent="0.3">
      <c r="F34" s="5"/>
      <c r="G34" s="5"/>
      <c r="H34" s="5"/>
    </row>
    <row r="35" spans="6:8" x14ac:dyDescent="0.3">
      <c r="F35" s="5"/>
      <c r="G35" s="5"/>
      <c r="H35" s="5"/>
    </row>
    <row r="36" spans="6:8" x14ac:dyDescent="0.3">
      <c r="F36" s="5"/>
      <c r="G36" s="5"/>
      <c r="H36" s="5"/>
    </row>
    <row r="37" spans="6:8" x14ac:dyDescent="0.3">
      <c r="F37" s="5"/>
      <c r="G37" s="5"/>
      <c r="H37" s="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129"/>
  <sheetViews>
    <sheetView showGridLines="0" zoomScale="80" zoomScaleNormal="80" workbookViewId="0">
      <pane xSplit="3" ySplit="5" topLeftCell="D6" activePane="bottomRight" state="frozen"/>
      <selection pane="topRight" activeCell="D1" sqref="D1"/>
      <selection pane="bottomLeft" activeCell="A4" sqref="A4"/>
      <selection pane="bottomRight"/>
    </sheetView>
  </sheetViews>
  <sheetFormatPr defaultColWidth="8.6640625" defaultRowHeight="13" x14ac:dyDescent="0.3"/>
  <cols>
    <col min="1" max="1" width="10.6640625" style="5" bestFit="1" customWidth="1"/>
    <col min="2" max="2" width="12.08203125" style="83" bestFit="1" customWidth="1"/>
    <col min="3" max="3" width="11.6640625" style="83" bestFit="1" customWidth="1"/>
    <col min="4" max="4" width="14.58203125" style="5" bestFit="1" customWidth="1"/>
    <col min="5" max="6" width="15.58203125" style="5" bestFit="1" customWidth="1"/>
    <col min="7" max="7" width="14" style="5" customWidth="1"/>
    <col min="8" max="8" width="14.58203125" style="5" bestFit="1" customWidth="1"/>
    <col min="9" max="16384" width="8.6640625" style="5"/>
  </cols>
  <sheetData>
    <row r="1" spans="1:20" s="3" customFormat="1" ht="21" x14ac:dyDescent="0.3">
      <c r="A1" s="2" t="s">
        <v>122</v>
      </c>
      <c r="D1" s="111"/>
      <c r="F1" s="4"/>
      <c r="G1" s="4"/>
      <c r="H1" s="4"/>
      <c r="I1" s="4"/>
      <c r="J1" s="4"/>
      <c r="K1" s="4"/>
      <c r="L1" s="6"/>
      <c r="M1" s="6"/>
      <c r="N1" s="6"/>
      <c r="O1" s="4"/>
      <c r="P1" s="4"/>
      <c r="Q1" s="4"/>
      <c r="R1" s="4"/>
      <c r="S1" s="4"/>
      <c r="T1" s="4"/>
    </row>
    <row r="2" spans="1:20" s="3" customFormat="1" ht="15.5" x14ac:dyDescent="0.3">
      <c r="A2" s="7" t="s">
        <v>96</v>
      </c>
      <c r="F2" s="4"/>
      <c r="G2" s="4"/>
      <c r="H2" s="4"/>
      <c r="I2" s="4"/>
      <c r="J2" s="4"/>
      <c r="K2" s="4"/>
      <c r="L2" s="6"/>
      <c r="M2" s="6"/>
      <c r="N2" s="6"/>
      <c r="O2" s="4"/>
      <c r="P2" s="4"/>
      <c r="Q2" s="4"/>
      <c r="R2" s="4"/>
      <c r="S2" s="4"/>
      <c r="T2" s="4"/>
    </row>
    <row r="3" spans="1:20" s="3" customFormat="1" x14ac:dyDescent="0.3">
      <c r="A3" s="106"/>
      <c r="F3" s="4"/>
      <c r="G3" s="4"/>
      <c r="H3" s="4"/>
      <c r="I3" s="4"/>
      <c r="J3" s="4"/>
      <c r="K3" s="4"/>
      <c r="L3" s="6"/>
      <c r="M3" s="6"/>
      <c r="N3" s="6"/>
      <c r="O3" s="4"/>
      <c r="P3" s="4"/>
      <c r="Q3" s="4"/>
      <c r="R3" s="4"/>
      <c r="S3" s="4"/>
      <c r="T3" s="4"/>
    </row>
    <row r="4" spans="1:20" s="3" customFormat="1" ht="26" x14ac:dyDescent="0.3">
      <c r="A4" s="106"/>
      <c r="D4" s="110" t="s">
        <v>54</v>
      </c>
      <c r="E4" s="110" t="s">
        <v>40</v>
      </c>
      <c r="F4" s="110" t="s">
        <v>121</v>
      </c>
      <c r="G4" s="110" t="s">
        <v>39</v>
      </c>
      <c r="H4" s="110" t="s">
        <v>41</v>
      </c>
      <c r="I4" s="4"/>
      <c r="J4" s="4"/>
      <c r="K4" s="4"/>
      <c r="L4" s="6"/>
      <c r="M4" s="6"/>
      <c r="N4" s="6"/>
      <c r="O4" s="4"/>
      <c r="P4" s="4"/>
      <c r="Q4" s="4"/>
      <c r="R4" s="4"/>
      <c r="S4" s="4"/>
      <c r="T4" s="4"/>
    </row>
    <row r="5" spans="1:20" s="6" customFormat="1" x14ac:dyDescent="0.3">
      <c r="A5" s="107" t="s">
        <v>21</v>
      </c>
      <c r="B5" s="107" t="s">
        <v>77</v>
      </c>
      <c r="C5" s="107" t="s">
        <v>106</v>
      </c>
      <c r="D5" s="107" t="s">
        <v>91</v>
      </c>
      <c r="E5" s="107" t="s">
        <v>92</v>
      </c>
      <c r="F5" s="107" t="s">
        <v>93</v>
      </c>
      <c r="G5" s="107" t="s">
        <v>94</v>
      </c>
      <c r="H5" s="107" t="s">
        <v>95</v>
      </c>
    </row>
    <row r="6" spans="1:20" x14ac:dyDescent="0.3">
      <c r="A6" s="108" t="s">
        <v>2</v>
      </c>
      <c r="B6" s="108">
        <v>2012</v>
      </c>
      <c r="C6" s="108" t="str">
        <f>A6&amp;RIGHT(B6,2)</f>
        <v>ANH12</v>
      </c>
      <c r="D6" s="109">
        <v>27.391414862422842</v>
      </c>
      <c r="E6" s="109">
        <v>122.65583247258817</v>
      </c>
      <c r="F6" s="109">
        <v>204.06529825577593</v>
      </c>
      <c r="G6" s="109">
        <v>108.80088064561059</v>
      </c>
      <c r="H6" s="109">
        <v>231.45671311819876</v>
      </c>
    </row>
    <row r="7" spans="1:20" x14ac:dyDescent="0.3">
      <c r="A7" s="108" t="s">
        <v>2</v>
      </c>
      <c r="B7" s="108">
        <v>2013</v>
      </c>
      <c r="C7" s="108" t="str">
        <f t="shared" ref="C7:C70" si="0">A7&amp;RIGHT(B7,2)</f>
        <v>ANH13</v>
      </c>
      <c r="D7" s="109">
        <v>29.819840989279918</v>
      </c>
      <c r="E7" s="109">
        <v>129.90312674834462</v>
      </c>
      <c r="F7" s="109">
        <v>215.29549448475453</v>
      </c>
      <c r="G7" s="109">
        <v>115.21220872568983</v>
      </c>
      <c r="H7" s="109">
        <v>245.11533547403445</v>
      </c>
    </row>
    <row r="8" spans="1:20" x14ac:dyDescent="0.3">
      <c r="A8" s="108" t="s">
        <v>2</v>
      </c>
      <c r="B8" s="108">
        <v>2014</v>
      </c>
      <c r="C8" s="108" t="str">
        <f t="shared" si="0"/>
        <v>ANH14</v>
      </c>
      <c r="D8" s="109">
        <v>29.082456645357052</v>
      </c>
      <c r="E8" s="109">
        <v>115.62976737066985</v>
      </c>
      <c r="F8" s="109">
        <v>189.69171099006064</v>
      </c>
      <c r="G8" s="109">
        <v>103.14440026474783</v>
      </c>
      <c r="H8" s="109">
        <v>218.77416763541768</v>
      </c>
    </row>
    <row r="9" spans="1:20" x14ac:dyDescent="0.3">
      <c r="A9" s="108" t="s">
        <v>2</v>
      </c>
      <c r="B9" s="108">
        <v>2015</v>
      </c>
      <c r="C9" s="108" t="str">
        <f t="shared" si="0"/>
        <v>ANH15</v>
      </c>
      <c r="D9" s="109">
        <v>25.650666720799823</v>
      </c>
      <c r="E9" s="109">
        <v>116.34561526562311</v>
      </c>
      <c r="F9" s="109">
        <v>187.6929338515603</v>
      </c>
      <c r="G9" s="109">
        <v>96.997985306737007</v>
      </c>
      <c r="H9" s="109">
        <v>213.34360057236012</v>
      </c>
    </row>
    <row r="10" spans="1:20" x14ac:dyDescent="0.3">
      <c r="A10" s="108" t="s">
        <v>2</v>
      </c>
      <c r="B10" s="108">
        <v>2016</v>
      </c>
      <c r="C10" s="108" t="str">
        <f t="shared" si="0"/>
        <v>ANH16</v>
      </c>
      <c r="D10" s="109">
        <v>28.533563500227643</v>
      </c>
      <c r="E10" s="109">
        <v>118.32359577960062</v>
      </c>
      <c r="F10" s="109">
        <v>188.87783170202823</v>
      </c>
      <c r="G10" s="109">
        <v>99.087799422655252</v>
      </c>
      <c r="H10" s="109">
        <v>217.41139520225587</v>
      </c>
    </row>
    <row r="11" spans="1:20" x14ac:dyDescent="0.3">
      <c r="A11" s="108" t="s">
        <v>2</v>
      </c>
      <c r="B11" s="108">
        <v>2017</v>
      </c>
      <c r="C11" s="108" t="str">
        <f t="shared" si="0"/>
        <v>ANH17</v>
      </c>
      <c r="D11" s="109">
        <v>25.108117526393098</v>
      </c>
      <c r="E11" s="109">
        <v>130.71965341207789</v>
      </c>
      <c r="F11" s="109">
        <v>218.29005837821421</v>
      </c>
      <c r="G11" s="109">
        <v>112.67852249252942</v>
      </c>
      <c r="H11" s="109">
        <v>243.39817590460731</v>
      </c>
    </row>
    <row r="12" spans="1:20" x14ac:dyDescent="0.3">
      <c r="A12" s="108" t="s">
        <v>2</v>
      </c>
      <c r="B12" s="108">
        <v>2018</v>
      </c>
      <c r="C12" s="108" t="str">
        <f t="shared" si="0"/>
        <v>ANH18</v>
      </c>
      <c r="D12" s="109">
        <v>29.386548332313033</v>
      </c>
      <c r="E12" s="109">
        <v>170.20244193338138</v>
      </c>
      <c r="F12" s="109">
        <v>246.51149725438208</v>
      </c>
      <c r="G12" s="109">
        <v>105.69560365331373</v>
      </c>
      <c r="H12" s="109">
        <v>275.8980455866951</v>
      </c>
    </row>
    <row r="13" spans="1:20" x14ac:dyDescent="0.3">
      <c r="A13" s="108" t="s">
        <v>3</v>
      </c>
      <c r="B13" s="108">
        <v>2012</v>
      </c>
      <c r="C13" s="108" t="str">
        <f t="shared" si="0"/>
        <v>NES12</v>
      </c>
      <c r="D13" s="109">
        <v>23.666033047627455</v>
      </c>
      <c r="E13" s="109">
        <v>116.17197684898821</v>
      </c>
      <c r="F13" s="109">
        <v>181.29556013077664</v>
      </c>
      <c r="G13" s="109">
        <v>88.789616329415878</v>
      </c>
      <c r="H13" s="109">
        <v>204.96159317840409</v>
      </c>
    </row>
    <row r="14" spans="1:20" x14ac:dyDescent="0.3">
      <c r="A14" s="108" t="s">
        <v>3</v>
      </c>
      <c r="B14" s="108">
        <v>2013</v>
      </c>
      <c r="C14" s="108" t="str">
        <f t="shared" si="0"/>
        <v>NES13</v>
      </c>
      <c r="D14" s="109">
        <v>27.863885936151856</v>
      </c>
      <c r="E14" s="109">
        <v>112.28424158757549</v>
      </c>
      <c r="F14" s="109">
        <v>179.99468213977568</v>
      </c>
      <c r="G14" s="109">
        <v>95.574326488352042</v>
      </c>
      <c r="H14" s="109">
        <v>207.85856807592754</v>
      </c>
    </row>
    <row r="15" spans="1:20" x14ac:dyDescent="0.3">
      <c r="A15" s="108" t="s">
        <v>3</v>
      </c>
      <c r="B15" s="108">
        <v>2014</v>
      </c>
      <c r="C15" s="108" t="str">
        <f t="shared" si="0"/>
        <v>NES14</v>
      </c>
      <c r="D15" s="109">
        <v>29.048546146044622</v>
      </c>
      <c r="E15" s="109">
        <v>108.90853059499659</v>
      </c>
      <c r="F15" s="109">
        <v>178.82142528735628</v>
      </c>
      <c r="G15" s="109">
        <v>98.961440838404314</v>
      </c>
      <c r="H15" s="109">
        <v>207.86997143340091</v>
      </c>
    </row>
    <row r="16" spans="1:20" x14ac:dyDescent="0.3">
      <c r="A16" s="108" t="s">
        <v>3</v>
      </c>
      <c r="B16" s="108">
        <v>2015</v>
      </c>
      <c r="C16" s="108" t="str">
        <f t="shared" si="0"/>
        <v>NES15</v>
      </c>
      <c r="D16" s="109">
        <v>32.301157683629988</v>
      </c>
      <c r="E16" s="109">
        <v>96.002648115651397</v>
      </c>
      <c r="F16" s="109">
        <v>160.0730378540988</v>
      </c>
      <c r="G16" s="109">
        <v>96.371547422077384</v>
      </c>
      <c r="H16" s="109">
        <v>192.37419553772878</v>
      </c>
    </row>
    <row r="17" spans="1:8" x14ac:dyDescent="0.3">
      <c r="A17" s="108" t="s">
        <v>3</v>
      </c>
      <c r="B17" s="108">
        <v>2016</v>
      </c>
      <c r="C17" s="108" t="str">
        <f t="shared" si="0"/>
        <v>NES16</v>
      </c>
      <c r="D17" s="109">
        <v>34.466411148086515</v>
      </c>
      <c r="E17" s="109">
        <v>111.63529800332776</v>
      </c>
      <c r="F17" s="109">
        <v>174.36089933444259</v>
      </c>
      <c r="G17" s="109">
        <v>97.192012479201338</v>
      </c>
      <c r="H17" s="109">
        <v>208.8273104825291</v>
      </c>
    </row>
    <row r="18" spans="1:8" x14ac:dyDescent="0.3">
      <c r="A18" s="108" t="s">
        <v>3</v>
      </c>
      <c r="B18" s="108">
        <v>2017</v>
      </c>
      <c r="C18" s="108" t="str">
        <f t="shared" si="0"/>
        <v>NES17</v>
      </c>
      <c r="D18" s="109">
        <v>30.287407468198605</v>
      </c>
      <c r="E18" s="109">
        <v>118.50371538777185</v>
      </c>
      <c r="F18" s="109">
        <v>185.56604989741484</v>
      </c>
      <c r="G18" s="109">
        <v>97.349741977841603</v>
      </c>
      <c r="H18" s="109">
        <v>215.85345736561345</v>
      </c>
    </row>
    <row r="19" spans="1:8" x14ac:dyDescent="0.3">
      <c r="A19" s="108" t="s">
        <v>3</v>
      </c>
      <c r="B19" s="108">
        <v>2018</v>
      </c>
      <c r="C19" s="108" t="str">
        <f t="shared" si="0"/>
        <v>NES18</v>
      </c>
      <c r="D19" s="109">
        <v>21.917000000000002</v>
      </c>
      <c r="E19" s="109">
        <v>138.09700000000001</v>
      </c>
      <c r="F19" s="109">
        <v>219.03899999999999</v>
      </c>
      <c r="G19" s="109">
        <v>102.85899999999998</v>
      </c>
      <c r="H19" s="109">
        <v>240.95599999999999</v>
      </c>
    </row>
    <row r="20" spans="1:8" x14ac:dyDescent="0.3">
      <c r="A20" s="108" t="s">
        <v>4</v>
      </c>
      <c r="B20" s="108">
        <v>2012</v>
      </c>
      <c r="C20" s="108" t="str">
        <f t="shared" si="0"/>
        <v>NWT12</v>
      </c>
      <c r="D20" s="109">
        <v>34.979765161319001</v>
      </c>
      <c r="E20" s="109">
        <v>150.93179700742778</v>
      </c>
      <c r="F20" s="109">
        <v>265.8669237150034</v>
      </c>
      <c r="G20" s="109">
        <v>149.91489186889461</v>
      </c>
      <c r="H20" s="109">
        <v>300.84668887632239</v>
      </c>
    </row>
    <row r="21" spans="1:8" x14ac:dyDescent="0.3">
      <c r="A21" s="108" t="s">
        <v>4</v>
      </c>
      <c r="B21" s="108">
        <v>2013</v>
      </c>
      <c r="C21" s="108" t="str">
        <f t="shared" si="0"/>
        <v>NWT13</v>
      </c>
      <c r="D21" s="109">
        <v>38.518781846940357</v>
      </c>
      <c r="E21" s="109">
        <v>142.23580235478562</v>
      </c>
      <c r="F21" s="109">
        <v>294.79163139284879</v>
      </c>
      <c r="G21" s="109">
        <v>191.07461088500355</v>
      </c>
      <c r="H21" s="109">
        <v>333.31041323978917</v>
      </c>
    </row>
    <row r="22" spans="1:8" x14ac:dyDescent="0.3">
      <c r="A22" s="108" t="s">
        <v>4</v>
      </c>
      <c r="B22" s="108">
        <v>2014</v>
      </c>
      <c r="C22" s="108" t="str">
        <f t="shared" si="0"/>
        <v>NWT14</v>
      </c>
      <c r="D22" s="109">
        <v>30.851092138864363</v>
      </c>
      <c r="E22" s="109">
        <v>187.94212961169842</v>
      </c>
      <c r="F22" s="109">
        <v>348.78125817508624</v>
      </c>
      <c r="G22" s="109">
        <v>191.69022070225219</v>
      </c>
      <c r="H22" s="109">
        <v>379.63235031395061</v>
      </c>
    </row>
    <row r="23" spans="1:8" x14ac:dyDescent="0.3">
      <c r="A23" s="108" t="s">
        <v>4</v>
      </c>
      <c r="B23" s="108">
        <v>2015</v>
      </c>
      <c r="C23" s="108" t="str">
        <f t="shared" si="0"/>
        <v>NWT15</v>
      </c>
      <c r="D23" s="109">
        <v>28.914021703512638</v>
      </c>
      <c r="E23" s="109">
        <v>145.88624805555168</v>
      </c>
      <c r="F23" s="109">
        <v>328.72686608162292</v>
      </c>
      <c r="G23" s="109">
        <v>211.75463972958386</v>
      </c>
      <c r="H23" s="109">
        <v>357.64088778513553</v>
      </c>
    </row>
    <row r="24" spans="1:8" x14ac:dyDescent="0.3">
      <c r="A24" s="108" t="s">
        <v>4</v>
      </c>
      <c r="B24" s="108">
        <v>2016</v>
      </c>
      <c r="C24" s="108" t="str">
        <f t="shared" si="0"/>
        <v>NWT16</v>
      </c>
      <c r="D24" s="109">
        <v>20.004347427963637</v>
      </c>
      <c r="E24" s="109">
        <v>179.79020797261339</v>
      </c>
      <c r="F24" s="109">
        <v>338.13948701023128</v>
      </c>
      <c r="G24" s="109">
        <v>178.35362646558153</v>
      </c>
      <c r="H24" s="109">
        <v>358.14383443819492</v>
      </c>
    </row>
    <row r="25" spans="1:8" x14ac:dyDescent="0.3">
      <c r="A25" s="108" t="s">
        <v>4</v>
      </c>
      <c r="B25" s="108">
        <v>2017</v>
      </c>
      <c r="C25" s="108" t="str">
        <f t="shared" si="0"/>
        <v>NWT17</v>
      </c>
      <c r="D25" s="109">
        <v>21.425565260755</v>
      </c>
      <c r="E25" s="109">
        <v>207.14591698846641</v>
      </c>
      <c r="F25" s="109">
        <v>409.58395274486145</v>
      </c>
      <c r="G25" s="109">
        <v>223.86360101715002</v>
      </c>
      <c r="H25" s="109">
        <v>431.00951800561643</v>
      </c>
    </row>
    <row r="26" spans="1:8" x14ac:dyDescent="0.3">
      <c r="A26" s="108" t="s">
        <v>4</v>
      </c>
      <c r="B26" s="108">
        <v>2018</v>
      </c>
      <c r="C26" s="108" t="str">
        <f t="shared" si="0"/>
        <v>NWT18</v>
      </c>
      <c r="D26" s="109">
        <v>28.665571521472295</v>
      </c>
      <c r="E26" s="109">
        <v>182.57826770387052</v>
      </c>
      <c r="F26" s="109">
        <v>354.65045491325839</v>
      </c>
      <c r="G26" s="109">
        <v>200.73775873086018</v>
      </c>
      <c r="H26" s="109">
        <v>383.3160264347307</v>
      </c>
    </row>
    <row r="27" spans="1:8" x14ac:dyDescent="0.3">
      <c r="A27" s="108" t="s">
        <v>5</v>
      </c>
      <c r="B27" s="108">
        <v>2012</v>
      </c>
      <c r="C27" s="108" t="str">
        <f t="shared" si="0"/>
        <v>SRN12</v>
      </c>
      <c r="D27" s="109">
        <v>6.9663182822302705</v>
      </c>
      <c r="E27" s="109">
        <v>82.138241053282641</v>
      </c>
      <c r="F27" s="109">
        <v>141.17071609083672</v>
      </c>
      <c r="G27" s="109">
        <v>65.998793319784355</v>
      </c>
      <c r="H27" s="109">
        <v>148.137034373067</v>
      </c>
    </row>
    <row r="28" spans="1:8" x14ac:dyDescent="0.3">
      <c r="A28" s="108" t="s">
        <v>5</v>
      </c>
      <c r="B28" s="108">
        <v>2013</v>
      </c>
      <c r="C28" s="108" t="str">
        <f t="shared" si="0"/>
        <v>SRN13</v>
      </c>
      <c r="D28" s="109">
        <v>8.4747302847282135</v>
      </c>
      <c r="E28" s="109">
        <v>64.102152027610003</v>
      </c>
      <c r="F28" s="109">
        <v>98.89667109577222</v>
      </c>
      <c r="G28" s="109">
        <v>43.269249352890427</v>
      </c>
      <c r="H28" s="109">
        <v>107.37140138050043</v>
      </c>
    </row>
    <row r="29" spans="1:8" x14ac:dyDescent="0.3">
      <c r="A29" s="108" t="s">
        <v>5</v>
      </c>
      <c r="B29" s="108">
        <v>2014</v>
      </c>
      <c r="C29" s="108" t="str">
        <f t="shared" si="0"/>
        <v>SRN14</v>
      </c>
      <c r="D29" s="109">
        <v>7.0256408045976997</v>
      </c>
      <c r="E29" s="109">
        <v>56.509532116294764</v>
      </c>
      <c r="F29" s="109">
        <v>100.48135530764026</v>
      </c>
      <c r="G29" s="109">
        <v>50.997463995943193</v>
      </c>
      <c r="H29" s="109">
        <v>107.50699611223796</v>
      </c>
    </row>
    <row r="30" spans="1:8" x14ac:dyDescent="0.3">
      <c r="A30" s="108" t="s">
        <v>5</v>
      </c>
      <c r="B30" s="108">
        <v>2015</v>
      </c>
      <c r="C30" s="108" t="str">
        <f t="shared" si="0"/>
        <v>SRN15</v>
      </c>
      <c r="D30" s="109">
        <v>6.4186389237068617</v>
      </c>
      <c r="E30" s="109">
        <v>48.120981198295318</v>
      </c>
      <c r="F30" s="109">
        <v>87.103082978190045</v>
      </c>
      <c r="G30" s="109">
        <v>45.400740703601592</v>
      </c>
      <c r="H30" s="109">
        <v>93.52172190189691</v>
      </c>
    </row>
    <row r="31" spans="1:8" x14ac:dyDescent="0.3">
      <c r="A31" s="108" t="s">
        <v>5</v>
      </c>
      <c r="B31" s="108">
        <v>2016</v>
      </c>
      <c r="C31" s="108" t="str">
        <f t="shared" si="0"/>
        <v>SRN16</v>
      </c>
      <c r="D31" s="109">
        <v>6.6358792013311128</v>
      </c>
      <c r="E31" s="109">
        <v>49.064721131447577</v>
      </c>
      <c r="F31" s="109">
        <v>82.23579367720464</v>
      </c>
      <c r="G31" s="109">
        <v>39.806951747088171</v>
      </c>
      <c r="H31" s="109">
        <v>88.871672878535747</v>
      </c>
    </row>
    <row r="32" spans="1:8" x14ac:dyDescent="0.3">
      <c r="A32" s="108" t="s">
        <v>5</v>
      </c>
      <c r="B32" s="108">
        <v>2017</v>
      </c>
      <c r="C32" s="108" t="str">
        <f t="shared" si="0"/>
        <v>SRN17</v>
      </c>
      <c r="D32" s="109">
        <v>8.3493073450964292</v>
      </c>
      <c r="E32" s="109">
        <v>62.983643988510458</v>
      </c>
      <c r="F32" s="109">
        <v>112.56221075092324</v>
      </c>
      <c r="G32" s="109">
        <v>57.927874107509219</v>
      </c>
      <c r="H32" s="109">
        <v>120.91151809601968</v>
      </c>
    </row>
    <row r="33" spans="1:8" x14ac:dyDescent="0.3">
      <c r="A33" s="108" t="s">
        <v>5</v>
      </c>
      <c r="B33" s="108">
        <v>2018</v>
      </c>
      <c r="C33" s="108" t="str">
        <f t="shared" si="0"/>
        <v>SRN18</v>
      </c>
      <c r="D33" s="109">
        <v>13.536999999999999</v>
      </c>
      <c r="E33" s="109">
        <v>68.402000000000001</v>
      </c>
      <c r="F33" s="109">
        <v>147.25200000000001</v>
      </c>
      <c r="G33" s="109">
        <v>92.387000000000015</v>
      </c>
      <c r="H33" s="109">
        <v>160.78900000000002</v>
      </c>
    </row>
    <row r="34" spans="1:8" x14ac:dyDescent="0.3">
      <c r="A34" s="108" t="s">
        <v>6</v>
      </c>
      <c r="B34" s="108">
        <v>2012</v>
      </c>
      <c r="C34" s="108" t="str">
        <f t="shared" si="0"/>
        <v>SVT12</v>
      </c>
      <c r="D34" s="109">
        <v>29.364947822084304</v>
      </c>
      <c r="E34" s="109">
        <v>224.79413709477151</v>
      </c>
      <c r="F34" s="109">
        <v>352.10325164447897</v>
      </c>
      <c r="G34" s="109">
        <v>156.67406237179173</v>
      </c>
      <c r="H34" s="109">
        <v>381.46819946656325</v>
      </c>
    </row>
    <row r="35" spans="1:8" x14ac:dyDescent="0.3">
      <c r="A35" s="108" t="s">
        <v>6</v>
      </c>
      <c r="B35" s="108">
        <v>2013</v>
      </c>
      <c r="C35" s="108" t="str">
        <f t="shared" si="0"/>
        <v>SVT13</v>
      </c>
      <c r="D35" s="109">
        <v>27.827892812123942</v>
      </c>
      <c r="E35" s="109">
        <v>264.47294238855216</v>
      </c>
      <c r="F35" s="109">
        <v>400.5324850661554</v>
      </c>
      <c r="G35" s="109">
        <v>163.88743548972718</v>
      </c>
      <c r="H35" s="109">
        <v>428.36037787827934</v>
      </c>
    </row>
    <row r="36" spans="1:8" x14ac:dyDescent="0.3">
      <c r="A36" s="108" t="s">
        <v>6</v>
      </c>
      <c r="B36" s="108">
        <v>2014</v>
      </c>
      <c r="C36" s="108" t="str">
        <f t="shared" si="0"/>
        <v>SVT14</v>
      </c>
      <c r="D36" s="109">
        <v>27.475593622962553</v>
      </c>
      <c r="E36" s="109">
        <v>254.0257840801371</v>
      </c>
      <c r="F36" s="109">
        <v>392.18536867519714</v>
      </c>
      <c r="G36" s="109">
        <v>165.63517821802259</v>
      </c>
      <c r="H36" s="109">
        <v>419.66096229815969</v>
      </c>
    </row>
    <row r="37" spans="1:8" x14ac:dyDescent="0.3">
      <c r="A37" s="108" t="s">
        <v>6</v>
      </c>
      <c r="B37" s="108">
        <v>2015</v>
      </c>
      <c r="C37" s="108" t="str">
        <f t="shared" si="0"/>
        <v>SVT15</v>
      </c>
      <c r="D37" s="109">
        <v>30.128432654932013</v>
      </c>
      <c r="E37" s="109">
        <v>244.20948894167088</v>
      </c>
      <c r="F37" s="109">
        <v>403.72974460571311</v>
      </c>
      <c r="G37" s="109">
        <v>189.64868831897422</v>
      </c>
      <c r="H37" s="109">
        <v>433.85817726064511</v>
      </c>
    </row>
    <row r="38" spans="1:8" x14ac:dyDescent="0.3">
      <c r="A38" s="108" t="s">
        <v>6</v>
      </c>
      <c r="B38" s="108">
        <v>2016</v>
      </c>
      <c r="C38" s="108" t="str">
        <f t="shared" si="0"/>
        <v>SVT16</v>
      </c>
      <c r="D38" s="109">
        <v>41.459593338068053</v>
      </c>
      <c r="E38" s="109">
        <v>220.2667125671251</v>
      </c>
      <c r="F38" s="109">
        <v>370.45088237083496</v>
      </c>
      <c r="G38" s="109">
        <v>191.6437631417779</v>
      </c>
      <c r="H38" s="109">
        <v>411.91047570890299</v>
      </c>
    </row>
    <row r="39" spans="1:8" x14ac:dyDescent="0.3">
      <c r="A39" s="108" t="s">
        <v>6</v>
      </c>
      <c r="B39" s="108">
        <v>2017</v>
      </c>
      <c r="C39" s="108" t="str">
        <f t="shared" si="0"/>
        <v>SVT17</v>
      </c>
      <c r="D39" s="109">
        <v>41.218381400927477</v>
      </c>
      <c r="E39" s="109">
        <v>224.77590403210039</v>
      </c>
      <c r="F39" s="109">
        <v>396.57805848679749</v>
      </c>
      <c r="G39" s="109">
        <v>213.02053585562456</v>
      </c>
      <c r="H39" s="109">
        <v>437.79643988772494</v>
      </c>
    </row>
    <row r="40" spans="1:8" x14ac:dyDescent="0.3">
      <c r="A40" s="108" t="s">
        <v>6</v>
      </c>
      <c r="B40" s="108">
        <v>2018</v>
      </c>
      <c r="C40" s="108" t="str">
        <f t="shared" si="0"/>
        <v>SVT18</v>
      </c>
      <c r="D40" s="109">
        <v>44.686999999999998</v>
      </c>
      <c r="E40" s="109">
        <v>257.38599999999997</v>
      </c>
      <c r="F40" s="109">
        <v>404.63199999999995</v>
      </c>
      <c r="G40" s="109">
        <v>191.93299999999999</v>
      </c>
      <c r="H40" s="109">
        <v>449.31899999999996</v>
      </c>
    </row>
    <row r="41" spans="1:8" x14ac:dyDescent="0.3">
      <c r="A41" s="108" t="s">
        <v>76</v>
      </c>
      <c r="B41" s="108">
        <v>2012</v>
      </c>
      <c r="C41" s="108" t="str">
        <f t="shared" si="0"/>
        <v>SWT12</v>
      </c>
      <c r="D41" s="109">
        <v>9.9588293717416239</v>
      </c>
      <c r="E41" s="109">
        <v>51.458372006715543</v>
      </c>
      <c r="F41" s="109">
        <v>86.735303879119868</v>
      </c>
      <c r="G41" s="109">
        <v>45.235761244145955</v>
      </c>
      <c r="H41" s="109">
        <v>96.694133250861498</v>
      </c>
    </row>
    <row r="42" spans="1:8" x14ac:dyDescent="0.3">
      <c r="A42" s="108" t="s">
        <v>76</v>
      </c>
      <c r="B42" s="108">
        <v>2013</v>
      </c>
      <c r="C42" s="108" t="str">
        <f t="shared" si="0"/>
        <v>SWT13</v>
      </c>
      <c r="D42" s="109">
        <v>7.287793270060396</v>
      </c>
      <c r="E42" s="109">
        <v>42.863532700603976</v>
      </c>
      <c r="F42" s="109">
        <v>74.512776583261427</v>
      </c>
      <c r="G42" s="109">
        <v>38.937037152717842</v>
      </c>
      <c r="H42" s="109">
        <v>81.800569853321818</v>
      </c>
    </row>
    <row r="43" spans="1:8" x14ac:dyDescent="0.3">
      <c r="A43" s="108" t="s">
        <v>76</v>
      </c>
      <c r="B43" s="108">
        <v>2014</v>
      </c>
      <c r="C43" s="108" t="str">
        <f t="shared" si="0"/>
        <v>SWT14</v>
      </c>
      <c r="D43" s="109">
        <v>10.858192866801891</v>
      </c>
      <c r="E43" s="109">
        <v>46.149169371196734</v>
      </c>
      <c r="F43" s="109">
        <v>80.834505409060171</v>
      </c>
      <c r="G43" s="109">
        <v>45.543528904665322</v>
      </c>
      <c r="H43" s="109">
        <v>91.692698275862057</v>
      </c>
    </row>
    <row r="44" spans="1:8" x14ac:dyDescent="0.3">
      <c r="A44" s="108" t="s">
        <v>76</v>
      </c>
      <c r="B44" s="108">
        <v>2015</v>
      </c>
      <c r="C44" s="108" t="str">
        <f t="shared" si="0"/>
        <v>SWT15</v>
      </c>
      <c r="D44" s="109">
        <v>7.9997852427508995</v>
      </c>
      <c r="E44" s="109">
        <v>49.190057658561045</v>
      </c>
      <c r="F44" s="109">
        <v>85.496855686471136</v>
      </c>
      <c r="G44" s="109">
        <v>44.306583270660994</v>
      </c>
      <c r="H44" s="109">
        <v>93.496640929222039</v>
      </c>
    </row>
    <row r="45" spans="1:8" x14ac:dyDescent="0.3">
      <c r="A45" s="108" t="s">
        <v>76</v>
      </c>
      <c r="B45" s="108">
        <v>2016</v>
      </c>
      <c r="C45" s="108" t="str">
        <f t="shared" si="0"/>
        <v>SWT16</v>
      </c>
      <c r="D45" s="109">
        <v>4.3916660565723786</v>
      </c>
      <c r="E45" s="109">
        <v>39.863135108153074</v>
      </c>
      <c r="F45" s="109">
        <v>79.943720632279522</v>
      </c>
      <c r="G45" s="109">
        <v>44.472251580698824</v>
      </c>
      <c r="H45" s="109">
        <v>84.335386688851898</v>
      </c>
    </row>
    <row r="46" spans="1:8" x14ac:dyDescent="0.3">
      <c r="A46" s="108" t="s">
        <v>17</v>
      </c>
      <c r="B46" s="108">
        <v>2017</v>
      </c>
      <c r="C46" s="108" t="str">
        <f t="shared" si="0"/>
        <v>SWB17</v>
      </c>
      <c r="D46" s="109">
        <v>6.3725690603200658</v>
      </c>
      <c r="E46" s="109">
        <v>52.426670988920804</v>
      </c>
      <c r="F46" s="109">
        <v>112.7264257693886</v>
      </c>
      <c r="G46" s="109">
        <v>66.672323840787854</v>
      </c>
      <c r="H46" s="109">
        <v>119.09899482970866</v>
      </c>
    </row>
    <row r="47" spans="1:8" x14ac:dyDescent="0.3">
      <c r="A47" s="108" t="s">
        <v>17</v>
      </c>
      <c r="B47" s="108">
        <v>2018</v>
      </c>
      <c r="C47" s="108" t="str">
        <f t="shared" si="0"/>
        <v>SWB18</v>
      </c>
      <c r="D47" s="109">
        <v>6.2809999999999997</v>
      </c>
      <c r="E47" s="109">
        <v>52.986999999999995</v>
      </c>
      <c r="F47" s="109">
        <v>113.678</v>
      </c>
      <c r="G47" s="109">
        <v>66.972000000000008</v>
      </c>
      <c r="H47" s="109">
        <v>119.959</v>
      </c>
    </row>
    <row r="48" spans="1:8" x14ac:dyDescent="0.3">
      <c r="A48" s="108" t="s">
        <v>7</v>
      </c>
      <c r="B48" s="108">
        <v>2012</v>
      </c>
      <c r="C48" s="108" t="str">
        <f t="shared" si="0"/>
        <v>TMS12</v>
      </c>
      <c r="D48" s="109">
        <v>35.076915436953243</v>
      </c>
      <c r="E48" s="109">
        <v>387.61085570380828</v>
      </c>
      <c r="F48" s="109">
        <v>515.45340478925505</v>
      </c>
      <c r="G48" s="109">
        <v>162.91946452239995</v>
      </c>
      <c r="H48" s="109">
        <v>550.53032022620823</v>
      </c>
    </row>
    <row r="49" spans="1:8" x14ac:dyDescent="0.3">
      <c r="A49" s="108" t="s">
        <v>7</v>
      </c>
      <c r="B49" s="108">
        <v>2013</v>
      </c>
      <c r="C49" s="108" t="str">
        <f t="shared" si="0"/>
        <v>TMS13</v>
      </c>
      <c r="D49" s="109">
        <v>30.543126488352026</v>
      </c>
      <c r="E49" s="109">
        <v>339.66900258843827</v>
      </c>
      <c r="F49" s="109">
        <v>485.80576686798969</v>
      </c>
      <c r="G49" s="109">
        <v>176.67989076790343</v>
      </c>
      <c r="H49" s="109">
        <v>516.3488933563417</v>
      </c>
    </row>
    <row r="50" spans="1:8" x14ac:dyDescent="0.3">
      <c r="A50" s="108" t="s">
        <v>7</v>
      </c>
      <c r="B50" s="108">
        <v>2014</v>
      </c>
      <c r="C50" s="108" t="str">
        <f t="shared" si="0"/>
        <v>TMS14</v>
      </c>
      <c r="D50" s="109">
        <v>25.834318120351579</v>
      </c>
      <c r="E50" s="109">
        <v>305.5968781271128</v>
      </c>
      <c r="F50" s="109">
        <v>447.62538083164293</v>
      </c>
      <c r="G50" s="109">
        <v>167.86282082488168</v>
      </c>
      <c r="H50" s="109">
        <v>473.45969895199448</v>
      </c>
    </row>
    <row r="51" spans="1:8" x14ac:dyDescent="0.3">
      <c r="A51" s="108" t="s">
        <v>7</v>
      </c>
      <c r="B51" s="108">
        <v>2015</v>
      </c>
      <c r="C51" s="108" t="str">
        <f t="shared" si="0"/>
        <v>TMS15</v>
      </c>
      <c r="D51" s="109">
        <v>33.359783738614532</v>
      </c>
      <c r="E51" s="109">
        <v>334.06079034010202</v>
      </c>
      <c r="F51" s="109">
        <v>493.95199114230809</v>
      </c>
      <c r="G51" s="109">
        <v>193.25098454082058</v>
      </c>
      <c r="H51" s="109">
        <v>527.3117748809226</v>
      </c>
    </row>
    <row r="52" spans="1:8" x14ac:dyDescent="0.3">
      <c r="A52" s="108" t="s">
        <v>7</v>
      </c>
      <c r="B52" s="108">
        <v>2016</v>
      </c>
      <c r="C52" s="108" t="str">
        <f t="shared" si="0"/>
        <v>TMS16</v>
      </c>
      <c r="D52" s="109">
        <v>41.006570549084849</v>
      </c>
      <c r="E52" s="109">
        <v>388.90538702163059</v>
      </c>
      <c r="F52" s="109">
        <v>523.08165757071549</v>
      </c>
      <c r="G52" s="109">
        <v>175.18284109816972</v>
      </c>
      <c r="H52" s="109">
        <v>564.08822811980031</v>
      </c>
    </row>
    <row r="53" spans="1:8" x14ac:dyDescent="0.3">
      <c r="A53" s="108" t="s">
        <v>7</v>
      </c>
      <c r="B53" s="108">
        <v>2017</v>
      </c>
      <c r="C53" s="108" t="str">
        <f t="shared" si="0"/>
        <v>TMS17</v>
      </c>
      <c r="D53" s="109">
        <v>58.497494952810825</v>
      </c>
      <c r="E53" s="109">
        <v>442.05246089454243</v>
      </c>
      <c r="F53" s="109">
        <v>573.0478074681987</v>
      </c>
      <c r="G53" s="109">
        <v>189.49284152646709</v>
      </c>
      <c r="H53" s="109">
        <v>631.54530242100952</v>
      </c>
    </row>
    <row r="54" spans="1:8" x14ac:dyDescent="0.3">
      <c r="A54" s="108" t="s">
        <v>7</v>
      </c>
      <c r="B54" s="108">
        <v>2018</v>
      </c>
      <c r="C54" s="108" t="str">
        <f t="shared" si="0"/>
        <v>TMS18</v>
      </c>
      <c r="D54" s="109">
        <v>64.879751594926404</v>
      </c>
      <c r="E54" s="109">
        <v>471.64056513447571</v>
      </c>
      <c r="F54" s="109">
        <v>627.76733834484753</v>
      </c>
      <c r="G54" s="109">
        <v>221.00652480529828</v>
      </c>
      <c r="H54" s="109">
        <v>692.64708993977399</v>
      </c>
    </row>
    <row r="55" spans="1:8" x14ac:dyDescent="0.3">
      <c r="A55" s="108" t="s">
        <v>26</v>
      </c>
      <c r="B55" s="108">
        <v>2012</v>
      </c>
      <c r="C55" s="108" t="str">
        <f t="shared" si="0"/>
        <v>WSH12</v>
      </c>
      <c r="D55" s="109">
        <v>11.667257046920557</v>
      </c>
      <c r="E55" s="109">
        <v>114.29557957055754</v>
      </c>
      <c r="F55" s="109">
        <v>199.85067597419803</v>
      </c>
      <c r="G55" s="109">
        <v>97.222353450561044</v>
      </c>
      <c r="H55" s="109">
        <v>211.51793302111858</v>
      </c>
    </row>
    <row r="56" spans="1:8" x14ac:dyDescent="0.3">
      <c r="A56" s="108" t="s">
        <v>26</v>
      </c>
      <c r="B56" s="108">
        <v>2013</v>
      </c>
      <c r="C56" s="108" t="str">
        <f t="shared" si="0"/>
        <v>WSH13</v>
      </c>
      <c r="D56" s="109">
        <v>12.981853839516825</v>
      </c>
      <c r="E56" s="109">
        <v>121.29740966350302</v>
      </c>
      <c r="F56" s="109">
        <v>220.73143951682488</v>
      </c>
      <c r="G56" s="109">
        <v>112.41588369283868</v>
      </c>
      <c r="H56" s="109">
        <v>233.71329335634169</v>
      </c>
    </row>
    <row r="57" spans="1:8" x14ac:dyDescent="0.3">
      <c r="A57" s="108" t="s">
        <v>26</v>
      </c>
      <c r="B57" s="108">
        <v>2014</v>
      </c>
      <c r="C57" s="108" t="str">
        <f t="shared" si="0"/>
        <v>WSH14</v>
      </c>
      <c r="D57" s="109">
        <v>16.674666666666663</v>
      </c>
      <c r="E57" s="109">
        <v>114.79899188640971</v>
      </c>
      <c r="F57" s="109">
        <v>231.06927789046645</v>
      </c>
      <c r="G57" s="109">
        <v>132.94495267072341</v>
      </c>
      <c r="H57" s="109">
        <v>247.74394455713312</v>
      </c>
    </row>
    <row r="58" spans="1:8" x14ac:dyDescent="0.3">
      <c r="A58" s="108" t="s">
        <v>26</v>
      </c>
      <c r="B58" s="108">
        <v>2015</v>
      </c>
      <c r="C58" s="108" t="str">
        <f t="shared" si="0"/>
        <v>WSH15</v>
      </c>
      <c r="D58" s="109">
        <v>18.890152586278937</v>
      </c>
      <c r="E58" s="109">
        <v>115.39233007437119</v>
      </c>
      <c r="F58" s="109">
        <v>240.69164435531047</v>
      </c>
      <c r="G58" s="109">
        <v>144.18946686721821</v>
      </c>
      <c r="H58" s="109">
        <v>259.5817969415894</v>
      </c>
    </row>
    <row r="59" spans="1:8" x14ac:dyDescent="0.3">
      <c r="A59" s="108" t="s">
        <v>26</v>
      </c>
      <c r="B59" s="108">
        <v>2016</v>
      </c>
      <c r="C59" s="108" t="str">
        <f t="shared" si="0"/>
        <v>WSH16</v>
      </c>
      <c r="D59" s="109">
        <v>25.807930948419298</v>
      </c>
      <c r="E59" s="109">
        <v>104.36891663893509</v>
      </c>
      <c r="F59" s="109">
        <v>181.84369068219632</v>
      </c>
      <c r="G59" s="109">
        <v>103.28270499168055</v>
      </c>
      <c r="H59" s="109">
        <v>207.65162163061564</v>
      </c>
    </row>
    <row r="60" spans="1:8" x14ac:dyDescent="0.3">
      <c r="A60" s="108" t="s">
        <v>26</v>
      </c>
      <c r="B60" s="108">
        <v>2017</v>
      </c>
      <c r="C60" s="108" t="str">
        <f t="shared" si="0"/>
        <v>WSH17</v>
      </c>
      <c r="D60" s="109">
        <v>25.454354205990974</v>
      </c>
      <c r="E60" s="109">
        <v>139.36210176446451</v>
      </c>
      <c r="F60" s="109">
        <v>220.25647254821502</v>
      </c>
      <c r="G60" s="109">
        <v>106.34872498974147</v>
      </c>
      <c r="H60" s="109">
        <v>245.71082675420598</v>
      </c>
    </row>
    <row r="61" spans="1:8" x14ac:dyDescent="0.3">
      <c r="A61" s="108" t="s">
        <v>26</v>
      </c>
      <c r="B61" s="108">
        <v>2018</v>
      </c>
      <c r="C61" s="108" t="str">
        <f t="shared" si="0"/>
        <v>WSH18</v>
      </c>
      <c r="D61" s="109">
        <v>36.535000000000004</v>
      </c>
      <c r="E61" s="109">
        <v>161.643</v>
      </c>
      <c r="F61" s="109">
        <v>246.11700000000005</v>
      </c>
      <c r="G61" s="109">
        <v>121.00900000000004</v>
      </c>
      <c r="H61" s="109">
        <v>282.65200000000004</v>
      </c>
    </row>
    <row r="62" spans="1:8" x14ac:dyDescent="0.3">
      <c r="A62" s="108" t="s">
        <v>8</v>
      </c>
      <c r="B62" s="108">
        <v>2012</v>
      </c>
      <c r="C62" s="108" t="str">
        <f t="shared" si="0"/>
        <v>WSX12</v>
      </c>
      <c r="D62" s="109">
        <v>6.9165904391623201</v>
      </c>
      <c r="E62" s="109">
        <v>81.844294247592103</v>
      </c>
      <c r="F62" s="109">
        <v>113.10432146328529</v>
      </c>
      <c r="G62" s="109">
        <v>38.176617654855505</v>
      </c>
      <c r="H62" s="109">
        <v>120.02091190244761</v>
      </c>
    </row>
    <row r="63" spans="1:8" x14ac:dyDescent="0.3">
      <c r="A63" s="108" t="s">
        <v>8</v>
      </c>
      <c r="B63" s="108">
        <v>2013</v>
      </c>
      <c r="C63" s="108" t="str">
        <f t="shared" si="0"/>
        <v>WSX13</v>
      </c>
      <c r="D63" s="109">
        <v>8.3700640207075061</v>
      </c>
      <c r="E63" s="109">
        <v>73.292281622088012</v>
      </c>
      <c r="F63" s="109">
        <v>107.13725107851596</v>
      </c>
      <c r="G63" s="109">
        <v>42.215033477135449</v>
      </c>
      <c r="H63" s="109">
        <v>115.50731509922346</v>
      </c>
    </row>
    <row r="64" spans="1:8" x14ac:dyDescent="0.3">
      <c r="A64" s="108" t="s">
        <v>8</v>
      </c>
      <c r="B64" s="108">
        <v>2014</v>
      </c>
      <c r="C64" s="108" t="str">
        <f t="shared" si="0"/>
        <v>WSX14</v>
      </c>
      <c r="D64" s="109">
        <v>8.2918838742393479</v>
      </c>
      <c r="E64" s="109">
        <v>46.047700811359014</v>
      </c>
      <c r="F64" s="109">
        <v>76.522091615956711</v>
      </c>
      <c r="G64" s="109">
        <v>38.766274678837043</v>
      </c>
      <c r="H64" s="109">
        <v>84.813975490196057</v>
      </c>
    </row>
    <row r="65" spans="1:8" x14ac:dyDescent="0.3">
      <c r="A65" s="108" t="s">
        <v>8</v>
      </c>
      <c r="B65" s="108">
        <v>2015</v>
      </c>
      <c r="C65" s="108" t="str">
        <f t="shared" si="0"/>
        <v>WSX15</v>
      </c>
      <c r="D65" s="109">
        <v>6.3350356814573416</v>
      </c>
      <c r="E65" s="109">
        <v>41.500649452661484</v>
      </c>
      <c r="F65" s="109">
        <v>66.832431854265906</v>
      </c>
      <c r="G65" s="109">
        <v>31.666818083061763</v>
      </c>
      <c r="H65" s="109">
        <v>73.167467535723247</v>
      </c>
    </row>
    <row r="66" spans="1:8" x14ac:dyDescent="0.3">
      <c r="A66" s="108" t="s">
        <v>8</v>
      </c>
      <c r="B66" s="108">
        <v>2016</v>
      </c>
      <c r="C66" s="108" t="str">
        <f t="shared" si="0"/>
        <v>WSX16</v>
      </c>
      <c r="D66" s="109">
        <v>6.1728866888519125</v>
      </c>
      <c r="E66" s="109">
        <v>47.637247587354395</v>
      </c>
      <c r="F66" s="109">
        <v>76.436422296173035</v>
      </c>
      <c r="G66" s="109">
        <v>34.972061397670558</v>
      </c>
      <c r="H66" s="109">
        <v>82.609308985024953</v>
      </c>
    </row>
    <row r="67" spans="1:8" x14ac:dyDescent="0.3">
      <c r="A67" s="108" t="s">
        <v>8</v>
      </c>
      <c r="B67" s="108">
        <v>2017</v>
      </c>
      <c r="C67" s="108" t="str">
        <f t="shared" si="0"/>
        <v>WSX17</v>
      </c>
      <c r="D67" s="109">
        <v>6.4598082888797697</v>
      </c>
      <c r="E67" s="109">
        <v>52.128004924086994</v>
      </c>
      <c r="F67" s="109">
        <v>85.711002544111608</v>
      </c>
      <c r="G67" s="109">
        <v>40.042805908904384</v>
      </c>
      <c r="H67" s="109">
        <v>92.170810832991378</v>
      </c>
    </row>
    <row r="68" spans="1:8" x14ac:dyDescent="0.3">
      <c r="A68" s="108" t="s">
        <v>8</v>
      </c>
      <c r="B68" s="108">
        <v>2018</v>
      </c>
      <c r="C68" s="108" t="str">
        <f t="shared" si="0"/>
        <v>WSX18</v>
      </c>
      <c r="D68" s="109">
        <v>7.8307623017644037</v>
      </c>
      <c r="E68" s="109">
        <v>58.147354693988525</v>
      </c>
      <c r="F68" s="109">
        <v>95.796191215111108</v>
      </c>
      <c r="G68" s="109">
        <v>45.479598822886992</v>
      </c>
      <c r="H68" s="109">
        <v>103.62695351687552</v>
      </c>
    </row>
    <row r="69" spans="1:8" x14ac:dyDescent="0.3">
      <c r="A69" s="108" t="s">
        <v>9</v>
      </c>
      <c r="B69" s="108">
        <v>2012</v>
      </c>
      <c r="C69" s="108" t="str">
        <f t="shared" si="0"/>
        <v>YKY12</v>
      </c>
      <c r="D69" s="109">
        <v>32.716599440649453</v>
      </c>
      <c r="E69" s="109">
        <v>183.19184258607376</v>
      </c>
      <c r="F69" s="109">
        <v>269.10195472255594</v>
      </c>
      <c r="G69" s="109">
        <v>118.62671157713166</v>
      </c>
      <c r="H69" s="109">
        <v>301.81855416320542</v>
      </c>
    </row>
    <row r="70" spans="1:8" x14ac:dyDescent="0.3">
      <c r="A70" s="108" t="s">
        <v>9</v>
      </c>
      <c r="B70" s="108">
        <v>2013</v>
      </c>
      <c r="C70" s="108" t="str">
        <f t="shared" si="0"/>
        <v>YKY13</v>
      </c>
      <c r="D70" s="109">
        <v>22.983336806417242</v>
      </c>
      <c r="E70" s="109">
        <v>151.98810257950782</v>
      </c>
      <c r="F70" s="109">
        <v>220.22601165534215</v>
      </c>
      <c r="G70" s="109">
        <v>91.221245882251566</v>
      </c>
      <c r="H70" s="109">
        <v>243.20934846175939</v>
      </c>
    </row>
    <row r="71" spans="1:8" x14ac:dyDescent="0.3">
      <c r="A71" s="108" t="s">
        <v>9</v>
      </c>
      <c r="B71" s="108">
        <v>2014</v>
      </c>
      <c r="C71" s="108" t="str">
        <f t="shared" ref="C71:C129" si="1">A71&amp;RIGHT(B71,2)</f>
        <v>YKY14</v>
      </c>
      <c r="D71" s="109">
        <v>20.777931244531739</v>
      </c>
      <c r="E71" s="109">
        <v>119.49714835625926</v>
      </c>
      <c r="F71" s="109">
        <v>180.3410819164763</v>
      </c>
      <c r="G71" s="109">
        <v>81.621864804748782</v>
      </c>
      <c r="H71" s="109">
        <v>201.11901316100804</v>
      </c>
    </row>
    <row r="72" spans="1:8" x14ac:dyDescent="0.3">
      <c r="A72" s="108" t="s">
        <v>9</v>
      </c>
      <c r="B72" s="108">
        <v>2015</v>
      </c>
      <c r="C72" s="108" t="str">
        <f t="shared" si="1"/>
        <v>YKY15</v>
      </c>
      <c r="D72" s="109">
        <v>20.230309268808238</v>
      </c>
      <c r="E72" s="109">
        <v>110.38446194955766</v>
      </c>
      <c r="F72" s="109">
        <v>179.3377081619409</v>
      </c>
      <c r="G72" s="109">
        <v>89.183555481191476</v>
      </c>
      <c r="H72" s="109">
        <v>199.56801743074914</v>
      </c>
    </row>
    <row r="73" spans="1:8" x14ac:dyDescent="0.3">
      <c r="A73" s="108" t="s">
        <v>9</v>
      </c>
      <c r="B73" s="108">
        <v>2016</v>
      </c>
      <c r="C73" s="108" t="str">
        <f t="shared" si="1"/>
        <v>YKY16</v>
      </c>
      <c r="D73" s="109">
        <v>24.647545404135435</v>
      </c>
      <c r="E73" s="109">
        <v>131.70798969526811</v>
      </c>
      <c r="F73" s="109">
        <v>198.28990602798774</v>
      </c>
      <c r="G73" s="109">
        <v>91.229461736855058</v>
      </c>
      <c r="H73" s="109">
        <v>222.93745143212317</v>
      </c>
    </row>
    <row r="74" spans="1:8" x14ac:dyDescent="0.3">
      <c r="A74" s="108" t="s">
        <v>9</v>
      </c>
      <c r="B74" s="108">
        <v>2017</v>
      </c>
      <c r="C74" s="108" t="str">
        <f t="shared" si="1"/>
        <v>YKY17</v>
      </c>
      <c r="D74" s="109">
        <v>26.345587343612046</v>
      </c>
      <c r="E74" s="109">
        <v>137.53897953856762</v>
      </c>
      <c r="F74" s="109">
        <v>221.29824105978093</v>
      </c>
      <c r="G74" s="109">
        <v>110.10484886482536</v>
      </c>
      <c r="H74" s="109">
        <v>247.64382840339297</v>
      </c>
    </row>
    <row r="75" spans="1:8" x14ac:dyDescent="0.3">
      <c r="A75" s="108" t="s">
        <v>9</v>
      </c>
      <c r="B75" s="108">
        <v>2018</v>
      </c>
      <c r="C75" s="108" t="str">
        <f t="shared" si="1"/>
        <v>YKY18</v>
      </c>
      <c r="D75" s="109">
        <v>26.132000000000001</v>
      </c>
      <c r="E75" s="109">
        <v>161.52100000000002</v>
      </c>
      <c r="F75" s="109">
        <v>258.34099999999995</v>
      </c>
      <c r="G75" s="109">
        <v>122.95199999999994</v>
      </c>
      <c r="H75" s="109">
        <v>284.47299999999996</v>
      </c>
    </row>
    <row r="76" spans="1:8" x14ac:dyDescent="0.3">
      <c r="A76" s="108" t="s">
        <v>10</v>
      </c>
      <c r="B76" s="108">
        <v>2012</v>
      </c>
      <c r="C76" s="108" t="str">
        <f t="shared" si="1"/>
        <v>AFW12</v>
      </c>
      <c r="D76" s="109">
        <v>6.5729157904038145</v>
      </c>
      <c r="E76" s="109">
        <v>129.33327931430586</v>
      </c>
      <c r="F76" s="109">
        <v>165.47658071927185</v>
      </c>
      <c r="G76" s="109">
        <v>42.716217195369808</v>
      </c>
      <c r="H76" s="109">
        <v>172.04949650967566</v>
      </c>
    </row>
    <row r="77" spans="1:8" x14ac:dyDescent="0.3">
      <c r="A77" s="108" t="s">
        <v>10</v>
      </c>
      <c r="B77" s="108">
        <v>2013</v>
      </c>
      <c r="C77" s="108" t="str">
        <f t="shared" si="1"/>
        <v>AFW13</v>
      </c>
      <c r="D77" s="109">
        <v>8.52004969801553</v>
      </c>
      <c r="E77" s="109">
        <v>131.75216669542709</v>
      </c>
      <c r="F77" s="109">
        <v>169.65214460742018</v>
      </c>
      <c r="G77" s="109">
        <v>46.420027610008617</v>
      </c>
      <c r="H77" s="109">
        <v>178.17219430543571</v>
      </c>
    </row>
    <row r="78" spans="1:8" x14ac:dyDescent="0.3">
      <c r="A78" s="108" t="s">
        <v>10</v>
      </c>
      <c r="B78" s="108">
        <v>2014</v>
      </c>
      <c r="C78" s="108" t="str">
        <f t="shared" si="1"/>
        <v>AFW14</v>
      </c>
      <c r="D78" s="109">
        <v>15.794215517241376</v>
      </c>
      <c r="E78" s="109">
        <v>129.51827484787015</v>
      </c>
      <c r="F78" s="109">
        <v>164.08206000676125</v>
      </c>
      <c r="G78" s="109">
        <v>50.358000676132491</v>
      </c>
      <c r="H78" s="109">
        <v>179.87627552400264</v>
      </c>
    </row>
    <row r="79" spans="1:8" x14ac:dyDescent="0.3">
      <c r="A79" s="108" t="s">
        <v>10</v>
      </c>
      <c r="B79" s="108">
        <v>2015</v>
      </c>
      <c r="C79" s="108" t="str">
        <f t="shared" si="1"/>
        <v>AFW15</v>
      </c>
      <c r="D79" s="109">
        <v>17.759418734854187</v>
      </c>
      <c r="E79" s="109">
        <v>131.59359338179993</v>
      </c>
      <c r="F79" s="109">
        <v>163.23219537060248</v>
      </c>
      <c r="G79" s="109">
        <v>49.398020723656742</v>
      </c>
      <c r="H79" s="109">
        <v>180.99161410545668</v>
      </c>
    </row>
    <row r="80" spans="1:8" x14ac:dyDescent="0.3">
      <c r="A80" s="108" t="s">
        <v>10</v>
      </c>
      <c r="B80" s="108">
        <v>2016</v>
      </c>
      <c r="C80" s="108" t="str">
        <f t="shared" si="1"/>
        <v>AFW16</v>
      </c>
      <c r="D80" s="109">
        <v>13.66504193011647</v>
      </c>
      <c r="E80" s="109">
        <v>118.3127945091514</v>
      </c>
      <c r="F80" s="109">
        <v>165.34138901830283</v>
      </c>
      <c r="G80" s="109">
        <v>60.693636439267905</v>
      </c>
      <c r="H80" s="109">
        <v>179.00643094841931</v>
      </c>
    </row>
    <row r="81" spans="1:8" x14ac:dyDescent="0.3">
      <c r="A81" s="108" t="s">
        <v>10</v>
      </c>
      <c r="B81" s="108">
        <v>2017</v>
      </c>
      <c r="C81" s="108" t="str">
        <f t="shared" si="1"/>
        <v>AFW17</v>
      </c>
      <c r="D81" s="109">
        <v>11.148147066064833</v>
      </c>
      <c r="E81" s="109">
        <v>155.68815363151415</v>
      </c>
      <c r="F81" s="109">
        <v>200.35053327862127</v>
      </c>
      <c r="G81" s="109">
        <v>55.810526713171953</v>
      </c>
      <c r="H81" s="109">
        <v>211.49868034468611</v>
      </c>
    </row>
    <row r="82" spans="1:8" x14ac:dyDescent="0.3">
      <c r="A82" s="108" t="s">
        <v>10</v>
      </c>
      <c r="B82" s="108">
        <v>2018</v>
      </c>
      <c r="C82" s="108" t="str">
        <f t="shared" si="1"/>
        <v>AFW18</v>
      </c>
      <c r="D82" s="109">
        <v>9.9939999999999998</v>
      </c>
      <c r="E82" s="109">
        <v>145.70662886</v>
      </c>
      <c r="F82" s="109">
        <v>196.63362885999999</v>
      </c>
      <c r="G82" s="109">
        <v>60.920999999999992</v>
      </c>
      <c r="H82" s="109">
        <v>206.62762885999999</v>
      </c>
    </row>
    <row r="83" spans="1:8" x14ac:dyDescent="0.3">
      <c r="A83" s="108" t="s">
        <v>11</v>
      </c>
      <c r="B83" s="108">
        <v>2012</v>
      </c>
      <c r="C83" s="108" t="str">
        <f t="shared" si="1"/>
        <v>BRL12</v>
      </c>
      <c r="D83" s="109">
        <v>11.319162145444903</v>
      </c>
      <c r="E83" s="109">
        <v>38.592121410267723</v>
      </c>
      <c r="F83" s="109">
        <v>65.004236458425339</v>
      </c>
      <c r="G83" s="109">
        <v>37.731277193602523</v>
      </c>
      <c r="H83" s="109">
        <v>76.323398603870245</v>
      </c>
    </row>
    <row r="84" spans="1:8" x14ac:dyDescent="0.3">
      <c r="A84" s="108" t="s">
        <v>11</v>
      </c>
      <c r="B84" s="108">
        <v>2013</v>
      </c>
      <c r="C84" s="108" t="str">
        <f t="shared" si="1"/>
        <v>BRL13</v>
      </c>
      <c r="D84" s="109">
        <v>17.04657359792925</v>
      </c>
      <c r="E84" s="109">
        <v>52.602890422778259</v>
      </c>
      <c r="F84" s="109">
        <v>78.514804486626389</v>
      </c>
      <c r="G84" s="109">
        <v>42.958487661777383</v>
      </c>
      <c r="H84" s="109">
        <v>95.561378084555642</v>
      </c>
    </row>
    <row r="85" spans="1:8" x14ac:dyDescent="0.3">
      <c r="A85" s="108" t="s">
        <v>11</v>
      </c>
      <c r="B85" s="108">
        <v>2014</v>
      </c>
      <c r="C85" s="108" t="str">
        <f t="shared" si="1"/>
        <v>BRL14</v>
      </c>
      <c r="D85" s="109">
        <v>14.184459093982415</v>
      </c>
      <c r="E85" s="109">
        <v>53.354494083840422</v>
      </c>
      <c r="F85" s="109">
        <v>79.358983434753199</v>
      </c>
      <c r="G85" s="109">
        <v>40.188948444895189</v>
      </c>
      <c r="H85" s="109">
        <v>93.543442528735611</v>
      </c>
    </row>
    <row r="86" spans="1:8" x14ac:dyDescent="0.3">
      <c r="A86" s="108" t="s">
        <v>11</v>
      </c>
      <c r="B86" s="108">
        <v>2015</v>
      </c>
      <c r="C86" s="108" t="str">
        <f t="shared" si="1"/>
        <v>BRL15</v>
      </c>
      <c r="D86" s="109">
        <v>10.488026740202224</v>
      </c>
      <c r="E86" s="109">
        <v>52.66586245508482</v>
      </c>
      <c r="F86" s="109">
        <v>76.548173644188196</v>
      </c>
      <c r="G86" s="109">
        <v>34.370337929305606</v>
      </c>
      <c r="H86" s="109">
        <v>87.036200384390426</v>
      </c>
    </row>
    <row r="87" spans="1:8" x14ac:dyDescent="0.3">
      <c r="A87" s="108" t="s">
        <v>11</v>
      </c>
      <c r="B87" s="108">
        <v>2016</v>
      </c>
      <c r="C87" s="108" t="str">
        <f t="shared" si="1"/>
        <v>BRL16</v>
      </c>
      <c r="D87" s="109">
        <v>7.482791347753742</v>
      </c>
      <c r="E87" s="109">
        <v>27.884634442595669</v>
      </c>
      <c r="F87" s="109">
        <v>45.110036772046584</v>
      </c>
      <c r="G87" s="109">
        <v>24.708193677204655</v>
      </c>
      <c r="H87" s="109">
        <v>52.592828119800323</v>
      </c>
    </row>
    <row r="88" spans="1:8" x14ac:dyDescent="0.3">
      <c r="A88" s="108" t="s">
        <v>11</v>
      </c>
      <c r="B88" s="108">
        <v>2017</v>
      </c>
      <c r="C88" s="108" t="str">
        <f t="shared" si="1"/>
        <v>BRL17</v>
      </c>
      <c r="D88" s="109">
        <v>8.2333304883052936</v>
      </c>
      <c r="E88" s="109">
        <v>33.903216906032007</v>
      </c>
      <c r="F88" s="109">
        <v>52.132110299548621</v>
      </c>
      <c r="G88" s="109">
        <v>26.462223881821906</v>
      </c>
      <c r="H88" s="109">
        <v>60.365440787853913</v>
      </c>
    </row>
    <row r="89" spans="1:8" x14ac:dyDescent="0.3">
      <c r="A89" s="108" t="s">
        <v>11</v>
      </c>
      <c r="B89" s="108">
        <v>2018</v>
      </c>
      <c r="C89" s="108" t="str">
        <f t="shared" si="1"/>
        <v>BRL18</v>
      </c>
      <c r="D89" s="109">
        <v>9.1560000000000006</v>
      </c>
      <c r="E89" s="109">
        <v>39.192999999999998</v>
      </c>
      <c r="F89" s="109">
        <v>60.961999999999996</v>
      </c>
      <c r="G89" s="109">
        <v>30.924999999999997</v>
      </c>
      <c r="H89" s="109">
        <v>70.117999999999995</v>
      </c>
    </row>
    <row r="90" spans="1:8" x14ac:dyDescent="0.3">
      <c r="A90" s="108" t="s">
        <v>85</v>
      </c>
      <c r="B90" s="108">
        <v>2012</v>
      </c>
      <c r="C90" s="108" t="str">
        <f t="shared" si="1"/>
        <v>BWH12</v>
      </c>
      <c r="D90" s="109">
        <v>2.2719718533666806</v>
      </c>
      <c r="E90" s="109">
        <v>12.28827498022939</v>
      </c>
      <c r="F90" s="109">
        <v>21.013919460585775</v>
      </c>
      <c r="G90" s="109">
        <v>10.997616333723064</v>
      </c>
      <c r="H90" s="109">
        <v>23.285891313952455</v>
      </c>
    </row>
    <row r="91" spans="1:8" x14ac:dyDescent="0.3">
      <c r="A91" s="108" t="s">
        <v>85</v>
      </c>
      <c r="B91" s="108">
        <v>2013</v>
      </c>
      <c r="C91" s="108" t="str">
        <f t="shared" si="1"/>
        <v>BWH13</v>
      </c>
      <c r="D91" s="109">
        <v>1.5559665228645383</v>
      </c>
      <c r="E91" s="109">
        <v>10.863710785159618</v>
      </c>
      <c r="F91" s="109">
        <v>19.15068921484038</v>
      </c>
      <c r="G91" s="109">
        <v>9.8429449525452988</v>
      </c>
      <c r="H91" s="109">
        <v>20.706655737704917</v>
      </c>
    </row>
    <row r="92" spans="1:8" x14ac:dyDescent="0.3">
      <c r="A92" s="108" t="s">
        <v>85</v>
      </c>
      <c r="B92" s="108">
        <v>2014</v>
      </c>
      <c r="C92" s="108" t="str">
        <f t="shared" si="1"/>
        <v>BWH14</v>
      </c>
      <c r="D92" s="109">
        <v>1.6869148073022309</v>
      </c>
      <c r="E92" s="109">
        <v>12.653974983096685</v>
      </c>
      <c r="F92" s="109">
        <v>23.809174780256924</v>
      </c>
      <c r="G92" s="109">
        <v>12.84211460446247</v>
      </c>
      <c r="H92" s="109">
        <v>25.496089587559155</v>
      </c>
    </row>
    <row r="93" spans="1:8" x14ac:dyDescent="0.3">
      <c r="A93" s="108" t="s">
        <v>85</v>
      </c>
      <c r="B93" s="108">
        <v>2015</v>
      </c>
      <c r="C93" s="108" t="str">
        <f t="shared" si="1"/>
        <v>BWH15</v>
      </c>
      <c r="D93" s="109">
        <v>1.8643523021642854</v>
      </c>
      <c r="E93" s="109">
        <v>10.260207905072283</v>
      </c>
      <c r="F93" s="109">
        <v>20.97500843987633</v>
      </c>
      <c r="G93" s="109">
        <v>12.579152836968332</v>
      </c>
      <c r="H93" s="109">
        <v>22.839360742040615</v>
      </c>
    </row>
    <row r="94" spans="1:8" x14ac:dyDescent="0.3">
      <c r="A94" s="108" t="s">
        <v>85</v>
      </c>
      <c r="B94" s="108">
        <v>2016</v>
      </c>
      <c r="C94" s="108" t="str">
        <f t="shared" si="1"/>
        <v>BWH16</v>
      </c>
      <c r="D94" s="109">
        <v>1.652206988352745</v>
      </c>
      <c r="E94" s="109">
        <v>10.39080049916805</v>
      </c>
      <c r="F94" s="109">
        <v>18.366756905158066</v>
      </c>
      <c r="G94" s="109">
        <v>9.6281633943427618</v>
      </c>
      <c r="H94" s="109">
        <v>20.018963893510811</v>
      </c>
    </row>
    <row r="95" spans="1:8" x14ac:dyDescent="0.3">
      <c r="A95" s="108" t="s">
        <v>12</v>
      </c>
      <c r="B95" s="108">
        <v>2012</v>
      </c>
      <c r="C95" s="108" t="str">
        <f t="shared" si="1"/>
        <v>DVW12</v>
      </c>
      <c r="D95" s="109">
        <v>1.4059646410704871</v>
      </c>
      <c r="E95" s="109">
        <v>6.5481137524078807</v>
      </c>
      <c r="F95" s="109">
        <v>14.976381504551142</v>
      </c>
      <c r="G95" s="109">
        <v>9.8342323932137479</v>
      </c>
      <c r="H95" s="109">
        <v>16.382346145621629</v>
      </c>
    </row>
    <row r="96" spans="1:8" x14ac:dyDescent="0.3">
      <c r="A96" s="108" t="s">
        <v>12</v>
      </c>
      <c r="B96" s="108">
        <v>2013</v>
      </c>
      <c r="C96" s="108" t="str">
        <f t="shared" si="1"/>
        <v>DVW13</v>
      </c>
      <c r="D96" s="109">
        <v>1.5445911643297616</v>
      </c>
      <c r="E96" s="109">
        <v>6.9062708522467204</v>
      </c>
      <c r="F96" s="109">
        <v>20.470253891406646</v>
      </c>
      <c r="G96" s="109">
        <v>15.108574203489688</v>
      </c>
      <c r="H96" s="109">
        <v>22.014845055736409</v>
      </c>
    </row>
    <row r="97" spans="1:8" x14ac:dyDescent="0.3">
      <c r="A97" s="108" t="s">
        <v>12</v>
      </c>
      <c r="B97" s="108">
        <v>2014</v>
      </c>
      <c r="C97" s="108" t="str">
        <f t="shared" si="1"/>
        <v>DVW14</v>
      </c>
      <c r="D97" s="109">
        <v>1.4543890327924269</v>
      </c>
      <c r="E97" s="109">
        <v>6.2033036588911408</v>
      </c>
      <c r="F97" s="109">
        <v>11.242402511663284</v>
      </c>
      <c r="G97" s="109">
        <v>6.493487885564571</v>
      </c>
      <c r="H97" s="109">
        <v>12.696791544455712</v>
      </c>
    </row>
    <row r="98" spans="1:8" x14ac:dyDescent="0.3">
      <c r="A98" s="108" t="s">
        <v>12</v>
      </c>
      <c r="B98" s="108">
        <v>2015</v>
      </c>
      <c r="C98" s="108" t="str">
        <f t="shared" si="1"/>
        <v>DVW15</v>
      </c>
      <c r="D98" s="109">
        <v>1.5826488395509555</v>
      </c>
      <c r="E98" s="109">
        <v>6.9142620425545482</v>
      </c>
      <c r="F98" s="109">
        <v>10.625116869907904</v>
      </c>
      <c r="G98" s="109">
        <v>5.2935036669043116</v>
      </c>
      <c r="H98" s="109">
        <v>12.20776570945886</v>
      </c>
    </row>
    <row r="99" spans="1:8" x14ac:dyDescent="0.3">
      <c r="A99" s="108" t="s">
        <v>12</v>
      </c>
      <c r="B99" s="108">
        <v>2016</v>
      </c>
      <c r="C99" s="108" t="str">
        <f t="shared" si="1"/>
        <v>DVW16</v>
      </c>
      <c r="D99" s="109">
        <v>0.64693202520763493</v>
      </c>
      <c r="E99" s="109">
        <v>6.7514497201581172</v>
      </c>
      <c r="F99" s="109">
        <v>13.240890633003721</v>
      </c>
      <c r="G99" s="109">
        <v>7.1363729380532384</v>
      </c>
      <c r="H99" s="109">
        <v>13.887822658211356</v>
      </c>
    </row>
    <row r="100" spans="1:8" x14ac:dyDescent="0.3">
      <c r="A100" s="108" t="s">
        <v>12</v>
      </c>
      <c r="B100" s="108">
        <v>2017</v>
      </c>
      <c r="C100" s="108" t="str">
        <f t="shared" si="1"/>
        <v>DVW17</v>
      </c>
      <c r="D100" s="109">
        <v>0.71405774316323134</v>
      </c>
      <c r="E100" s="109">
        <v>8.8088276207184997</v>
      </c>
      <c r="F100" s="109">
        <v>14.975517258454822</v>
      </c>
      <c r="G100" s="109">
        <v>6.8807473808995532</v>
      </c>
      <c r="H100" s="109">
        <v>15.689575001618053</v>
      </c>
    </row>
    <row r="101" spans="1:8" x14ac:dyDescent="0.3">
      <c r="A101" s="108" t="s">
        <v>12</v>
      </c>
      <c r="B101" s="108">
        <v>2018</v>
      </c>
      <c r="C101" s="108" t="str">
        <f t="shared" si="1"/>
        <v>DVW18</v>
      </c>
      <c r="D101" s="109">
        <v>2.2079999999999997</v>
      </c>
      <c r="E101" s="109">
        <v>8.4469999999999992</v>
      </c>
      <c r="F101" s="109">
        <v>20.262000000000004</v>
      </c>
      <c r="G101" s="109">
        <v>14.023000000000003</v>
      </c>
      <c r="H101" s="109">
        <v>22.470000000000002</v>
      </c>
    </row>
    <row r="102" spans="1:8" x14ac:dyDescent="0.3">
      <c r="A102" s="108" t="s">
        <v>13</v>
      </c>
      <c r="B102" s="108">
        <v>2012</v>
      </c>
      <c r="C102" s="108" t="str">
        <f t="shared" si="1"/>
        <v>PRT12</v>
      </c>
      <c r="D102" s="109">
        <v>2.0587327030131655</v>
      </c>
      <c r="E102" s="109">
        <v>13.711623928602982</v>
      </c>
      <c r="F102" s="109">
        <v>18.742976583900326</v>
      </c>
      <c r="G102" s="109">
        <v>7.0900853583105103</v>
      </c>
      <c r="H102" s="109">
        <v>20.801709286913493</v>
      </c>
    </row>
    <row r="103" spans="1:8" x14ac:dyDescent="0.3">
      <c r="A103" s="108" t="s">
        <v>13</v>
      </c>
      <c r="B103" s="108">
        <v>2013</v>
      </c>
      <c r="C103" s="108" t="str">
        <f t="shared" si="1"/>
        <v>PRT13</v>
      </c>
      <c r="D103" s="109">
        <v>1.9692364106988784</v>
      </c>
      <c r="E103" s="109">
        <v>14.794630371009491</v>
      </c>
      <c r="F103" s="109">
        <v>24.29875875754961</v>
      </c>
      <c r="G103" s="109">
        <v>11.473364797238998</v>
      </c>
      <c r="H103" s="109">
        <v>26.26799516824849</v>
      </c>
    </row>
    <row r="104" spans="1:8" x14ac:dyDescent="0.3">
      <c r="A104" s="108" t="s">
        <v>13</v>
      </c>
      <c r="B104" s="108">
        <v>2014</v>
      </c>
      <c r="C104" s="108" t="str">
        <f t="shared" si="1"/>
        <v>PRT14</v>
      </c>
      <c r="D104" s="109">
        <v>2.1329536849222444</v>
      </c>
      <c r="E104" s="109">
        <v>15.478183231913448</v>
      </c>
      <c r="F104" s="109">
        <v>19.690185429344147</v>
      </c>
      <c r="G104" s="109">
        <v>6.3449558823529451</v>
      </c>
      <c r="H104" s="109">
        <v>21.823139114266393</v>
      </c>
    </row>
    <row r="105" spans="1:8" x14ac:dyDescent="0.3">
      <c r="A105" s="108" t="s">
        <v>13</v>
      </c>
      <c r="B105" s="108">
        <v>2015</v>
      </c>
      <c r="C105" s="108" t="str">
        <f t="shared" si="1"/>
        <v>PRT15</v>
      </c>
      <c r="D105" s="109">
        <v>1.5780111974596811</v>
      </c>
      <c r="E105" s="109">
        <v>15.734130191359576</v>
      </c>
      <c r="F105" s="109">
        <v>20.119120247346871</v>
      </c>
      <c r="G105" s="109">
        <v>5.9630012534469756</v>
      </c>
      <c r="H105" s="109">
        <v>21.697131444806551</v>
      </c>
    </row>
    <row r="106" spans="1:8" x14ac:dyDescent="0.3">
      <c r="A106" s="108" t="s">
        <v>13</v>
      </c>
      <c r="B106" s="108">
        <v>2016</v>
      </c>
      <c r="C106" s="108" t="str">
        <f t="shared" si="1"/>
        <v>PRT16</v>
      </c>
      <c r="D106" s="109">
        <v>1.891506489184692</v>
      </c>
      <c r="E106" s="109">
        <v>13.525623960066552</v>
      </c>
      <c r="F106" s="109">
        <v>18.306411813643919</v>
      </c>
      <c r="G106" s="109">
        <v>6.6722943427620596</v>
      </c>
      <c r="H106" s="109">
        <v>20.197918302828612</v>
      </c>
    </row>
    <row r="107" spans="1:8" x14ac:dyDescent="0.3">
      <c r="A107" s="108" t="s">
        <v>13</v>
      </c>
      <c r="B107" s="108">
        <v>2017</v>
      </c>
      <c r="C107" s="108" t="str">
        <f t="shared" si="1"/>
        <v>PRT17</v>
      </c>
      <c r="D107" s="109">
        <v>1.9982915059499382</v>
      </c>
      <c r="E107" s="109">
        <v>16.019175051292571</v>
      </c>
      <c r="F107" s="109">
        <v>23.04963052933935</v>
      </c>
      <c r="G107" s="109">
        <v>9.0287469839967187</v>
      </c>
      <c r="H107" s="109">
        <v>25.04792203528929</v>
      </c>
    </row>
    <row r="108" spans="1:8" x14ac:dyDescent="0.3">
      <c r="A108" s="108" t="s">
        <v>13</v>
      </c>
      <c r="B108" s="108">
        <v>2018</v>
      </c>
      <c r="C108" s="108" t="str">
        <f t="shared" si="1"/>
        <v>PRT18</v>
      </c>
      <c r="D108" s="109">
        <v>2.3049999999999997</v>
      </c>
      <c r="E108" s="109">
        <v>14.590999999999999</v>
      </c>
      <c r="F108" s="109">
        <v>17.896000000000001</v>
      </c>
      <c r="G108" s="109">
        <v>5.6100000000000012</v>
      </c>
      <c r="H108" s="109">
        <v>20.201000000000001</v>
      </c>
    </row>
    <row r="109" spans="1:8" x14ac:dyDescent="0.3">
      <c r="A109" s="108" t="s">
        <v>14</v>
      </c>
      <c r="B109" s="108">
        <v>2012</v>
      </c>
      <c r="C109" s="108" t="str">
        <f t="shared" si="1"/>
        <v>SES12</v>
      </c>
      <c r="D109" s="109">
        <v>2.884214897941149</v>
      </c>
      <c r="E109" s="109">
        <v>13.30164548908721</v>
      </c>
      <c r="F109" s="109">
        <v>32.254584077052215</v>
      </c>
      <c r="G109" s="109">
        <v>21.837153485906153</v>
      </c>
      <c r="H109" s="109">
        <v>35.138798974993364</v>
      </c>
    </row>
    <row r="110" spans="1:8" x14ac:dyDescent="0.3">
      <c r="A110" s="108" t="s">
        <v>14</v>
      </c>
      <c r="B110" s="108">
        <v>2013</v>
      </c>
      <c r="C110" s="108" t="str">
        <f t="shared" si="1"/>
        <v>SES13</v>
      </c>
      <c r="D110" s="109">
        <v>2.5184645383951683</v>
      </c>
      <c r="E110" s="109">
        <v>13.958379292493531</v>
      </c>
      <c r="F110" s="109">
        <v>30.335952027610002</v>
      </c>
      <c r="G110" s="109">
        <v>18.896037273511638</v>
      </c>
      <c r="H110" s="109">
        <v>32.85441656600517</v>
      </c>
    </row>
    <row r="111" spans="1:8" x14ac:dyDescent="0.3">
      <c r="A111" s="108" t="s">
        <v>14</v>
      </c>
      <c r="B111" s="108">
        <v>2014</v>
      </c>
      <c r="C111" s="108" t="str">
        <f t="shared" si="1"/>
        <v>SES14</v>
      </c>
      <c r="D111" s="109">
        <v>2.8791703853955366</v>
      </c>
      <c r="E111" s="109">
        <v>18.997873901284645</v>
      </c>
      <c r="F111" s="109">
        <v>28.433393002028385</v>
      </c>
      <c r="G111" s="109">
        <v>12.314689486139276</v>
      </c>
      <c r="H111" s="109">
        <v>31.312563387423921</v>
      </c>
    </row>
    <row r="112" spans="1:8" x14ac:dyDescent="0.3">
      <c r="A112" s="108" t="s">
        <v>14</v>
      </c>
      <c r="B112" s="108">
        <v>2015</v>
      </c>
      <c r="C112" s="108" t="str">
        <f t="shared" si="1"/>
        <v>SES15</v>
      </c>
      <c r="D112" s="109">
        <v>3.3106883930809734</v>
      </c>
      <c r="E112" s="109">
        <v>18.921503802122505</v>
      </c>
      <c r="F112" s="109">
        <v>28.633065429932319</v>
      </c>
      <c r="G112" s="109">
        <v>13.022250020890787</v>
      </c>
      <c r="H112" s="109">
        <v>31.943753823013292</v>
      </c>
    </row>
    <row r="113" spans="1:8" x14ac:dyDescent="0.3">
      <c r="A113" s="108" t="s">
        <v>14</v>
      </c>
      <c r="B113" s="108">
        <v>2016</v>
      </c>
      <c r="C113" s="108" t="str">
        <f t="shared" si="1"/>
        <v>SES16</v>
      </c>
      <c r="D113" s="109">
        <v>3.4001337770382691</v>
      </c>
      <c r="E113" s="109">
        <v>16.223465723793673</v>
      </c>
      <c r="F113" s="109">
        <v>30.812411813643919</v>
      </c>
      <c r="G113" s="109">
        <v>17.989079866888517</v>
      </c>
      <c r="H113" s="109">
        <v>34.21254559068219</v>
      </c>
    </row>
    <row r="114" spans="1:8" x14ac:dyDescent="0.3">
      <c r="A114" s="108" t="s">
        <v>14</v>
      </c>
      <c r="B114" s="108">
        <v>2017</v>
      </c>
      <c r="C114" s="108" t="str">
        <f t="shared" si="1"/>
        <v>SES17</v>
      </c>
      <c r="D114" s="109">
        <v>3.8713690603200654</v>
      </c>
      <c r="E114" s="109">
        <v>16.987017316372587</v>
      </c>
      <c r="F114" s="109">
        <v>36.189911038161675</v>
      </c>
      <c r="G114" s="109">
        <v>23.074262782109152</v>
      </c>
      <c r="H114" s="109">
        <v>40.061280098481738</v>
      </c>
    </row>
    <row r="115" spans="1:8" x14ac:dyDescent="0.3">
      <c r="A115" s="108" t="s">
        <v>14</v>
      </c>
      <c r="B115" s="108">
        <v>2018</v>
      </c>
      <c r="C115" s="108" t="str">
        <f t="shared" si="1"/>
        <v>SES18</v>
      </c>
      <c r="D115" s="109">
        <v>3.3290000000000002</v>
      </c>
      <c r="E115" s="109">
        <v>15.864999999999998</v>
      </c>
      <c r="F115" s="109">
        <v>35.945999999999991</v>
      </c>
      <c r="G115" s="109">
        <v>23.409999999999993</v>
      </c>
      <c r="H115" s="109">
        <v>39.274999999999991</v>
      </c>
    </row>
    <row r="116" spans="1:8" x14ac:dyDescent="0.3">
      <c r="A116" s="108" t="s">
        <v>15</v>
      </c>
      <c r="B116" s="108">
        <v>2012</v>
      </c>
      <c r="C116" s="108" t="str">
        <f t="shared" si="1"/>
        <v>SEW12</v>
      </c>
      <c r="D116" s="109">
        <v>7.8009144378089346</v>
      </c>
      <c r="E116" s="109">
        <v>66.503662361692733</v>
      </c>
      <c r="F116" s="109">
        <v>91.60405062423925</v>
      </c>
      <c r="G116" s="109">
        <v>32.901302700355458</v>
      </c>
      <c r="H116" s="109">
        <v>99.404965062048191</v>
      </c>
    </row>
    <row r="117" spans="1:8" x14ac:dyDescent="0.3">
      <c r="A117" s="108" t="s">
        <v>15</v>
      </c>
      <c r="B117" s="108">
        <v>2013</v>
      </c>
      <c r="C117" s="108" t="str">
        <f t="shared" si="1"/>
        <v>SEW13</v>
      </c>
      <c r="D117" s="109">
        <v>8.0941617420636955</v>
      </c>
      <c r="E117" s="109">
        <v>67.253613673235293</v>
      </c>
      <c r="F117" s="109">
        <v>96.127228142630017</v>
      </c>
      <c r="G117" s="109">
        <v>36.967776211458414</v>
      </c>
      <c r="H117" s="109">
        <v>104.22138988469371</v>
      </c>
    </row>
    <row r="118" spans="1:8" x14ac:dyDescent="0.3">
      <c r="A118" s="108" t="s">
        <v>15</v>
      </c>
      <c r="B118" s="108">
        <v>2014</v>
      </c>
      <c r="C118" s="108" t="str">
        <f t="shared" si="1"/>
        <v>SEW14</v>
      </c>
      <c r="D118" s="109">
        <v>8.3384665938399518</v>
      </c>
      <c r="E118" s="109">
        <v>69.169267949549663</v>
      </c>
      <c r="F118" s="109">
        <v>104.34351739602954</v>
      </c>
      <c r="G118" s="109">
        <v>43.51271604031983</v>
      </c>
      <c r="H118" s="109">
        <v>112.68198398986949</v>
      </c>
    </row>
    <row r="119" spans="1:8" x14ac:dyDescent="0.3">
      <c r="A119" s="108" t="s">
        <v>15</v>
      </c>
      <c r="B119" s="108">
        <v>2015</v>
      </c>
      <c r="C119" s="108" t="str">
        <f t="shared" si="1"/>
        <v>SEW15</v>
      </c>
      <c r="D119" s="109">
        <v>9.6675988692397414</v>
      </c>
      <c r="E119" s="109">
        <v>64.946551101059271</v>
      </c>
      <c r="F119" s="109">
        <v>102.62101085750382</v>
      </c>
      <c r="G119" s="109">
        <v>47.342058625684288</v>
      </c>
      <c r="H119" s="109">
        <v>112.28860972674356</v>
      </c>
    </row>
    <row r="120" spans="1:8" x14ac:dyDescent="0.3">
      <c r="A120" s="108" t="s">
        <v>15</v>
      </c>
      <c r="B120" s="108">
        <v>2016</v>
      </c>
      <c r="C120" s="108" t="str">
        <f t="shared" si="1"/>
        <v>SEW16</v>
      </c>
      <c r="D120" s="109">
        <v>10.225573889547116</v>
      </c>
      <c r="E120" s="109">
        <v>55.392225913019921</v>
      </c>
      <c r="F120" s="109">
        <v>85.650291335078464</v>
      </c>
      <c r="G120" s="109">
        <v>40.483639311605664</v>
      </c>
      <c r="H120" s="109">
        <v>95.875865224625585</v>
      </c>
    </row>
    <row r="121" spans="1:8" x14ac:dyDescent="0.3">
      <c r="A121" s="108" t="s">
        <v>15</v>
      </c>
      <c r="B121" s="108">
        <v>2017</v>
      </c>
      <c r="C121" s="108" t="str">
        <f t="shared" si="1"/>
        <v>SEW17</v>
      </c>
      <c r="D121" s="109">
        <v>11.354056914881925</v>
      </c>
      <c r="E121" s="109">
        <v>63.225969702125091</v>
      </c>
      <c r="F121" s="109">
        <v>93.365077247771168</v>
      </c>
      <c r="G121" s="109">
        <v>41.493164460528</v>
      </c>
      <c r="H121" s="109">
        <v>104.71913416265309</v>
      </c>
    </row>
    <row r="122" spans="1:8" x14ac:dyDescent="0.3">
      <c r="A122" s="108" t="s">
        <v>15</v>
      </c>
      <c r="B122" s="108">
        <v>2018</v>
      </c>
      <c r="C122" s="108" t="str">
        <f t="shared" si="1"/>
        <v>SEW18</v>
      </c>
      <c r="D122" s="109">
        <v>11.145</v>
      </c>
      <c r="E122" s="109">
        <v>59.295000000000009</v>
      </c>
      <c r="F122" s="109">
        <v>98.657000000000011</v>
      </c>
      <c r="G122" s="109">
        <v>50.506999999999998</v>
      </c>
      <c r="H122" s="109">
        <v>109.80200000000001</v>
      </c>
    </row>
    <row r="123" spans="1:8" x14ac:dyDescent="0.3">
      <c r="A123" s="108" t="s">
        <v>16</v>
      </c>
      <c r="B123" s="108">
        <v>2012</v>
      </c>
      <c r="C123" s="108" t="str">
        <f t="shared" si="1"/>
        <v>SSC12</v>
      </c>
      <c r="D123" s="109">
        <v>7.7418686417485958</v>
      </c>
      <c r="E123" s="109">
        <v>45.526717077055856</v>
      </c>
      <c r="F123" s="109">
        <v>55.735739735365343</v>
      </c>
      <c r="G123" s="109">
        <v>17.950891300058082</v>
      </c>
      <c r="H123" s="109">
        <v>63.477608377113938</v>
      </c>
    </row>
    <row r="124" spans="1:8" x14ac:dyDescent="0.3">
      <c r="A124" s="108" t="s">
        <v>16</v>
      </c>
      <c r="B124" s="108">
        <v>2013</v>
      </c>
      <c r="C124" s="108" t="str">
        <f t="shared" si="1"/>
        <v>SSC13</v>
      </c>
      <c r="D124" s="109">
        <v>9.1272067482885397</v>
      </c>
      <c r="E124" s="109">
        <v>43.19908475061618</v>
      </c>
      <c r="F124" s="109">
        <v>59.258740627458906</v>
      </c>
      <c r="G124" s="109">
        <v>25.186862625131269</v>
      </c>
      <c r="H124" s="109">
        <v>68.385947375747449</v>
      </c>
    </row>
    <row r="125" spans="1:8" x14ac:dyDescent="0.3">
      <c r="A125" s="108" t="s">
        <v>16</v>
      </c>
      <c r="B125" s="108">
        <v>2014</v>
      </c>
      <c r="C125" s="108" t="str">
        <f t="shared" si="1"/>
        <v>SSC14</v>
      </c>
      <c r="D125" s="109">
        <v>7.4671102802589493</v>
      </c>
      <c r="E125" s="109">
        <v>46.109879151984146</v>
      </c>
      <c r="F125" s="109">
        <v>57.775531438420884</v>
      </c>
      <c r="G125" s="109">
        <v>19.132762566695689</v>
      </c>
      <c r="H125" s="109">
        <v>65.242641718679835</v>
      </c>
    </row>
    <row r="126" spans="1:8" x14ac:dyDescent="0.3">
      <c r="A126" s="108" t="s">
        <v>16</v>
      </c>
      <c r="B126" s="108">
        <v>2015</v>
      </c>
      <c r="C126" s="108" t="str">
        <f t="shared" si="1"/>
        <v>SSC15</v>
      </c>
      <c r="D126" s="109">
        <v>6.6603795368849923</v>
      </c>
      <c r="E126" s="109">
        <v>45.202592039541663</v>
      </c>
      <c r="F126" s="109">
        <v>55.680703892116611</v>
      </c>
      <c r="G126" s="109">
        <v>17.138491389459944</v>
      </c>
      <c r="H126" s="109">
        <v>62.341083429001607</v>
      </c>
    </row>
    <row r="127" spans="1:8" x14ac:dyDescent="0.3">
      <c r="A127" s="108" t="s">
        <v>16</v>
      </c>
      <c r="B127" s="108">
        <v>2016</v>
      </c>
      <c r="C127" s="108" t="str">
        <f t="shared" si="1"/>
        <v>SSC16</v>
      </c>
      <c r="D127" s="109">
        <v>6.6496678180744322</v>
      </c>
      <c r="E127" s="109">
        <v>44.168395136629456</v>
      </c>
      <c r="F127" s="109">
        <v>56.953360391967998</v>
      </c>
      <c r="G127" s="109">
        <v>19.434633073412975</v>
      </c>
      <c r="H127" s="109">
        <v>63.603028210042432</v>
      </c>
    </row>
    <row r="128" spans="1:8" x14ac:dyDescent="0.3">
      <c r="A128" s="108" t="s">
        <v>16</v>
      </c>
      <c r="B128" s="108">
        <v>2017</v>
      </c>
      <c r="C128" s="108" t="str">
        <f t="shared" si="1"/>
        <v>SSC17</v>
      </c>
      <c r="D128" s="109">
        <v>5.8746886246216263</v>
      </c>
      <c r="E128" s="109">
        <v>46.758316221951304</v>
      </c>
      <c r="F128" s="109">
        <v>57.726034127658139</v>
      </c>
      <c r="G128" s="109">
        <v>16.842406530328461</v>
      </c>
      <c r="H128" s="109">
        <v>63.600722752279765</v>
      </c>
    </row>
    <row r="129" spans="1:8" x14ac:dyDescent="0.3">
      <c r="A129" s="108" t="s">
        <v>16</v>
      </c>
      <c r="B129" s="108">
        <v>2018</v>
      </c>
      <c r="C129" s="108" t="str">
        <f t="shared" si="1"/>
        <v>SSC18</v>
      </c>
      <c r="D129" s="109">
        <v>5.8156274530022491</v>
      </c>
      <c r="E129" s="109">
        <v>58.758586353679284</v>
      </c>
      <c r="F129" s="109">
        <v>69.224844529296206</v>
      </c>
      <c r="G129" s="109">
        <v>16.281885628619172</v>
      </c>
      <c r="H129" s="109">
        <v>75.040471982298456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Q128"/>
  <sheetViews>
    <sheetView showGridLines="0" zoomScale="80" zoomScaleNormal="80" workbookViewId="0">
      <pane xSplit="3" ySplit="3" topLeftCell="D4" activePane="bottomRight" state="frozen"/>
      <selection pane="topRight" activeCell="D1" sqref="D1"/>
      <selection pane="bottomLeft" activeCell="A4" sqref="A4"/>
      <selection pane="bottomRight"/>
    </sheetView>
  </sheetViews>
  <sheetFormatPr defaultColWidth="8.6640625" defaultRowHeight="13" x14ac:dyDescent="0.3"/>
  <cols>
    <col min="1" max="1" width="7.5" style="5" bestFit="1" customWidth="1"/>
    <col min="2" max="2" width="14.08203125" style="83" customWidth="1"/>
    <col min="3" max="3" width="7.58203125" style="83" bestFit="1" customWidth="1"/>
    <col min="4" max="4" width="10.58203125" style="5" customWidth="1"/>
    <col min="5" max="5" width="14" style="5" bestFit="1" customWidth="1"/>
    <col min="6" max="6" width="22.5" style="5" customWidth="1"/>
    <col min="7" max="7" width="21.08203125" style="5" customWidth="1"/>
    <col min="8" max="8" width="20.58203125" style="5" customWidth="1"/>
    <col min="9" max="9" width="17.08203125" style="5" customWidth="1"/>
    <col min="10" max="10" width="20.5" style="5" customWidth="1"/>
    <col min="11" max="11" width="11.08203125" style="83" customWidth="1"/>
    <col min="12" max="12" width="14.08203125" style="83" customWidth="1"/>
    <col min="13" max="13" width="17" style="5" customWidth="1"/>
    <col min="14" max="14" width="15.08203125" style="5" bestFit="1" customWidth="1"/>
    <col min="15" max="15" width="17.1640625" style="5" customWidth="1"/>
    <col min="16" max="16" width="16.1640625" style="5" customWidth="1"/>
    <col min="17" max="17" width="15.6640625" style="5" customWidth="1"/>
    <col min="18" max="16384" width="8.6640625" style="5"/>
  </cols>
  <sheetData>
    <row r="2" spans="1:17" ht="30" customHeight="1" x14ac:dyDescent="0.3">
      <c r="B2" s="120"/>
      <c r="C2" s="121"/>
      <c r="D2" s="122" t="s">
        <v>1</v>
      </c>
      <c r="E2" s="122"/>
      <c r="F2" s="123"/>
      <c r="G2" s="123"/>
      <c r="H2" s="123"/>
      <c r="I2" s="123"/>
      <c r="J2" s="123"/>
      <c r="K2" s="124" t="s">
        <v>20</v>
      </c>
      <c r="L2" s="124"/>
      <c r="M2" s="125"/>
      <c r="N2" s="125"/>
      <c r="O2" s="125"/>
      <c r="P2" s="126"/>
      <c r="Q2" s="126"/>
    </row>
    <row r="3" spans="1:17" s="6" customFormat="1" ht="39" x14ac:dyDescent="0.3">
      <c r="A3" s="127"/>
      <c r="B3" s="127"/>
      <c r="C3" s="127"/>
      <c r="D3" s="128" t="s">
        <v>57</v>
      </c>
      <c r="E3" s="128" t="s">
        <v>58</v>
      </c>
      <c r="F3" s="128" t="s">
        <v>59</v>
      </c>
      <c r="G3" s="128" t="s">
        <v>100</v>
      </c>
      <c r="H3" s="128" t="s">
        <v>144</v>
      </c>
      <c r="I3" s="128" t="s">
        <v>34</v>
      </c>
      <c r="J3" s="128" t="s">
        <v>60</v>
      </c>
      <c r="K3" s="127" t="s">
        <v>86</v>
      </c>
      <c r="L3" s="127" t="s">
        <v>87</v>
      </c>
      <c r="M3" s="127" t="s">
        <v>51</v>
      </c>
      <c r="N3" s="127" t="s">
        <v>97</v>
      </c>
      <c r="O3" s="127" t="s">
        <v>88</v>
      </c>
      <c r="P3" s="127" t="s">
        <v>89</v>
      </c>
      <c r="Q3" s="127" t="s">
        <v>90</v>
      </c>
    </row>
    <row r="4" spans="1:17" s="6" customFormat="1" ht="26" x14ac:dyDescent="0.3">
      <c r="A4" s="127" t="str">
        <f>'Actual costs'!A5</f>
        <v>Company</v>
      </c>
      <c r="B4" s="127" t="str">
        <f>'Actual costs'!B5</f>
        <v>financialyear</v>
      </c>
      <c r="C4" s="127" t="str">
        <f>'Actual costs'!C5</f>
        <v>Unique id</v>
      </c>
      <c r="D4" s="128" t="s">
        <v>56</v>
      </c>
      <c r="E4" s="128" t="s">
        <v>56</v>
      </c>
      <c r="F4" s="128" t="s">
        <v>83</v>
      </c>
      <c r="G4" s="128" t="s">
        <v>56</v>
      </c>
      <c r="H4" s="128" t="s">
        <v>56</v>
      </c>
      <c r="I4" s="128" t="s">
        <v>56</v>
      </c>
      <c r="J4" s="128" t="s">
        <v>56</v>
      </c>
      <c r="K4" s="127" t="s">
        <v>79</v>
      </c>
      <c r="L4" s="127" t="s">
        <v>78</v>
      </c>
      <c r="M4" s="127" t="s">
        <v>83</v>
      </c>
      <c r="N4" s="127" t="s">
        <v>99</v>
      </c>
      <c r="O4" s="127" t="s">
        <v>81</v>
      </c>
      <c r="P4" s="127" t="s">
        <v>80</v>
      </c>
      <c r="Q4" s="127" t="s">
        <v>84</v>
      </c>
    </row>
    <row r="5" spans="1:17" x14ac:dyDescent="0.3">
      <c r="A5" s="108" t="str">
        <f>'Actual costs'!A6</f>
        <v>ANH</v>
      </c>
      <c r="B5" s="108">
        <f>'Actual costs'!B6</f>
        <v>2012</v>
      </c>
      <c r="C5" s="108" t="str">
        <f>'Actual costs'!C6</f>
        <v>ANH12</v>
      </c>
      <c r="D5" s="129">
        <f>LN(K5)</f>
        <v>14.552506188703944</v>
      </c>
      <c r="E5" s="130">
        <f>LN(L5)</f>
        <v>10.544420792122427</v>
      </c>
      <c r="F5" s="131">
        <f>M5</f>
        <v>80.526046718272525</v>
      </c>
      <c r="G5" s="132">
        <f>LN(N5)</f>
        <v>1.5898722148126376</v>
      </c>
      <c r="H5" s="133">
        <f>LN(O5)</f>
        <v>-4.4418621975088586</v>
      </c>
      <c r="I5" s="134">
        <f>LN(P5)</f>
        <v>6.4826198370460268</v>
      </c>
      <c r="J5" s="134">
        <f>(LN(P5))^2</f>
        <v>42.024359951662653</v>
      </c>
      <c r="K5" s="135">
        <v>2089648.0000000002</v>
      </c>
      <c r="L5" s="135">
        <v>37965.031529</v>
      </c>
      <c r="M5" s="135">
        <v>80.526046718272525</v>
      </c>
      <c r="N5" s="135">
        <v>4.9031223418861236</v>
      </c>
      <c r="O5" s="135">
        <v>1.177399259259285E-2</v>
      </c>
      <c r="P5" s="135">
        <v>653.68124328065392</v>
      </c>
      <c r="Q5" s="135">
        <v>4511916.7312000003</v>
      </c>
    </row>
    <row r="6" spans="1:17" x14ac:dyDescent="0.3">
      <c r="A6" s="108" t="str">
        <f>'Actual costs'!A7</f>
        <v>ANH</v>
      </c>
      <c r="B6" s="108">
        <f>'Actual costs'!B7</f>
        <v>2013</v>
      </c>
      <c r="C6" s="108" t="str">
        <f>'Actual costs'!C7</f>
        <v>ANH13</v>
      </c>
      <c r="D6" s="129">
        <f t="shared" ref="D6:D69" si="0">LN(K6)</f>
        <v>14.559646436527</v>
      </c>
      <c r="E6" s="130">
        <f t="shared" ref="E6:E69" si="1">LN(L6)</f>
        <v>10.547826229399723</v>
      </c>
      <c r="F6" s="131">
        <f t="shared" ref="F6:F69" si="2">M6</f>
        <v>81.611902255222475</v>
      </c>
      <c r="G6" s="132">
        <f t="shared" ref="G6:G69" si="3">LN(N6)</f>
        <v>1.6039167049713896</v>
      </c>
      <c r="H6" s="133">
        <f t="shared" ref="H6:H69" si="4">LN(O6)</f>
        <v>-4.4475072773796587</v>
      </c>
      <c r="I6" s="134">
        <f t="shared" ref="I6:I69" si="5">LN(P6)</f>
        <v>6.4938578617393805</v>
      </c>
      <c r="J6" s="134">
        <f t="shared" ref="J6:J69" si="6">(LN(P6))^2</f>
        <v>42.170189928474358</v>
      </c>
      <c r="K6" s="135">
        <v>2104622.0000000005</v>
      </c>
      <c r="L6" s="135">
        <v>38094.539452999998</v>
      </c>
      <c r="M6" s="135">
        <v>81.611902255222475</v>
      </c>
      <c r="N6" s="135">
        <v>4.9724700319536037</v>
      </c>
      <c r="O6" s="135">
        <v>1.1707714711980247E-2</v>
      </c>
      <c r="P6" s="135">
        <v>661.06876204408263</v>
      </c>
      <c r="Q6" s="135">
        <v>4547416.1969999997</v>
      </c>
    </row>
    <row r="7" spans="1:17" x14ac:dyDescent="0.3">
      <c r="A7" s="108" t="str">
        <f>'Actual costs'!A8</f>
        <v>ANH</v>
      </c>
      <c r="B7" s="108">
        <f>'Actual costs'!B8</f>
        <v>2014</v>
      </c>
      <c r="C7" s="108" t="str">
        <f>'Actual costs'!C8</f>
        <v>ANH14</v>
      </c>
      <c r="D7" s="129">
        <f t="shared" si="0"/>
        <v>14.567032773092057</v>
      </c>
      <c r="E7" s="130">
        <f t="shared" si="1"/>
        <v>10.549659980710285</v>
      </c>
      <c r="F7" s="131">
        <f t="shared" si="2"/>
        <v>83.914025140926682</v>
      </c>
      <c r="G7" s="132">
        <f t="shared" si="3"/>
        <v>1.6187624206237043</v>
      </c>
      <c r="H7" s="133">
        <f t="shared" si="4"/>
        <v>-4.4448667482952997</v>
      </c>
      <c r="I7" s="134">
        <f t="shared" si="5"/>
        <v>6.5019445211239795</v>
      </c>
      <c r="J7" s="134">
        <f t="shared" si="6"/>
        <v>42.275282555774133</v>
      </c>
      <c r="K7" s="135">
        <v>2120225</v>
      </c>
      <c r="L7" s="135">
        <v>38164.459453000003</v>
      </c>
      <c r="M7" s="135">
        <v>83.914025140926682</v>
      </c>
      <c r="N7" s="135">
        <v>5.046840584269102</v>
      </c>
      <c r="O7" s="135">
        <v>1.1738670124536088E-2</v>
      </c>
      <c r="P7" s="135">
        <v>666.43627331999971</v>
      </c>
      <c r="Q7" s="135">
        <v>4582979.5762</v>
      </c>
    </row>
    <row r="8" spans="1:17" x14ac:dyDescent="0.3">
      <c r="A8" s="108" t="str">
        <f>'Actual costs'!A9</f>
        <v>ANH</v>
      </c>
      <c r="B8" s="108">
        <f>'Actual costs'!B9</f>
        <v>2015</v>
      </c>
      <c r="C8" s="108" t="str">
        <f>'Actual costs'!C9</f>
        <v>ANH15</v>
      </c>
      <c r="D8" s="129">
        <f t="shared" si="0"/>
        <v>14.575342548485215</v>
      </c>
      <c r="E8" s="130">
        <f t="shared" si="1"/>
        <v>10.550157702211132</v>
      </c>
      <c r="F8" s="131">
        <f t="shared" si="2"/>
        <v>83.181572758137861</v>
      </c>
      <c r="G8" s="132">
        <f t="shared" si="3"/>
        <v>1.6167160034292138</v>
      </c>
      <c r="H8" s="133">
        <f t="shared" si="4"/>
        <v>-4.4409101194467668</v>
      </c>
      <c r="I8" s="134">
        <f t="shared" si="5"/>
        <v>6.5107976555445637</v>
      </c>
      <c r="J8" s="134">
        <f t="shared" si="6"/>
        <v>42.390486111444588</v>
      </c>
      <c r="K8" s="135">
        <v>2137917</v>
      </c>
      <c r="L8" s="135">
        <v>38183.459452999996</v>
      </c>
      <c r="M8" s="135">
        <v>83.181572758137861</v>
      </c>
      <c r="N8" s="135">
        <v>5.0365232033530694</v>
      </c>
      <c r="O8" s="135">
        <v>1.1785207690620721E-2</v>
      </c>
      <c r="P8" s="135">
        <v>672.36251744115418</v>
      </c>
      <c r="Q8" s="135">
        <v>4630654.6869999999</v>
      </c>
    </row>
    <row r="9" spans="1:17" x14ac:dyDescent="0.3">
      <c r="A9" s="108" t="str">
        <f>'Actual costs'!A10</f>
        <v>ANH</v>
      </c>
      <c r="B9" s="108">
        <f>'Actual costs'!B10</f>
        <v>2016</v>
      </c>
      <c r="C9" s="108" t="str">
        <f>'Actual costs'!C10</f>
        <v>ANH16</v>
      </c>
      <c r="D9" s="129">
        <f t="shared" si="0"/>
        <v>14.583106831061196</v>
      </c>
      <c r="E9" s="130">
        <f t="shared" si="1"/>
        <v>10.552503086804146</v>
      </c>
      <c r="F9" s="131">
        <f t="shared" si="2"/>
        <v>82.423322184868013</v>
      </c>
      <c r="G9" s="132">
        <f t="shared" si="3"/>
        <v>1.6187633395882952</v>
      </c>
      <c r="H9" s="133">
        <f t="shared" si="4"/>
        <v>-4.4191050438074981</v>
      </c>
      <c r="I9" s="134">
        <f t="shared" si="5"/>
        <v>6.5223320723917544</v>
      </c>
      <c r="J9" s="134">
        <f t="shared" si="6"/>
        <v>42.540815662550116</v>
      </c>
      <c r="K9" s="135">
        <v>2154581</v>
      </c>
      <c r="L9" s="135">
        <v>38273.119452999999</v>
      </c>
      <c r="M9" s="135">
        <v>82.423322184868013</v>
      </c>
      <c r="N9" s="135">
        <v>5.0468452221390256</v>
      </c>
      <c r="O9" s="135">
        <v>1.2045007216255663E-2</v>
      </c>
      <c r="P9" s="135">
        <v>680.16272593797407</v>
      </c>
      <c r="Q9" s="135">
        <v>4677341.1139999991</v>
      </c>
    </row>
    <row r="10" spans="1:17" x14ac:dyDescent="0.3">
      <c r="A10" s="108" t="str">
        <f>'Actual costs'!A11</f>
        <v>ANH</v>
      </c>
      <c r="B10" s="108">
        <f>'Actual costs'!B11</f>
        <v>2017</v>
      </c>
      <c r="C10" s="108" t="str">
        <f>'Actual costs'!C11</f>
        <v>ANH17</v>
      </c>
      <c r="D10" s="129">
        <f t="shared" si="0"/>
        <v>14.585747012178947</v>
      </c>
      <c r="E10" s="130">
        <f t="shared" si="1"/>
        <v>10.556169171218031</v>
      </c>
      <c r="F10" s="131">
        <f t="shared" si="2"/>
        <v>85.079903231904837</v>
      </c>
      <c r="G10" s="132">
        <f t="shared" si="3"/>
        <v>1.6375490731727238</v>
      </c>
      <c r="H10" s="133">
        <f t="shared" si="4"/>
        <v>-4.4227711282213829</v>
      </c>
      <c r="I10" s="134">
        <f t="shared" si="5"/>
        <v>6.5332408572086633</v>
      </c>
      <c r="J10" s="134">
        <f t="shared" si="6"/>
        <v>42.68323609830059</v>
      </c>
      <c r="K10" s="135">
        <v>2160277</v>
      </c>
      <c r="L10" s="135">
        <v>38413.689452999999</v>
      </c>
      <c r="M10" s="135">
        <v>85.079903231904837</v>
      </c>
      <c r="N10" s="135">
        <v>5.1425500399966575</v>
      </c>
      <c r="O10" s="135">
        <v>1.2000930047712384E-2</v>
      </c>
      <c r="P10" s="135">
        <v>687.62309253986314</v>
      </c>
      <c r="Q10" s="135">
        <v>4723426.3777999999</v>
      </c>
    </row>
    <row r="11" spans="1:17" x14ac:dyDescent="0.3">
      <c r="A11" s="108" t="str">
        <f>'Actual costs'!A12</f>
        <v>ANH</v>
      </c>
      <c r="B11" s="108">
        <f>'Actual costs'!B12</f>
        <v>2018</v>
      </c>
      <c r="C11" s="108" t="str">
        <f>'Actual costs'!C12</f>
        <v>ANH18</v>
      </c>
      <c r="D11" s="129">
        <f t="shared" si="0"/>
        <v>14.602020113496849</v>
      </c>
      <c r="E11" s="130">
        <f t="shared" si="1"/>
        <v>10.573033399843746</v>
      </c>
      <c r="F11" s="131">
        <f t="shared" si="2"/>
        <v>79.832605138716588</v>
      </c>
      <c r="G11" s="132">
        <f t="shared" si="3"/>
        <v>1.6137957728412036</v>
      </c>
      <c r="H11" s="133">
        <f t="shared" si="4"/>
        <v>-4.4331488476174918</v>
      </c>
      <c r="I11" s="134">
        <f t="shared" si="5"/>
        <v>6.5365078139431665</v>
      </c>
      <c r="J11" s="134">
        <f t="shared" si="6"/>
        <v>42.725934401740076</v>
      </c>
      <c r="K11" s="135">
        <v>2195719</v>
      </c>
      <c r="L11" s="135">
        <v>39067</v>
      </c>
      <c r="M11" s="135">
        <v>79.832605138716588</v>
      </c>
      <c r="N11" s="135">
        <v>5.0218368484456191</v>
      </c>
      <c r="O11" s="135">
        <v>1.1877031765940564E-2</v>
      </c>
      <c r="P11" s="135">
        <v>689.8732009349385</v>
      </c>
      <c r="Q11" s="135">
        <v>4762696.3629999999</v>
      </c>
    </row>
    <row r="12" spans="1:17" x14ac:dyDescent="0.3">
      <c r="A12" s="108" t="str">
        <f>'Actual costs'!A13</f>
        <v>NES</v>
      </c>
      <c r="B12" s="108">
        <f>'Actual costs'!B13</f>
        <v>2012</v>
      </c>
      <c r="C12" s="108" t="str">
        <f>'Actual costs'!C13</f>
        <v>NES12</v>
      </c>
      <c r="D12" s="129">
        <f t="shared" si="0"/>
        <v>14.4872134444302</v>
      </c>
      <c r="E12" s="130">
        <f t="shared" si="1"/>
        <v>10.125342273665408</v>
      </c>
      <c r="F12" s="131">
        <f t="shared" si="2"/>
        <v>97.805172957628017</v>
      </c>
      <c r="G12" s="132">
        <f t="shared" si="3"/>
        <v>1.6653273992354107</v>
      </c>
      <c r="H12" s="133">
        <f t="shared" si="4"/>
        <v>-4.4116094681560396</v>
      </c>
      <c r="I12" s="134">
        <f t="shared" si="5"/>
        <v>7.3358536554815048</v>
      </c>
      <c r="J12" s="134">
        <f t="shared" si="6"/>
        <v>53.814748854641358</v>
      </c>
      <c r="K12" s="135">
        <v>1957568</v>
      </c>
      <c r="L12" s="135">
        <v>24967.8</v>
      </c>
      <c r="M12" s="135">
        <v>97.805172957628017</v>
      </c>
      <c r="N12" s="135">
        <v>5.2874040584586268</v>
      </c>
      <c r="O12" s="135">
        <v>1.2135630692331723E-2</v>
      </c>
      <c r="P12" s="135">
        <v>1534.3370162477249</v>
      </c>
      <c r="Q12" s="135">
        <v>4485663.1399999997</v>
      </c>
    </row>
    <row r="13" spans="1:17" x14ac:dyDescent="0.3">
      <c r="A13" s="108" t="str">
        <f>'Actual costs'!A14</f>
        <v>NES</v>
      </c>
      <c r="B13" s="108">
        <f>'Actual costs'!B14</f>
        <v>2013</v>
      </c>
      <c r="C13" s="108" t="str">
        <f>'Actual costs'!C14</f>
        <v>NES13</v>
      </c>
      <c r="D13" s="129">
        <f t="shared" si="0"/>
        <v>14.49110050843586</v>
      </c>
      <c r="E13" s="130">
        <f t="shared" si="1"/>
        <v>10.150246062809835</v>
      </c>
      <c r="F13" s="131">
        <f t="shared" si="2"/>
        <v>97.99135381114904</v>
      </c>
      <c r="G13" s="132">
        <f t="shared" si="3"/>
        <v>1.6645361091618764</v>
      </c>
      <c r="H13" s="133">
        <f t="shared" si="4"/>
        <v>-4.4365132573004651</v>
      </c>
      <c r="I13" s="134">
        <f t="shared" si="5"/>
        <v>7.3435483122741116</v>
      </c>
      <c r="J13" s="134">
        <f t="shared" si="6"/>
        <v>53.927701814703951</v>
      </c>
      <c r="K13" s="135">
        <v>1965192</v>
      </c>
      <c r="L13" s="135">
        <v>25597.4</v>
      </c>
      <c r="M13" s="135">
        <v>97.99135381114904</v>
      </c>
      <c r="N13" s="135">
        <v>5.2832218430034121</v>
      </c>
      <c r="O13" s="135">
        <v>1.1837139709501746E-2</v>
      </c>
      <c r="P13" s="135">
        <v>1546.1887520354312</v>
      </c>
      <c r="Q13" s="135">
        <v>4505813.9800000004</v>
      </c>
    </row>
    <row r="14" spans="1:17" x14ac:dyDescent="0.3">
      <c r="A14" s="108" t="str">
        <f>'Actual costs'!A15</f>
        <v>NES</v>
      </c>
      <c r="B14" s="108">
        <f>'Actual costs'!B15</f>
        <v>2014</v>
      </c>
      <c r="C14" s="108" t="str">
        <f>'Actual costs'!C15</f>
        <v>NES14</v>
      </c>
      <c r="D14" s="129">
        <f t="shared" si="0"/>
        <v>14.494851367695638</v>
      </c>
      <c r="E14" s="130">
        <f t="shared" si="1"/>
        <v>10.158273171480069</v>
      </c>
      <c r="F14" s="131">
        <f t="shared" si="2"/>
        <v>98.345841350318693</v>
      </c>
      <c r="G14" s="132">
        <f t="shared" si="3"/>
        <v>1.6649796672905719</v>
      </c>
      <c r="H14" s="133">
        <f t="shared" si="4"/>
        <v>-4.4445403659706999</v>
      </c>
      <c r="I14" s="134">
        <f t="shared" si="5"/>
        <v>7.3554693653683456</v>
      </c>
      <c r="J14" s="134">
        <f t="shared" si="6"/>
        <v>54.102929584872214</v>
      </c>
      <c r="K14" s="135">
        <v>1972577</v>
      </c>
      <c r="L14" s="135">
        <v>25803.7</v>
      </c>
      <c r="M14" s="135">
        <v>98.345841350318693</v>
      </c>
      <c r="N14" s="135">
        <v>5.2855657787950356</v>
      </c>
      <c r="O14" s="135">
        <v>1.1742502044280472E-2</v>
      </c>
      <c r="P14" s="135">
        <v>1564.7312537243358</v>
      </c>
      <c r="Q14" s="135">
        <v>4530455.49</v>
      </c>
    </row>
    <row r="15" spans="1:17" x14ac:dyDescent="0.3">
      <c r="A15" s="108" t="str">
        <f>'Actual costs'!A16</f>
        <v>NES</v>
      </c>
      <c r="B15" s="108">
        <f>'Actual costs'!B16</f>
        <v>2015</v>
      </c>
      <c r="C15" s="108" t="str">
        <f>'Actual costs'!C16</f>
        <v>NES15</v>
      </c>
      <c r="D15" s="129">
        <f t="shared" si="0"/>
        <v>14.500902746151151</v>
      </c>
      <c r="E15" s="130">
        <f t="shared" si="1"/>
        <v>10.160723304018108</v>
      </c>
      <c r="F15" s="131">
        <f t="shared" si="2"/>
        <v>98.274567963755075</v>
      </c>
      <c r="G15" s="132">
        <f t="shared" si="3"/>
        <v>1.6647415664119871</v>
      </c>
      <c r="H15" s="133">
        <f t="shared" si="4"/>
        <v>-4.4436956026118857</v>
      </c>
      <c r="I15" s="134">
        <f t="shared" si="5"/>
        <v>7.368707653722713</v>
      </c>
      <c r="J15" s="134">
        <f t="shared" si="6"/>
        <v>54.297852486031687</v>
      </c>
      <c r="K15" s="135">
        <v>1984550</v>
      </c>
      <c r="L15" s="135">
        <v>25867</v>
      </c>
      <c r="M15" s="135">
        <v>98.274567963755075</v>
      </c>
      <c r="N15" s="135">
        <v>5.2843074307521194</v>
      </c>
      <c r="O15" s="135">
        <v>1.1752425870800633E-2</v>
      </c>
      <c r="P15" s="135">
        <v>1585.5833356646363</v>
      </c>
      <c r="Q15" s="135">
        <v>4562183.87</v>
      </c>
    </row>
    <row r="16" spans="1:17" x14ac:dyDescent="0.3">
      <c r="A16" s="108" t="str">
        <f>'Actual costs'!A17</f>
        <v>NES</v>
      </c>
      <c r="B16" s="108">
        <f>'Actual costs'!B17</f>
        <v>2016</v>
      </c>
      <c r="C16" s="108" t="str">
        <f>'Actual costs'!C17</f>
        <v>NES16</v>
      </c>
      <c r="D16" s="129">
        <f t="shared" si="0"/>
        <v>14.51163879076941</v>
      </c>
      <c r="E16" s="130">
        <f t="shared" si="1"/>
        <v>10.163976983678369</v>
      </c>
      <c r="F16" s="131">
        <f t="shared" si="2"/>
        <v>98.275114299654859</v>
      </c>
      <c r="G16" s="132">
        <f t="shared" si="3"/>
        <v>1.6656756824655077</v>
      </c>
      <c r="H16" s="133">
        <f t="shared" si="4"/>
        <v>-4.446949282272147</v>
      </c>
      <c r="I16" s="134">
        <f t="shared" si="5"/>
        <v>7.3800876714025447</v>
      </c>
      <c r="J16" s="134">
        <f t="shared" si="6"/>
        <v>54.465694037587838</v>
      </c>
      <c r="K16" s="135">
        <v>2005971</v>
      </c>
      <c r="L16" s="135">
        <v>25951.3</v>
      </c>
      <c r="M16" s="135">
        <v>98.275114299654859</v>
      </c>
      <c r="N16" s="135">
        <v>5.2892458933444182</v>
      </c>
      <c r="O16" s="135">
        <v>1.1714249382497216E-2</v>
      </c>
      <c r="P16" s="135">
        <v>1603.7303629595633</v>
      </c>
      <c r="Q16" s="135">
        <v>4586634.9000000004</v>
      </c>
    </row>
    <row r="17" spans="1:17" x14ac:dyDescent="0.3">
      <c r="A17" s="108" t="str">
        <f>'Actual costs'!A18</f>
        <v>NES</v>
      </c>
      <c r="B17" s="108">
        <f>'Actual costs'!B18</f>
        <v>2017</v>
      </c>
      <c r="C17" s="108" t="str">
        <f>'Actual costs'!C18</f>
        <v>NES17</v>
      </c>
      <c r="D17" s="129">
        <f t="shared" si="0"/>
        <v>14.519343442488648</v>
      </c>
      <c r="E17" s="130">
        <f t="shared" si="1"/>
        <v>10.165986423328397</v>
      </c>
      <c r="F17" s="131">
        <f t="shared" si="2"/>
        <v>98.457398457398469</v>
      </c>
      <c r="G17" s="132">
        <f t="shared" si="3"/>
        <v>1.6670149390621889</v>
      </c>
      <c r="H17" s="133">
        <f t="shared" si="4"/>
        <v>-4.4555594059535268</v>
      </c>
      <c r="I17" s="134">
        <f t="shared" si="5"/>
        <v>7.3936440420825535</v>
      </c>
      <c r="J17" s="134">
        <f t="shared" si="6"/>
        <v>54.665972221022841</v>
      </c>
      <c r="K17" s="135">
        <v>2021485.9999999998</v>
      </c>
      <c r="L17" s="135">
        <v>26003.5</v>
      </c>
      <c r="M17" s="135">
        <v>98.457398457398469</v>
      </c>
      <c r="N17" s="135">
        <v>5.2963342963342965</v>
      </c>
      <c r="O17" s="135">
        <v>1.1613821216374718E-2</v>
      </c>
      <c r="P17" s="135">
        <v>1625.6191573185861</v>
      </c>
      <c r="Q17" s="135">
        <v>4620642.79</v>
      </c>
    </row>
    <row r="18" spans="1:17" x14ac:dyDescent="0.3">
      <c r="A18" s="108" t="str">
        <f>'Actual costs'!A19</f>
        <v>NES</v>
      </c>
      <c r="B18" s="108">
        <f>'Actual costs'!B19</f>
        <v>2018</v>
      </c>
      <c r="C18" s="108" t="str">
        <f>'Actual costs'!C19</f>
        <v>NES18</v>
      </c>
      <c r="D18" s="129">
        <f t="shared" si="0"/>
        <v>14.517950922810803</v>
      </c>
      <c r="E18" s="130">
        <f t="shared" si="1"/>
        <v>10.169499004077514</v>
      </c>
      <c r="F18" s="131">
        <f t="shared" si="2"/>
        <v>98.24556725769898</v>
      </c>
      <c r="G18" s="132">
        <f t="shared" si="3"/>
        <v>1.6664458164959624</v>
      </c>
      <c r="H18" s="133">
        <f t="shared" si="4"/>
        <v>-4.4491872274701016</v>
      </c>
      <c r="I18" s="134">
        <f t="shared" si="5"/>
        <v>7.4000423653429417</v>
      </c>
      <c r="J18" s="134">
        <f t="shared" si="6"/>
        <v>54.760627008870358</v>
      </c>
      <c r="K18" s="135">
        <v>2018673</v>
      </c>
      <c r="L18" s="135">
        <v>26095</v>
      </c>
      <c r="M18" s="135">
        <v>98.24556725769898</v>
      </c>
      <c r="N18" s="135">
        <v>5.2933208905479265</v>
      </c>
      <c r="O18" s="135">
        <v>1.1688062847288752E-2</v>
      </c>
      <c r="P18" s="135">
        <v>1636.0537405055227</v>
      </c>
      <c r="Q18" s="135">
        <v>4643986.46</v>
      </c>
    </row>
    <row r="19" spans="1:17" x14ac:dyDescent="0.3">
      <c r="A19" s="108" t="str">
        <f>'Actual costs'!A20</f>
        <v>NWT</v>
      </c>
      <c r="B19" s="108">
        <f>'Actual costs'!B20</f>
        <v>2012</v>
      </c>
      <c r="C19" s="108" t="str">
        <f>'Actual costs'!C20</f>
        <v>NWT12</v>
      </c>
      <c r="D19" s="129">
        <f t="shared" si="0"/>
        <v>14.983758045116506</v>
      </c>
      <c r="E19" s="130">
        <f t="shared" si="1"/>
        <v>10.637331155099806</v>
      </c>
      <c r="F19" s="131">
        <f t="shared" si="2"/>
        <v>83.947465478271013</v>
      </c>
      <c r="G19" s="132">
        <f t="shared" si="3"/>
        <v>1.4875289498636894</v>
      </c>
      <c r="H19" s="133">
        <f t="shared" si="4"/>
        <v>-4.4573145014472333</v>
      </c>
      <c r="I19" s="134">
        <f t="shared" si="5"/>
        <v>7.4546465764276268</v>
      </c>
      <c r="J19" s="134">
        <f t="shared" si="6"/>
        <v>55.571755579444137</v>
      </c>
      <c r="K19" s="135">
        <v>3216351</v>
      </c>
      <c r="L19" s="135">
        <v>41661.434806974001</v>
      </c>
      <c r="M19" s="135">
        <v>83.947465478271013</v>
      </c>
      <c r="N19" s="135">
        <v>4.4261447690149209</v>
      </c>
      <c r="O19" s="135">
        <v>1.1593455728009331E-2</v>
      </c>
      <c r="P19" s="135">
        <v>1727.8732162172512</v>
      </c>
      <c r="Q19" s="135">
        <v>7016119.2599999998</v>
      </c>
    </row>
    <row r="20" spans="1:17" x14ac:dyDescent="0.3">
      <c r="A20" s="108" t="str">
        <f>'Actual costs'!A21</f>
        <v>NWT</v>
      </c>
      <c r="B20" s="108">
        <f>'Actual costs'!B21</f>
        <v>2013</v>
      </c>
      <c r="C20" s="108" t="str">
        <f>'Actual costs'!C21</f>
        <v>NWT13</v>
      </c>
      <c r="D20" s="129">
        <f t="shared" si="0"/>
        <v>14.986438546959393</v>
      </c>
      <c r="E20" s="130">
        <f t="shared" si="1"/>
        <v>10.637331155099806</v>
      </c>
      <c r="F20" s="131">
        <f t="shared" si="2"/>
        <v>85.051916384263578</v>
      </c>
      <c r="G20" s="132">
        <f t="shared" si="3"/>
        <v>1.5038347201250153</v>
      </c>
      <c r="H20" s="133">
        <f t="shared" si="4"/>
        <v>-4.4573145014472333</v>
      </c>
      <c r="I20" s="134">
        <f t="shared" si="5"/>
        <v>7.4629942850033588</v>
      </c>
      <c r="J20" s="134">
        <f t="shared" si="6"/>
        <v>55.696283697992797</v>
      </c>
      <c r="K20" s="135">
        <v>3224984.0000000005</v>
      </c>
      <c r="L20" s="135">
        <v>41661.434806974001</v>
      </c>
      <c r="M20" s="135">
        <v>85.051916384263578</v>
      </c>
      <c r="N20" s="135">
        <v>4.4989080875655203</v>
      </c>
      <c r="O20" s="135">
        <v>1.1593455728009331E-2</v>
      </c>
      <c r="P20" s="135">
        <v>1742.3573689152258</v>
      </c>
      <c r="Q20" s="135">
        <v>7044535.9199999999</v>
      </c>
    </row>
    <row r="21" spans="1:17" x14ac:dyDescent="0.3">
      <c r="A21" s="108" t="str">
        <f>'Actual costs'!A22</f>
        <v>NWT</v>
      </c>
      <c r="B21" s="108">
        <f>'Actual costs'!B22</f>
        <v>2014</v>
      </c>
      <c r="C21" s="108" t="str">
        <f>'Actual costs'!C22</f>
        <v>NWT14</v>
      </c>
      <c r="D21" s="129">
        <f t="shared" si="0"/>
        <v>14.989927046045576</v>
      </c>
      <c r="E21" s="130">
        <f t="shared" si="1"/>
        <v>10.637331155099806</v>
      </c>
      <c r="F21" s="131">
        <f t="shared" si="2"/>
        <v>86.387682366366491</v>
      </c>
      <c r="G21" s="132">
        <f t="shared" si="3"/>
        <v>1.5090024763495291</v>
      </c>
      <c r="H21" s="133">
        <f t="shared" si="4"/>
        <v>-4.4511225311993119</v>
      </c>
      <c r="I21" s="134">
        <f t="shared" si="5"/>
        <v>7.4669702649214926</v>
      </c>
      <c r="J21" s="134">
        <f t="shared" si="6"/>
        <v>55.755644937221746</v>
      </c>
      <c r="K21" s="135">
        <v>3236254</v>
      </c>
      <c r="L21" s="135">
        <v>41661.434806974001</v>
      </c>
      <c r="M21" s="135">
        <v>86.387682366366491</v>
      </c>
      <c r="N21" s="135">
        <v>4.5222175247084406</v>
      </c>
      <c r="O21" s="135">
        <v>1.1665464769798208E-2</v>
      </c>
      <c r="P21" s="135">
        <v>1749.2987370500659</v>
      </c>
      <c r="Q21" s="135">
        <v>7063332.25</v>
      </c>
    </row>
    <row r="22" spans="1:17" x14ac:dyDescent="0.3">
      <c r="A22" s="108" t="str">
        <f>'Actual costs'!A23</f>
        <v>NWT</v>
      </c>
      <c r="B22" s="108">
        <f>'Actual costs'!B23</f>
        <v>2015</v>
      </c>
      <c r="C22" s="108" t="str">
        <f>'Actual costs'!C23</f>
        <v>NWT15</v>
      </c>
      <c r="D22" s="129">
        <f t="shared" si="0"/>
        <v>14.994322157427627</v>
      </c>
      <c r="E22" s="130">
        <f t="shared" si="1"/>
        <v>10.640627030772821</v>
      </c>
      <c r="F22" s="131">
        <f t="shared" si="2"/>
        <v>85.070231922783307</v>
      </c>
      <c r="G22" s="132">
        <f t="shared" si="3"/>
        <v>1.5569513492913687</v>
      </c>
      <c r="H22" s="133">
        <f t="shared" si="4"/>
        <v>-4.4401178567301303</v>
      </c>
      <c r="I22" s="134">
        <f t="shared" si="5"/>
        <v>7.4730819485173967</v>
      </c>
      <c r="J22" s="134">
        <f t="shared" si="6"/>
        <v>55.846953809256568</v>
      </c>
      <c r="K22" s="135">
        <v>3250508.9999999995</v>
      </c>
      <c r="L22" s="135">
        <v>41798.972245102006</v>
      </c>
      <c r="M22" s="135">
        <v>85.070231922783307</v>
      </c>
      <c r="N22" s="135">
        <v>4.7443353538076973</v>
      </c>
      <c r="O22" s="135">
        <v>1.1794548370929614E-2</v>
      </c>
      <c r="P22" s="135">
        <v>1760.0226345994961</v>
      </c>
      <c r="Q22" s="135">
        <v>7092677.7400000002</v>
      </c>
    </row>
    <row r="23" spans="1:17" x14ac:dyDescent="0.3">
      <c r="A23" s="108" t="str">
        <f>'Actual costs'!A24</f>
        <v>NWT</v>
      </c>
      <c r="B23" s="108">
        <f>'Actual costs'!B24</f>
        <v>2016</v>
      </c>
      <c r="C23" s="108" t="str">
        <f>'Actual costs'!C24</f>
        <v>NWT16</v>
      </c>
      <c r="D23" s="129">
        <f t="shared" si="0"/>
        <v>15.001852243561768</v>
      </c>
      <c r="E23" s="130">
        <f t="shared" si="1"/>
        <v>10.644579293086688</v>
      </c>
      <c r="F23" s="131">
        <f t="shared" si="2"/>
        <v>84.978346832838156</v>
      </c>
      <c r="G23" s="132">
        <f t="shared" si="3"/>
        <v>1.5614043940197238</v>
      </c>
      <c r="H23" s="133">
        <f t="shared" si="4"/>
        <v>-4.3965364185782585</v>
      </c>
      <c r="I23" s="134">
        <f t="shared" si="5"/>
        <v>7.4845269498442812</v>
      </c>
      <c r="J23" s="134">
        <f t="shared" si="6"/>
        <v>56.018143662945342</v>
      </c>
      <c r="K23" s="135">
        <v>3275078</v>
      </c>
      <c r="L23" s="135">
        <v>41964.499636232998</v>
      </c>
      <c r="M23" s="135">
        <v>84.978346832838156</v>
      </c>
      <c r="N23" s="135">
        <v>4.7655092003984123</v>
      </c>
      <c r="O23" s="135">
        <v>1.2319937196477657E-2</v>
      </c>
      <c r="P23" s="135">
        <v>1780.2818079789452</v>
      </c>
      <c r="Q23" s="135">
        <v>7134434.1899999995</v>
      </c>
    </row>
    <row r="24" spans="1:17" x14ac:dyDescent="0.3">
      <c r="A24" s="108" t="str">
        <f>'Actual costs'!A25</f>
        <v>NWT</v>
      </c>
      <c r="B24" s="108">
        <f>'Actual costs'!B25</f>
        <v>2017</v>
      </c>
      <c r="C24" s="108" t="str">
        <f>'Actual costs'!C25</f>
        <v>NWT17</v>
      </c>
      <c r="D24" s="129">
        <f t="shared" si="0"/>
        <v>15.007333855020287</v>
      </c>
      <c r="E24" s="130">
        <f t="shared" si="1"/>
        <v>10.647660491699117</v>
      </c>
      <c r="F24" s="131">
        <f t="shared" si="2"/>
        <v>98.197011639281797</v>
      </c>
      <c r="G24" s="132">
        <f t="shared" si="3"/>
        <v>1.656702371979857</v>
      </c>
      <c r="H24" s="133">
        <f t="shared" si="4"/>
        <v>-4.3938316801236441</v>
      </c>
      <c r="I24" s="134">
        <f t="shared" si="5"/>
        <v>7.4972171364155615</v>
      </c>
      <c r="J24" s="134">
        <f t="shared" si="6"/>
        <v>56.208264790563156</v>
      </c>
      <c r="K24" s="135">
        <v>3293080</v>
      </c>
      <c r="L24" s="135">
        <v>42094</v>
      </c>
      <c r="M24" s="135">
        <v>98.197011639281797</v>
      </c>
      <c r="N24" s="135">
        <v>5.2419961580276517</v>
      </c>
      <c r="O24" s="135">
        <v>1.2353304508956145E-2</v>
      </c>
      <c r="P24" s="135">
        <v>1803.0178736102691</v>
      </c>
      <c r="Q24" s="135">
        <v>7182844.3200000003</v>
      </c>
    </row>
    <row r="25" spans="1:17" x14ac:dyDescent="0.3">
      <c r="A25" s="108" t="str">
        <f>'Actual costs'!A26</f>
        <v>NWT</v>
      </c>
      <c r="B25" s="108">
        <f>'Actual costs'!B26</f>
        <v>2018</v>
      </c>
      <c r="C25" s="108" t="str">
        <f>'Actual costs'!C26</f>
        <v>NWT18</v>
      </c>
      <c r="D25" s="129">
        <f t="shared" si="0"/>
        <v>15.013421123999406</v>
      </c>
      <c r="E25" s="130">
        <f t="shared" si="1"/>
        <v>10.669631075642753</v>
      </c>
      <c r="F25" s="131">
        <f t="shared" si="2"/>
        <v>98.131690429878731</v>
      </c>
      <c r="G25" s="132">
        <f t="shared" si="3"/>
        <v>1.6225108416838405</v>
      </c>
      <c r="H25" s="133">
        <f t="shared" si="4"/>
        <v>-4.3892352366825582</v>
      </c>
      <c r="I25" s="134">
        <f t="shared" si="5"/>
        <v>7.5036282124832674</v>
      </c>
      <c r="J25" s="134">
        <f t="shared" si="6"/>
        <v>56.304436351174836</v>
      </c>
      <c r="K25" s="135">
        <v>3313187.0000000005</v>
      </c>
      <c r="L25" s="135">
        <v>43029.064099506999</v>
      </c>
      <c r="M25" s="135">
        <v>98.131690429878731</v>
      </c>
      <c r="N25" s="135">
        <v>5.0657937678665457</v>
      </c>
      <c r="O25" s="135">
        <v>1.2410216470548758E-2</v>
      </c>
      <c r="P25" s="135">
        <v>1814.614291388124</v>
      </c>
      <c r="Q25" s="135">
        <v>7217084.7999999998</v>
      </c>
    </row>
    <row r="26" spans="1:17" x14ac:dyDescent="0.3">
      <c r="A26" s="108" t="str">
        <f>'Actual costs'!A27</f>
        <v>SRN</v>
      </c>
      <c r="B26" s="108">
        <f>'Actual costs'!B27</f>
        <v>2012</v>
      </c>
      <c r="C26" s="108" t="str">
        <f>'Actual costs'!C27</f>
        <v>SRN12</v>
      </c>
      <c r="D26" s="129">
        <f t="shared" si="0"/>
        <v>13.827561650967674</v>
      </c>
      <c r="E26" s="130">
        <f t="shared" si="1"/>
        <v>9.5276217798286105</v>
      </c>
      <c r="F26" s="131">
        <f t="shared" si="2"/>
        <v>82.906013879577444</v>
      </c>
      <c r="G26" s="132">
        <f t="shared" si="3"/>
        <v>1.4631904717505122</v>
      </c>
      <c r="H26" s="133">
        <f t="shared" si="4"/>
        <v>-4.3918233427783493</v>
      </c>
      <c r="I26" s="134">
        <f t="shared" si="5"/>
        <v>7.4840094921785827</v>
      </c>
      <c r="J26" s="134">
        <f t="shared" si="6"/>
        <v>56.010398079019126</v>
      </c>
      <c r="K26" s="135">
        <v>1012124</v>
      </c>
      <c r="L26" s="135">
        <v>13733.890000000001</v>
      </c>
      <c r="M26" s="135">
        <v>82.906013879577444</v>
      </c>
      <c r="N26" s="135">
        <v>4.3197195093225105</v>
      </c>
      <c r="O26" s="135">
        <v>1.2378139041451474E-2</v>
      </c>
      <c r="P26" s="135">
        <v>1779.3608258154925</v>
      </c>
      <c r="Q26" s="135">
        <v>2148841.5695989998</v>
      </c>
    </row>
    <row r="27" spans="1:17" x14ac:dyDescent="0.3">
      <c r="A27" s="108" t="str">
        <f>'Actual costs'!A28</f>
        <v>SRN</v>
      </c>
      <c r="B27" s="108">
        <f>'Actual costs'!B28</f>
        <v>2013</v>
      </c>
      <c r="C27" s="108" t="str">
        <f>'Actual costs'!C28</f>
        <v>SRN13</v>
      </c>
      <c r="D27" s="129">
        <f t="shared" si="0"/>
        <v>13.886400429009266</v>
      </c>
      <c r="E27" s="130">
        <f t="shared" si="1"/>
        <v>9.5290609765717313</v>
      </c>
      <c r="F27" s="131">
        <f t="shared" si="2"/>
        <v>84.192081833680632</v>
      </c>
      <c r="G27" s="132">
        <f t="shared" si="3"/>
        <v>1.4720531385650921</v>
      </c>
      <c r="H27" s="133">
        <f t="shared" si="4"/>
        <v>-4.3932625395214702</v>
      </c>
      <c r="I27" s="134">
        <f t="shared" si="5"/>
        <v>7.4947179218922546</v>
      </c>
      <c r="J27" s="134">
        <f t="shared" si="6"/>
        <v>56.170796728732952</v>
      </c>
      <c r="K27" s="135">
        <v>1073463.0000000002</v>
      </c>
      <c r="L27" s="135">
        <v>13753.670000000002</v>
      </c>
      <c r="M27" s="135">
        <v>84.192081833680632</v>
      </c>
      <c r="N27" s="135">
        <v>4.358173896571321</v>
      </c>
      <c r="O27" s="135">
        <v>1.2360337277250361E-2</v>
      </c>
      <c r="P27" s="135">
        <v>1798.5173713575948</v>
      </c>
      <c r="Q27" s="135">
        <v>2168027.5130770002</v>
      </c>
    </row>
    <row r="28" spans="1:17" x14ac:dyDescent="0.3">
      <c r="A28" s="108" t="str">
        <f>'Actual costs'!A29</f>
        <v>SRN</v>
      </c>
      <c r="B28" s="108">
        <f>'Actual costs'!B29</f>
        <v>2014</v>
      </c>
      <c r="C28" s="108" t="str">
        <f>'Actual costs'!C29</f>
        <v>SRN14</v>
      </c>
      <c r="D28" s="129">
        <f t="shared" si="0"/>
        <v>13.894006531599672</v>
      </c>
      <c r="E28" s="130">
        <f t="shared" si="1"/>
        <v>9.5303768498899277</v>
      </c>
      <c r="F28" s="131">
        <f t="shared" si="2"/>
        <v>85.846068322230281</v>
      </c>
      <c r="G28" s="132">
        <f t="shared" si="3"/>
        <v>1.4872757135033308</v>
      </c>
      <c r="H28" s="133">
        <f t="shared" si="4"/>
        <v>-4.3945784128396657</v>
      </c>
      <c r="I28" s="134">
        <f t="shared" si="5"/>
        <v>7.5014486998714229</v>
      </c>
      <c r="J28" s="134">
        <f t="shared" si="6"/>
        <v>56.271732596802664</v>
      </c>
      <c r="K28" s="135">
        <v>1081658.9999999998</v>
      </c>
      <c r="L28" s="135">
        <v>13771.78</v>
      </c>
      <c r="M28" s="135">
        <v>85.846068322230281</v>
      </c>
      <c r="N28" s="135">
        <v>4.4250240501325697</v>
      </c>
      <c r="O28" s="135">
        <v>1.234408333563272E-2</v>
      </c>
      <c r="P28" s="135">
        <v>1810.6636234835696</v>
      </c>
      <c r="Q28" s="135">
        <v>2184578.949186</v>
      </c>
    </row>
    <row r="29" spans="1:17" x14ac:dyDescent="0.3">
      <c r="A29" s="108" t="str">
        <f>'Actual costs'!A30</f>
        <v>SRN</v>
      </c>
      <c r="B29" s="108">
        <f>'Actual costs'!B30</f>
        <v>2015</v>
      </c>
      <c r="C29" s="108" t="str">
        <f>'Actual costs'!C30</f>
        <v>SRN15</v>
      </c>
      <c r="D29" s="129">
        <f t="shared" si="0"/>
        <v>13.899124419930503</v>
      </c>
      <c r="E29" s="130">
        <f t="shared" si="1"/>
        <v>9.5332510651578595</v>
      </c>
      <c r="F29" s="131">
        <f t="shared" si="2"/>
        <v>85.996906143855128</v>
      </c>
      <c r="G29" s="132">
        <f t="shared" si="3"/>
        <v>1.4911268917953562</v>
      </c>
      <c r="H29" s="133">
        <f t="shared" si="4"/>
        <v>-4.3974526281075974</v>
      </c>
      <c r="I29" s="134">
        <f t="shared" si="5"/>
        <v>7.5106643145742051</v>
      </c>
      <c r="J29" s="134">
        <f t="shared" si="6"/>
        <v>56.410078446218414</v>
      </c>
      <c r="K29" s="135">
        <v>1087209</v>
      </c>
      <c r="L29" s="135">
        <v>13811.42</v>
      </c>
      <c r="M29" s="135">
        <v>85.996906143855128</v>
      </c>
      <c r="N29" s="135">
        <v>4.4420984638985885</v>
      </c>
      <c r="O29" s="135">
        <v>1.230865472196197E-2</v>
      </c>
      <c r="P29" s="135">
        <v>1827.4271261446283</v>
      </c>
      <c r="Q29" s="135">
        <v>2204913.066687</v>
      </c>
    </row>
    <row r="30" spans="1:17" x14ac:dyDescent="0.3">
      <c r="A30" s="108" t="str">
        <f>'Actual costs'!A31</f>
        <v>SRN</v>
      </c>
      <c r="B30" s="108">
        <f>'Actual costs'!B31</f>
        <v>2016</v>
      </c>
      <c r="C30" s="108" t="str">
        <f>'Actual costs'!C31</f>
        <v>SRN16</v>
      </c>
      <c r="D30" s="129">
        <f t="shared" si="0"/>
        <v>13.905263506742571</v>
      </c>
      <c r="E30" s="130">
        <f t="shared" si="1"/>
        <v>9.5364750742191884</v>
      </c>
      <c r="F30" s="131">
        <f t="shared" si="2"/>
        <v>85.507780062932795</v>
      </c>
      <c r="G30" s="132">
        <f t="shared" si="3"/>
        <v>1.4855830187197685</v>
      </c>
      <c r="H30" s="133">
        <f t="shared" si="4"/>
        <v>-4.4006766371689263</v>
      </c>
      <c r="I30" s="134">
        <f t="shared" si="5"/>
        <v>7.5230223336759687</v>
      </c>
      <c r="J30" s="134">
        <f t="shared" si="6"/>
        <v>56.595865032987419</v>
      </c>
      <c r="K30" s="135">
        <v>1093904</v>
      </c>
      <c r="L30" s="135">
        <v>13856.02</v>
      </c>
      <c r="M30" s="135">
        <v>85.507780062932795</v>
      </c>
      <c r="N30" s="135">
        <v>4.4175401707544752</v>
      </c>
      <c r="O30" s="135">
        <v>1.2269035408436189E-2</v>
      </c>
      <c r="P30" s="135">
        <v>1850.1506249981858</v>
      </c>
      <c r="Q30" s="135">
        <v>2226262.040968</v>
      </c>
    </row>
    <row r="31" spans="1:17" x14ac:dyDescent="0.3">
      <c r="A31" s="108" t="str">
        <f>'Actual costs'!A32</f>
        <v>SRN</v>
      </c>
      <c r="B31" s="108">
        <f>'Actual costs'!B32</f>
        <v>2017</v>
      </c>
      <c r="C31" s="108" t="str">
        <f>'Actual costs'!C32</f>
        <v>SRN17</v>
      </c>
      <c r="D31" s="129">
        <f t="shared" si="0"/>
        <v>13.914529307062104</v>
      </c>
      <c r="E31" s="130">
        <f t="shared" si="1"/>
        <v>9.5388455629475875</v>
      </c>
      <c r="F31" s="131">
        <f t="shared" si="2"/>
        <v>86.155156557679675</v>
      </c>
      <c r="G31" s="132">
        <f t="shared" si="3"/>
        <v>1.4936177477465498</v>
      </c>
      <c r="H31" s="133">
        <f t="shared" si="4"/>
        <v>-4.4030471258973254</v>
      </c>
      <c r="I31" s="134">
        <f t="shared" si="5"/>
        <v>7.5356587587167141</v>
      </c>
      <c r="J31" s="134">
        <f t="shared" si="6"/>
        <v>56.786152927823927</v>
      </c>
      <c r="K31" s="135">
        <v>1104087</v>
      </c>
      <c r="L31" s="135">
        <v>13888.904500000001</v>
      </c>
      <c r="M31" s="135">
        <v>86.155156557679675</v>
      </c>
      <c r="N31" s="135">
        <v>4.4531768829382985</v>
      </c>
      <c r="O31" s="135">
        <v>1.2239986242255464E-2</v>
      </c>
      <c r="P31" s="135">
        <v>1873.6782541743073</v>
      </c>
      <c r="Q31" s="135">
        <v>2248602.5573709998</v>
      </c>
    </row>
    <row r="32" spans="1:17" x14ac:dyDescent="0.3">
      <c r="A32" s="108" t="str">
        <f>'Actual costs'!A33</f>
        <v>SRN</v>
      </c>
      <c r="B32" s="108">
        <f>'Actual costs'!B33</f>
        <v>2018</v>
      </c>
      <c r="C32" s="108" t="str">
        <f>'Actual costs'!C33</f>
        <v>SRN18</v>
      </c>
      <c r="D32" s="129">
        <f t="shared" si="0"/>
        <v>13.923611315726973</v>
      </c>
      <c r="E32" s="130">
        <f t="shared" si="1"/>
        <v>9.5413405211414997</v>
      </c>
      <c r="F32" s="131">
        <f t="shared" si="2"/>
        <v>89.17861345200086</v>
      </c>
      <c r="G32" s="132">
        <f t="shared" si="3"/>
        <v>1.583798890342337</v>
      </c>
      <c r="H32" s="133">
        <f t="shared" si="4"/>
        <v>-4.3822852219269715</v>
      </c>
      <c r="I32" s="134">
        <f t="shared" si="5"/>
        <v>7.5396502862948545</v>
      </c>
      <c r="J32" s="134">
        <f t="shared" si="6"/>
        <v>56.846326439626083</v>
      </c>
      <c r="K32" s="135">
        <v>1114160</v>
      </c>
      <c r="L32" s="135">
        <v>13923.6</v>
      </c>
      <c r="M32" s="135">
        <v>89.17861345200086</v>
      </c>
      <c r="N32" s="135">
        <v>4.8734343326967409</v>
      </c>
      <c r="O32" s="135">
        <v>1.2496768077221408E-2</v>
      </c>
      <c r="P32" s="135">
        <v>1881.1720384723237</v>
      </c>
      <c r="Q32" s="135">
        <v>2261196.6382999998</v>
      </c>
    </row>
    <row r="33" spans="1:17" x14ac:dyDescent="0.3">
      <c r="A33" s="108" t="str">
        <f>'Actual costs'!A34</f>
        <v>SVT</v>
      </c>
      <c r="B33" s="108">
        <f>'Actual costs'!B34</f>
        <v>2012</v>
      </c>
      <c r="C33" s="108" t="str">
        <f>'Actual costs'!C34</f>
        <v>SVT12</v>
      </c>
      <c r="D33" s="129">
        <f t="shared" si="0"/>
        <v>15.052367696775866</v>
      </c>
      <c r="E33" s="130">
        <f t="shared" si="1"/>
        <v>10.751565623434939</v>
      </c>
      <c r="F33" s="131">
        <f t="shared" si="2"/>
        <v>84.120951924783313</v>
      </c>
      <c r="G33" s="132">
        <f t="shared" si="3"/>
        <v>1.4713905931021689</v>
      </c>
      <c r="H33" s="133">
        <f t="shared" si="4"/>
        <v>-4.2294728252647866</v>
      </c>
      <c r="I33" s="134">
        <f t="shared" si="5"/>
        <v>7.5002683907238357</v>
      </c>
      <c r="J33" s="134">
        <f t="shared" si="6"/>
        <v>56.254025932891118</v>
      </c>
      <c r="K33" s="135">
        <v>3444770</v>
      </c>
      <c r="L33" s="135">
        <v>46703.090697899999</v>
      </c>
      <c r="M33" s="135">
        <v>84.120951924783313</v>
      </c>
      <c r="N33" s="135">
        <v>4.3552873645644503</v>
      </c>
      <c r="O33" s="135">
        <v>1.4560064223556326E-2</v>
      </c>
      <c r="P33" s="135">
        <v>1808.5277413941151</v>
      </c>
      <c r="Q33" s="135">
        <v>7746555.3500000006</v>
      </c>
    </row>
    <row r="34" spans="1:17" x14ac:dyDescent="0.3">
      <c r="A34" s="108" t="str">
        <f>'Actual costs'!A35</f>
        <v>SVT</v>
      </c>
      <c r="B34" s="108">
        <f>'Actual costs'!B35</f>
        <v>2013</v>
      </c>
      <c r="C34" s="108" t="str">
        <f>'Actual costs'!C35</f>
        <v>SVT13</v>
      </c>
      <c r="D34" s="129">
        <f t="shared" si="0"/>
        <v>15.057606839084398</v>
      </c>
      <c r="E34" s="130">
        <f t="shared" si="1"/>
        <v>10.753886703361179</v>
      </c>
      <c r="F34" s="131">
        <f t="shared" si="2"/>
        <v>84.334990609674534</v>
      </c>
      <c r="G34" s="132">
        <f t="shared" si="3"/>
        <v>1.4697164542147281</v>
      </c>
      <c r="H34" s="133">
        <f t="shared" si="4"/>
        <v>-4.2288570455177172</v>
      </c>
      <c r="I34" s="134">
        <f t="shared" si="5"/>
        <v>7.5112238986891899</v>
      </c>
      <c r="J34" s="134">
        <f t="shared" si="6"/>
        <v>56.418484456239632</v>
      </c>
      <c r="K34" s="135">
        <v>3462865.0000000005</v>
      </c>
      <c r="L34" s="135">
        <v>46811.618205998995</v>
      </c>
      <c r="M34" s="135">
        <v>84.334990609674534</v>
      </c>
      <c r="N34" s="135">
        <v>4.3480021085881777</v>
      </c>
      <c r="O34" s="135">
        <v>1.4569032777264693E-2</v>
      </c>
      <c r="P34" s="135">
        <v>1828.4500115042185</v>
      </c>
      <c r="Q34" s="135">
        <v>7796096.5600000005</v>
      </c>
    </row>
    <row r="35" spans="1:17" x14ac:dyDescent="0.3">
      <c r="A35" s="108" t="str">
        <f>'Actual costs'!A36</f>
        <v>SVT</v>
      </c>
      <c r="B35" s="108">
        <f>'Actual costs'!B36</f>
        <v>2014</v>
      </c>
      <c r="C35" s="108" t="str">
        <f>'Actual costs'!C36</f>
        <v>SVT14</v>
      </c>
      <c r="D35" s="129">
        <f t="shared" si="0"/>
        <v>15.063231982061902</v>
      </c>
      <c r="E35" s="130">
        <f t="shared" si="1"/>
        <v>10.755680811129585</v>
      </c>
      <c r="F35" s="131">
        <f t="shared" si="2"/>
        <v>84.917780717821728</v>
      </c>
      <c r="G35" s="132">
        <f t="shared" si="3"/>
        <v>1.4740565881026901</v>
      </c>
      <c r="H35" s="133">
        <f t="shared" si="4"/>
        <v>-4.2262619728673592</v>
      </c>
      <c r="I35" s="134">
        <f t="shared" si="5"/>
        <v>7.5182284046998182</v>
      </c>
      <c r="J35" s="134">
        <f t="shared" si="6"/>
        <v>56.523758345235173</v>
      </c>
      <c r="K35" s="135">
        <v>3482399.0000000005</v>
      </c>
      <c r="L35" s="135">
        <v>46895.678678099008</v>
      </c>
      <c r="M35" s="135">
        <v>84.917780717821728</v>
      </c>
      <c r="N35" s="135">
        <v>4.3669140303342147</v>
      </c>
      <c r="O35" s="135">
        <v>1.4606889575092244E-2</v>
      </c>
      <c r="P35" s="135">
        <v>1841.3023602289115</v>
      </c>
      <c r="Q35" s="135">
        <v>7842946.254999999</v>
      </c>
    </row>
    <row r="36" spans="1:17" x14ac:dyDescent="0.3">
      <c r="A36" s="108" t="str">
        <f>'Actual costs'!A37</f>
        <v>SVT</v>
      </c>
      <c r="B36" s="108">
        <f>'Actual costs'!B37</f>
        <v>2015</v>
      </c>
      <c r="C36" s="108" t="str">
        <f>'Actual costs'!C37</f>
        <v>SVT15</v>
      </c>
      <c r="D36" s="129">
        <f t="shared" si="0"/>
        <v>15.0683000975352</v>
      </c>
      <c r="E36" s="130">
        <f t="shared" si="1"/>
        <v>10.757135137567786</v>
      </c>
      <c r="F36" s="131">
        <f t="shared" si="2"/>
        <v>85.566767891995582</v>
      </c>
      <c r="G36" s="132">
        <f t="shared" si="3"/>
        <v>1.4817991157232153</v>
      </c>
      <c r="H36" s="133">
        <f t="shared" si="4"/>
        <v>-4.2291772199452362</v>
      </c>
      <c r="I36" s="134">
        <f t="shared" si="5"/>
        <v>7.5277769952661702</v>
      </c>
      <c r="J36" s="134">
        <f t="shared" si="6"/>
        <v>56.667426490458567</v>
      </c>
      <c r="K36" s="135">
        <v>3500093.0000000005</v>
      </c>
      <c r="L36" s="135">
        <v>46963.929921202005</v>
      </c>
      <c r="M36" s="135">
        <v>85.566767891995582</v>
      </c>
      <c r="N36" s="135">
        <v>4.4008562124115773</v>
      </c>
      <c r="O36" s="135">
        <v>1.4564368892203933E-2</v>
      </c>
      <c r="P36" s="135">
        <v>1858.9684112940313</v>
      </c>
      <c r="Q36" s="135">
        <v>7900868.7549999999</v>
      </c>
    </row>
    <row r="37" spans="1:17" x14ac:dyDescent="0.3">
      <c r="A37" s="108" t="str">
        <f>'Actual costs'!A38</f>
        <v>SVT</v>
      </c>
      <c r="B37" s="108">
        <f>'Actual costs'!B38</f>
        <v>2016</v>
      </c>
      <c r="C37" s="108" t="str">
        <f>'Actual costs'!C38</f>
        <v>SVT16</v>
      </c>
      <c r="D37" s="129">
        <f t="shared" si="0"/>
        <v>15.076528503048339</v>
      </c>
      <c r="E37" s="130">
        <f t="shared" si="1"/>
        <v>10.759900944594133</v>
      </c>
      <c r="F37" s="131">
        <f t="shared" si="2"/>
        <v>86.697898831534218</v>
      </c>
      <c r="G37" s="132">
        <f t="shared" si="3"/>
        <v>1.4912254150814026</v>
      </c>
      <c r="H37" s="133">
        <f t="shared" si="4"/>
        <v>-4.2334060850233426</v>
      </c>
      <c r="I37" s="134">
        <f t="shared" si="5"/>
        <v>7.5407188753152452</v>
      </c>
      <c r="J37" s="134">
        <f t="shared" si="6"/>
        <v>56.862441156535617</v>
      </c>
      <c r="K37" s="135">
        <v>3529012</v>
      </c>
      <c r="L37" s="135">
        <v>47094.002884002002</v>
      </c>
      <c r="M37" s="135">
        <v>86.697898831534218</v>
      </c>
      <c r="N37" s="135">
        <v>4.4425361355962663</v>
      </c>
      <c r="O37" s="135">
        <v>1.4502908187318635E-2</v>
      </c>
      <c r="P37" s="135">
        <v>1883.183312679482</v>
      </c>
      <c r="Q37" s="135">
        <v>7965479.7699999996</v>
      </c>
    </row>
    <row r="38" spans="1:17" x14ac:dyDescent="0.3">
      <c r="A38" s="108" t="str">
        <f>'Actual costs'!A39</f>
        <v>SVT</v>
      </c>
      <c r="B38" s="108">
        <f>'Actual costs'!B39</f>
        <v>2017</v>
      </c>
      <c r="C38" s="108" t="str">
        <f>'Actual costs'!C39</f>
        <v>SVT17</v>
      </c>
      <c r="D38" s="129">
        <f t="shared" si="0"/>
        <v>15.077410797024443</v>
      </c>
      <c r="E38" s="130">
        <f t="shared" si="1"/>
        <v>10.763056290207867</v>
      </c>
      <c r="F38" s="131">
        <f t="shared" si="2"/>
        <v>89.546012212347804</v>
      </c>
      <c r="G38" s="132">
        <f t="shared" si="3"/>
        <v>1.5149700481578079</v>
      </c>
      <c r="H38" s="133">
        <f t="shared" si="4"/>
        <v>-4.246863214164903</v>
      </c>
      <c r="I38" s="134">
        <f t="shared" si="5"/>
        <v>7.55618390205131</v>
      </c>
      <c r="J38" s="134">
        <f t="shared" si="6"/>
        <v>57.095915161619359</v>
      </c>
      <c r="K38" s="135">
        <v>3532127</v>
      </c>
      <c r="L38" s="135">
        <v>47242.835425004007</v>
      </c>
      <c r="M38" s="135">
        <v>89.546012212347804</v>
      </c>
      <c r="N38" s="135">
        <v>4.5492848653426403</v>
      </c>
      <c r="O38" s="135">
        <v>1.4309048005239255E-2</v>
      </c>
      <c r="P38" s="135">
        <v>1912.53315605796</v>
      </c>
      <c r="Q38" s="135">
        <v>8045452.8949999996</v>
      </c>
    </row>
    <row r="39" spans="1:17" x14ac:dyDescent="0.3">
      <c r="A39" s="108" t="str">
        <f>'Actual costs'!A40</f>
        <v>SVT</v>
      </c>
      <c r="B39" s="108">
        <f>'Actual costs'!B40</f>
        <v>2018</v>
      </c>
      <c r="C39" s="108" t="str">
        <f>'Actual costs'!C40</f>
        <v>SVT18</v>
      </c>
      <c r="D39" s="129">
        <f t="shared" si="0"/>
        <v>15.093305036321679</v>
      </c>
      <c r="E39" s="130">
        <f t="shared" si="1"/>
        <v>10.762598223277211</v>
      </c>
      <c r="F39" s="131">
        <f t="shared" si="2"/>
        <v>90.628079456459716</v>
      </c>
      <c r="G39" s="132">
        <f t="shared" si="3"/>
        <v>1.53168352727662</v>
      </c>
      <c r="H39" s="133">
        <f t="shared" si="4"/>
        <v>-4.1227223894506739</v>
      </c>
      <c r="I39" s="134">
        <f t="shared" si="5"/>
        <v>7.5653988382951685</v>
      </c>
      <c r="J39" s="134">
        <f t="shared" si="6"/>
        <v>57.235259582477887</v>
      </c>
      <c r="K39" s="135">
        <v>3588716.0000000005</v>
      </c>
      <c r="L39" s="135">
        <v>47221.200000000004</v>
      </c>
      <c r="M39" s="135">
        <v>90.628079456459716</v>
      </c>
      <c r="N39" s="135">
        <v>4.6259581971889423</v>
      </c>
      <c r="O39" s="135">
        <v>1.6200350689944347E-2</v>
      </c>
      <c r="P39" s="135">
        <v>1930.2384785772115</v>
      </c>
      <c r="Q39" s="135">
        <v>8118826.5949999997</v>
      </c>
    </row>
    <row r="40" spans="1:17" x14ac:dyDescent="0.3">
      <c r="A40" s="108" t="str">
        <f>'Actual costs'!A41</f>
        <v>SWT</v>
      </c>
      <c r="B40" s="108">
        <f>'Actual costs'!B41</f>
        <v>2012</v>
      </c>
      <c r="C40" s="108" t="str">
        <f>'Actual costs'!C41</f>
        <v>SWT12</v>
      </c>
      <c r="D40" s="129">
        <f t="shared" si="0"/>
        <v>13.57824145919812</v>
      </c>
      <c r="E40" s="130">
        <f t="shared" si="1"/>
        <v>9.6254772242810702</v>
      </c>
      <c r="F40" s="131">
        <f t="shared" si="2"/>
        <v>98.864955159828881</v>
      </c>
      <c r="G40" s="132">
        <f t="shared" si="3"/>
        <v>1.4518406347321373</v>
      </c>
      <c r="H40" s="133">
        <f t="shared" si="4"/>
        <v>-4.1658917101369113</v>
      </c>
      <c r="I40" s="134">
        <f t="shared" si="5"/>
        <v>6.8259369563955801</v>
      </c>
      <c r="J40" s="134">
        <f t="shared" si="6"/>
        <v>46.593415332686952</v>
      </c>
      <c r="K40" s="135">
        <v>788779</v>
      </c>
      <c r="L40" s="135">
        <v>15145.78</v>
      </c>
      <c r="M40" s="135">
        <v>98.864955159828881</v>
      </c>
      <c r="N40" s="135">
        <v>4.270968577825351</v>
      </c>
      <c r="O40" s="135">
        <v>1.5515873068273803E-2</v>
      </c>
      <c r="P40" s="135">
        <v>921.43934820786876</v>
      </c>
      <c r="Q40" s="135">
        <v>1674214.75</v>
      </c>
    </row>
    <row r="41" spans="1:17" x14ac:dyDescent="0.3">
      <c r="A41" s="108" t="str">
        <f>'Actual costs'!A42</f>
        <v>SWT</v>
      </c>
      <c r="B41" s="108">
        <f>'Actual costs'!B42</f>
        <v>2013</v>
      </c>
      <c r="C41" s="108" t="str">
        <f>'Actual costs'!C42</f>
        <v>SWT13</v>
      </c>
      <c r="D41" s="129">
        <f t="shared" si="0"/>
        <v>13.584973491855154</v>
      </c>
      <c r="E41" s="130">
        <f t="shared" si="1"/>
        <v>9.6280587676569098</v>
      </c>
      <c r="F41" s="131">
        <f t="shared" si="2"/>
        <v>98.793105445888827</v>
      </c>
      <c r="G41" s="132">
        <f t="shared" si="3"/>
        <v>1.4580485411247734</v>
      </c>
      <c r="H41" s="133">
        <f t="shared" si="4"/>
        <v>-4.16847325351275</v>
      </c>
      <c r="I41" s="134">
        <f t="shared" si="5"/>
        <v>6.8338650147408915</v>
      </c>
      <c r="J41" s="134">
        <f t="shared" si="6"/>
        <v>46.701711039699525</v>
      </c>
      <c r="K41" s="135">
        <v>794107</v>
      </c>
      <c r="L41" s="135">
        <v>15184.93</v>
      </c>
      <c r="M41" s="135">
        <v>98.793105445888827</v>
      </c>
      <c r="N41" s="135">
        <v>4.2975648190362987</v>
      </c>
      <c r="O41" s="135">
        <v>1.5475869826202689E-2</v>
      </c>
      <c r="P41" s="135">
        <v>928.77360792595186</v>
      </c>
      <c r="Q41" s="135">
        <v>1685551.5</v>
      </c>
    </row>
    <row r="42" spans="1:17" x14ac:dyDescent="0.3">
      <c r="A42" s="108" t="str">
        <f>'Actual costs'!A43</f>
        <v>SWT</v>
      </c>
      <c r="B42" s="108">
        <f>'Actual costs'!B43</f>
        <v>2014</v>
      </c>
      <c r="C42" s="108" t="str">
        <f>'Actual costs'!C43</f>
        <v>SWT14</v>
      </c>
      <c r="D42" s="129">
        <f t="shared" si="0"/>
        <v>13.591794342709365</v>
      </c>
      <c r="E42" s="130">
        <f t="shared" si="1"/>
        <v>9.6296235690332708</v>
      </c>
      <c r="F42" s="131">
        <f t="shared" si="2"/>
        <v>98.670957301884954</v>
      </c>
      <c r="G42" s="132">
        <f t="shared" si="3"/>
        <v>1.4676096415929345</v>
      </c>
      <c r="H42" s="133">
        <f t="shared" si="4"/>
        <v>-4.1700380548891118</v>
      </c>
      <c r="I42" s="134">
        <f t="shared" si="5"/>
        <v>6.840944671561159</v>
      </c>
      <c r="J42" s="134">
        <f t="shared" si="6"/>
        <v>46.798523999361016</v>
      </c>
      <c r="K42" s="135">
        <v>799542</v>
      </c>
      <c r="L42" s="135">
        <v>15208.71</v>
      </c>
      <c r="M42" s="135">
        <v>98.670957301884954</v>
      </c>
      <c r="N42" s="135">
        <v>4.3388513257433843</v>
      </c>
      <c r="O42" s="135">
        <v>1.5451672101052621E-2</v>
      </c>
      <c r="P42" s="135">
        <v>935.37233714142076</v>
      </c>
      <c r="Q42" s="135">
        <v>1695461.8</v>
      </c>
    </row>
    <row r="43" spans="1:17" x14ac:dyDescent="0.3">
      <c r="A43" s="108" t="str">
        <f>'Actual costs'!A44</f>
        <v>SWT</v>
      </c>
      <c r="B43" s="108">
        <f>'Actual costs'!B44</f>
        <v>2015</v>
      </c>
      <c r="C43" s="108" t="str">
        <f>'Actual costs'!C44</f>
        <v>SWT15</v>
      </c>
      <c r="D43" s="129">
        <f t="shared" si="0"/>
        <v>13.598926694775306</v>
      </c>
      <c r="E43" s="130">
        <f t="shared" si="1"/>
        <v>9.6328684101225637</v>
      </c>
      <c r="F43" s="131">
        <f t="shared" si="2"/>
        <v>98.660744220347283</v>
      </c>
      <c r="G43" s="132">
        <f t="shared" si="3"/>
        <v>1.540277614071728</v>
      </c>
      <c r="H43" s="133">
        <f t="shared" si="4"/>
        <v>-4.1732828959784047</v>
      </c>
      <c r="I43" s="134">
        <f t="shared" si="5"/>
        <v>6.8513706444891049</v>
      </c>
      <c r="J43" s="134">
        <f t="shared" si="6"/>
        <v>46.941279708167052</v>
      </c>
      <c r="K43" s="135">
        <v>805265</v>
      </c>
      <c r="L43" s="135">
        <v>15258.14</v>
      </c>
      <c r="M43" s="135">
        <v>98.660744220347283</v>
      </c>
      <c r="N43" s="135">
        <v>4.6658854066518227</v>
      </c>
      <c r="O43" s="135">
        <v>1.5401615137887056E-2</v>
      </c>
      <c r="P43" s="135">
        <v>945.17551885853038</v>
      </c>
      <c r="Q43" s="135">
        <v>1709466.45</v>
      </c>
    </row>
    <row r="44" spans="1:17" x14ac:dyDescent="0.3">
      <c r="A44" s="108" t="str">
        <f>'Actual costs'!A45</f>
        <v>SWT</v>
      </c>
      <c r="B44" s="108">
        <f>'Actual costs'!B45</f>
        <v>2016</v>
      </c>
      <c r="C44" s="108" t="str">
        <f>'Actual costs'!C45</f>
        <v>SWT16</v>
      </c>
      <c r="D44" s="129">
        <f t="shared" si="0"/>
        <v>13.609188479030092</v>
      </c>
      <c r="E44" s="130">
        <f t="shared" si="1"/>
        <v>9.6347247107646616</v>
      </c>
      <c r="F44" s="131">
        <f t="shared" si="2"/>
        <v>98.504709301120911</v>
      </c>
      <c r="G44" s="132">
        <f t="shared" si="3"/>
        <v>1.5358953379483975</v>
      </c>
      <c r="H44" s="133">
        <f t="shared" si="4"/>
        <v>-4.1751391966205036</v>
      </c>
      <c r="I44" s="134">
        <f t="shared" si="5"/>
        <v>6.8586459977626513</v>
      </c>
      <c r="J44" s="134">
        <f t="shared" si="6"/>
        <v>47.041024922625631</v>
      </c>
      <c r="K44" s="135">
        <v>813571</v>
      </c>
      <c r="L44" s="135">
        <v>15286.49</v>
      </c>
      <c r="M44" s="135">
        <v>98.504709301120911</v>
      </c>
      <c r="N44" s="135">
        <v>4.6454829457001114</v>
      </c>
      <c r="O44" s="135">
        <v>1.5373051629249096E-2</v>
      </c>
      <c r="P44" s="135">
        <v>952.0770798689299</v>
      </c>
      <c r="Q44" s="135">
        <v>1722909.65</v>
      </c>
    </row>
    <row r="45" spans="1:17" x14ac:dyDescent="0.3">
      <c r="A45" s="108" t="str">
        <f>'Actual costs'!A46</f>
        <v>SWB</v>
      </c>
      <c r="B45" s="108">
        <f>'Actual costs'!B46</f>
        <v>2017</v>
      </c>
      <c r="C45" s="108" t="str">
        <f>'Actual costs'!C46</f>
        <v>SWB17</v>
      </c>
      <c r="D45" s="129">
        <f t="shared" si="0"/>
        <v>13.848660960931721</v>
      </c>
      <c r="E45" s="130">
        <f t="shared" si="1"/>
        <v>9.8078628232663068</v>
      </c>
      <c r="F45" s="131">
        <f t="shared" si="2"/>
        <v>96.830050705391329</v>
      </c>
      <c r="G45" s="132">
        <f t="shared" si="3"/>
        <v>1.5955094817763549</v>
      </c>
      <c r="H45" s="133">
        <f t="shared" si="4"/>
        <v>-4.31892509710962</v>
      </c>
      <c r="I45" s="134">
        <f t="shared" si="5"/>
        <v>7.0474897823261786</v>
      </c>
      <c r="J45" s="134">
        <f t="shared" si="6"/>
        <v>49.667112231991887</v>
      </c>
      <c r="K45" s="135">
        <v>1033705.9999999999</v>
      </c>
      <c r="L45" s="135">
        <v>18176.099999999999</v>
      </c>
      <c r="M45" s="135">
        <v>96.830050705391329</v>
      </c>
      <c r="N45" s="135">
        <v>4.9308406057052192</v>
      </c>
      <c r="O45" s="135">
        <v>1.3314187311909597E-2</v>
      </c>
      <c r="P45" s="135">
        <v>1149.968445547129</v>
      </c>
      <c r="Q45" s="135">
        <v>2251285.4300000002</v>
      </c>
    </row>
    <row r="46" spans="1:17" x14ac:dyDescent="0.3">
      <c r="A46" s="108" t="str">
        <f>'Actual costs'!A47</f>
        <v>SWB</v>
      </c>
      <c r="B46" s="108">
        <f>'Actual costs'!B47</f>
        <v>2018</v>
      </c>
      <c r="C46" s="108" t="str">
        <f>'Actual costs'!C47</f>
        <v>SWB18</v>
      </c>
      <c r="D46" s="129">
        <f t="shared" si="0"/>
        <v>13.858919603181226</v>
      </c>
      <c r="E46" s="130">
        <f t="shared" si="1"/>
        <v>9.8236864823325725</v>
      </c>
      <c r="F46" s="131">
        <f t="shared" si="2"/>
        <v>96.835845896147404</v>
      </c>
      <c r="G46" s="132">
        <f t="shared" si="3"/>
        <v>1.6118370422694921</v>
      </c>
      <c r="H46" s="133">
        <f t="shared" si="4"/>
        <v>-4.2326995018217168</v>
      </c>
      <c r="I46" s="134">
        <f t="shared" si="5"/>
        <v>7.0505789208757239</v>
      </c>
      <c r="J46" s="134">
        <f t="shared" si="6"/>
        <v>49.710663119497084</v>
      </c>
      <c r="K46" s="135">
        <v>1044365</v>
      </c>
      <c r="L46" s="135">
        <v>18466</v>
      </c>
      <c r="M46" s="135">
        <v>96.835845896147404</v>
      </c>
      <c r="N46" s="135">
        <v>5.0120100502512557</v>
      </c>
      <c r="O46" s="135">
        <v>1.4513159319831041E-2</v>
      </c>
      <c r="P46" s="135">
        <v>1153.5263500035787</v>
      </c>
      <c r="Q46" s="135">
        <v>2268956.5039999997</v>
      </c>
    </row>
    <row r="47" spans="1:17" x14ac:dyDescent="0.3">
      <c r="A47" s="108" t="str">
        <f>'Actual costs'!A48</f>
        <v>TMS</v>
      </c>
      <c r="B47" s="108">
        <f>'Actual costs'!B48</f>
        <v>2012</v>
      </c>
      <c r="C47" s="108" t="str">
        <f>'Actual costs'!C48</f>
        <v>TMS12</v>
      </c>
      <c r="D47" s="129">
        <f t="shared" si="0"/>
        <v>15.111998913482379</v>
      </c>
      <c r="E47" s="130">
        <f t="shared" si="1"/>
        <v>10.347120863360333</v>
      </c>
      <c r="F47" s="131">
        <f t="shared" si="2"/>
        <v>89.511865240378711</v>
      </c>
      <c r="G47" s="132">
        <f t="shared" si="3"/>
        <v>1.7079739678611499</v>
      </c>
      <c r="H47" s="133">
        <f t="shared" si="4"/>
        <v>-4.6073279511810989</v>
      </c>
      <c r="I47" s="134">
        <f t="shared" si="5"/>
        <v>8.6502734675330402</v>
      </c>
      <c r="J47" s="134">
        <f t="shared" si="6"/>
        <v>74.827231063106083</v>
      </c>
      <c r="K47" s="135">
        <v>3656433.9999999995</v>
      </c>
      <c r="L47" s="135">
        <v>31167.178949637004</v>
      </c>
      <c r="M47" s="135">
        <v>89.511865240378711</v>
      </c>
      <c r="N47" s="135">
        <v>5.5177709639739332</v>
      </c>
      <c r="O47" s="135">
        <v>9.9784456110880108E-3</v>
      </c>
      <c r="P47" s="135">
        <v>5711.7084870287563</v>
      </c>
      <c r="Q47" s="135">
        <v>8938609.768844001</v>
      </c>
    </row>
    <row r="48" spans="1:17" x14ac:dyDescent="0.3">
      <c r="A48" s="108" t="str">
        <f>'Actual costs'!A49</f>
        <v>TMS</v>
      </c>
      <c r="B48" s="108">
        <f>'Actual costs'!B49</f>
        <v>2013</v>
      </c>
      <c r="C48" s="108" t="str">
        <f>'Actual costs'!C49</f>
        <v>TMS13</v>
      </c>
      <c r="D48" s="129">
        <f t="shared" si="0"/>
        <v>15.117809262961071</v>
      </c>
      <c r="E48" s="130">
        <f t="shared" si="1"/>
        <v>10.347876586467374</v>
      </c>
      <c r="F48" s="131">
        <f t="shared" si="2"/>
        <v>89.582075223362907</v>
      </c>
      <c r="G48" s="132">
        <f t="shared" si="3"/>
        <v>1.712208325148086</v>
      </c>
      <c r="H48" s="133">
        <f t="shared" si="4"/>
        <v>-4.6080836742881397</v>
      </c>
      <c r="I48" s="134">
        <f t="shared" si="5"/>
        <v>8.6655060332646361</v>
      </c>
      <c r="J48" s="134">
        <f t="shared" si="6"/>
        <v>75.090994812545802</v>
      </c>
      <c r="K48" s="135">
        <v>3677741</v>
      </c>
      <c r="L48" s="135">
        <v>31190.741609252247</v>
      </c>
      <c r="M48" s="135">
        <v>89.582075223362907</v>
      </c>
      <c r="N48" s="135">
        <v>5.5411847137703054</v>
      </c>
      <c r="O48" s="135">
        <v>9.9709075178817386E-3</v>
      </c>
      <c r="P48" s="135">
        <v>5799.3784863370383</v>
      </c>
      <c r="Q48" s="135">
        <v>9041128.3586610015</v>
      </c>
    </row>
    <row r="49" spans="1:17" x14ac:dyDescent="0.3">
      <c r="A49" s="108" t="str">
        <f>'Actual costs'!A50</f>
        <v>TMS</v>
      </c>
      <c r="B49" s="108">
        <f>'Actual costs'!B50</f>
        <v>2014</v>
      </c>
      <c r="C49" s="108" t="str">
        <f>'Actual costs'!C50</f>
        <v>TMS14</v>
      </c>
      <c r="D49" s="129">
        <f t="shared" si="0"/>
        <v>15.123255096502938</v>
      </c>
      <c r="E49" s="130">
        <f t="shared" si="1"/>
        <v>10.345558716201745</v>
      </c>
      <c r="F49" s="131">
        <f t="shared" si="2"/>
        <v>89.44043425535601</v>
      </c>
      <c r="G49" s="132">
        <f t="shared" si="3"/>
        <v>1.7126171514894541</v>
      </c>
      <c r="H49" s="133">
        <f t="shared" si="4"/>
        <v>-4.6057658040225116</v>
      </c>
      <c r="I49" s="134">
        <f t="shared" si="5"/>
        <v>8.6822000193608631</v>
      </c>
      <c r="J49" s="134">
        <f t="shared" si="6"/>
        <v>75.380597176189767</v>
      </c>
      <c r="K49" s="135">
        <v>3697824</v>
      </c>
      <c r="L49" s="135">
        <v>31118.529238496998</v>
      </c>
      <c r="M49" s="135">
        <v>89.44043425535601</v>
      </c>
      <c r="N49" s="135">
        <v>5.5434505591807666</v>
      </c>
      <c r="O49" s="135">
        <v>9.9940455931078909E-3</v>
      </c>
      <c r="P49" s="135">
        <v>5897.0058578489507</v>
      </c>
      <c r="Q49" s="135">
        <v>9148617.9380890001</v>
      </c>
    </row>
    <row r="50" spans="1:17" x14ac:dyDescent="0.3">
      <c r="A50" s="108" t="str">
        <f>'Actual costs'!A51</f>
        <v>TMS</v>
      </c>
      <c r="B50" s="108">
        <f>'Actual costs'!B51</f>
        <v>2015</v>
      </c>
      <c r="C50" s="108" t="str">
        <f>'Actual costs'!C51</f>
        <v>TMS15</v>
      </c>
      <c r="D50" s="129">
        <f t="shared" si="0"/>
        <v>15.130432164348859</v>
      </c>
      <c r="E50" s="130">
        <f t="shared" si="1"/>
        <v>10.346618640184349</v>
      </c>
      <c r="F50" s="131">
        <f t="shared" si="2"/>
        <v>89.545276072665658</v>
      </c>
      <c r="G50" s="132">
        <f t="shared" si="3"/>
        <v>1.7122121364329816</v>
      </c>
      <c r="H50" s="133">
        <f t="shared" si="4"/>
        <v>-4.6068257280051164</v>
      </c>
      <c r="I50" s="134">
        <f t="shared" si="5"/>
        <v>8.7013446293591574</v>
      </c>
      <c r="J50" s="134">
        <f t="shared" si="6"/>
        <v>75.713398358877456</v>
      </c>
      <c r="K50" s="135">
        <v>3724459</v>
      </c>
      <c r="L50" s="135">
        <v>31151.53</v>
      </c>
      <c r="M50" s="135">
        <v>89.545276072665658</v>
      </c>
      <c r="N50" s="135">
        <v>5.5412058328441542</v>
      </c>
      <c r="O50" s="135">
        <v>9.9834582763671641E-3</v>
      </c>
      <c r="P50" s="135">
        <v>6010.9893384189509</v>
      </c>
      <c r="Q50" s="135">
        <v>9268682.7151099984</v>
      </c>
    </row>
    <row r="51" spans="1:17" x14ac:dyDescent="0.3">
      <c r="A51" s="108" t="str">
        <f>'Actual costs'!A52</f>
        <v>TMS</v>
      </c>
      <c r="B51" s="108">
        <f>'Actual costs'!B52</f>
        <v>2016</v>
      </c>
      <c r="C51" s="108" t="str">
        <f>'Actual costs'!C52</f>
        <v>TMS16</v>
      </c>
      <c r="D51" s="129">
        <f t="shared" si="0"/>
        <v>15.139493250003415</v>
      </c>
      <c r="E51" s="130">
        <f t="shared" si="1"/>
        <v>10.350424044265797</v>
      </c>
      <c r="F51" s="131">
        <f t="shared" si="2"/>
        <v>89.499842484665422</v>
      </c>
      <c r="G51" s="132">
        <f t="shared" si="3"/>
        <v>1.7065009558176434</v>
      </c>
      <c r="H51" s="133">
        <f t="shared" si="4"/>
        <v>-4.6106311320865618</v>
      </c>
      <c r="I51" s="134">
        <f t="shared" si="5"/>
        <v>8.7221609119339885</v>
      </c>
      <c r="J51" s="134">
        <f t="shared" si="6"/>
        <v>76.076090973669139</v>
      </c>
      <c r="K51" s="135">
        <v>3758359.9999999995</v>
      </c>
      <c r="L51" s="135">
        <v>31270.3</v>
      </c>
      <c r="M51" s="135">
        <v>89.499842484665422</v>
      </c>
      <c r="N51" s="135">
        <v>5.5096492040842806</v>
      </c>
      <c r="O51" s="135">
        <v>9.9455393776202976E-3</v>
      </c>
      <c r="P51" s="135">
        <v>6137.4272086457231</v>
      </c>
      <c r="Q51" s="135">
        <v>9394326.2841410004</v>
      </c>
    </row>
    <row r="52" spans="1:17" x14ac:dyDescent="0.3">
      <c r="A52" s="108" t="str">
        <f>'Actual costs'!A53</f>
        <v>TMS</v>
      </c>
      <c r="B52" s="108">
        <f>'Actual costs'!B53</f>
        <v>2017</v>
      </c>
      <c r="C52" s="108" t="str">
        <f>'Actual costs'!C53</f>
        <v>TMS17</v>
      </c>
      <c r="D52" s="129">
        <f t="shared" si="0"/>
        <v>15.147776835936872</v>
      </c>
      <c r="E52" s="130">
        <f t="shared" si="1"/>
        <v>10.353846354534602</v>
      </c>
      <c r="F52" s="131">
        <f t="shared" si="2"/>
        <v>89.444593028438973</v>
      </c>
      <c r="G52" s="132">
        <f t="shared" si="3"/>
        <v>1.7133096231263558</v>
      </c>
      <c r="H52" s="133">
        <f t="shared" si="4"/>
        <v>-4.6140534423553667</v>
      </c>
      <c r="I52" s="134">
        <f t="shared" si="5"/>
        <v>8.7362442695145894</v>
      </c>
      <c r="J52" s="134">
        <f t="shared" si="6"/>
        <v>76.321963936626503</v>
      </c>
      <c r="K52" s="135">
        <v>3789622</v>
      </c>
      <c r="L52" s="135">
        <v>31377.5</v>
      </c>
      <c r="M52" s="135">
        <v>89.444593028438973</v>
      </c>
      <c r="N52" s="135">
        <v>5.5472905708597064</v>
      </c>
      <c r="O52" s="135">
        <v>9.9115608318062313E-3</v>
      </c>
      <c r="P52" s="135">
        <v>6224.4743096290294</v>
      </c>
      <c r="Q52" s="135">
        <v>9494130.8333869986</v>
      </c>
    </row>
    <row r="53" spans="1:17" x14ac:dyDescent="0.3">
      <c r="A53" s="108" t="str">
        <f>'Actual costs'!A54</f>
        <v>TMS</v>
      </c>
      <c r="B53" s="108">
        <f>'Actual costs'!B54</f>
        <v>2018</v>
      </c>
      <c r="C53" s="108" t="str">
        <f>'Actual costs'!C54</f>
        <v>TMS18</v>
      </c>
      <c r="D53" s="129">
        <f t="shared" si="0"/>
        <v>15.157440720861279</v>
      </c>
      <c r="E53" s="130">
        <f t="shared" si="1"/>
        <v>10.356615205162601</v>
      </c>
      <c r="F53" s="131">
        <f t="shared" si="2"/>
        <v>90.078155658491681</v>
      </c>
      <c r="G53" s="132">
        <f t="shared" si="3"/>
        <v>1.7182922680068378</v>
      </c>
      <c r="H53" s="133">
        <f t="shared" si="4"/>
        <v>-4.6040425663369673</v>
      </c>
      <c r="I53" s="134">
        <f t="shared" si="5"/>
        <v>8.7451469078223685</v>
      </c>
      <c r="J53" s="134">
        <f t="shared" si="6"/>
        <v>76.477594439395133</v>
      </c>
      <c r="K53" s="135">
        <v>3826422</v>
      </c>
      <c r="L53" s="135">
        <v>31464.5</v>
      </c>
      <c r="M53" s="135">
        <v>90.078155658491681</v>
      </c>
      <c r="N53" s="135">
        <v>5.5749997249331598</v>
      </c>
      <c r="O53" s="135">
        <v>1.0011282556531964E-2</v>
      </c>
      <c r="P53" s="135">
        <v>6280.1359531731523</v>
      </c>
      <c r="Q53" s="135">
        <v>9553646.363475997</v>
      </c>
    </row>
    <row r="54" spans="1:17" x14ac:dyDescent="0.3">
      <c r="A54" s="108" t="str">
        <f>'Actual costs'!A55</f>
        <v>WSH</v>
      </c>
      <c r="B54" s="108">
        <f>'Actual costs'!B55</f>
        <v>2012</v>
      </c>
      <c r="C54" s="108" t="str">
        <f>'Actual costs'!C55</f>
        <v>WSH12</v>
      </c>
      <c r="D54" s="129">
        <f t="shared" si="0"/>
        <v>14.147664914515451</v>
      </c>
      <c r="E54" s="130">
        <f t="shared" si="1"/>
        <v>10.22260651688342</v>
      </c>
      <c r="F54" s="131">
        <f t="shared" si="2"/>
        <v>98.873571273228123</v>
      </c>
      <c r="G54" s="132">
        <f t="shared" si="3"/>
        <v>1.6149166783519586</v>
      </c>
      <c r="H54" s="133">
        <f t="shared" si="4"/>
        <v>-3.7784752601829794</v>
      </c>
      <c r="I54" s="134">
        <f t="shared" si="5"/>
        <v>6.3875733382179458</v>
      </c>
      <c r="J54" s="134">
        <f t="shared" si="6"/>
        <v>40.801093151112752</v>
      </c>
      <c r="K54" s="135">
        <v>1393967.9999999998</v>
      </c>
      <c r="L54" s="135">
        <v>27518.3</v>
      </c>
      <c r="M54" s="135">
        <v>98.873571273228123</v>
      </c>
      <c r="N54" s="135">
        <v>5.0274690090133625</v>
      </c>
      <c r="O54" s="135">
        <v>2.2857516634385119E-2</v>
      </c>
      <c r="P54" s="135">
        <v>594.41239028681355</v>
      </c>
      <c r="Q54" s="135">
        <v>3022831.7199999997</v>
      </c>
    </row>
    <row r="55" spans="1:17" x14ac:dyDescent="0.3">
      <c r="A55" s="108" t="str">
        <f>'Actual costs'!A56</f>
        <v>WSH</v>
      </c>
      <c r="B55" s="108">
        <f>'Actual costs'!B56</f>
        <v>2013</v>
      </c>
      <c r="C55" s="108" t="str">
        <f>'Actual costs'!C56</f>
        <v>WSH13</v>
      </c>
      <c r="D55" s="129">
        <f t="shared" si="0"/>
        <v>14.151070950410491</v>
      </c>
      <c r="E55" s="130">
        <f t="shared" si="1"/>
        <v>10.216223148052016</v>
      </c>
      <c r="F55" s="131">
        <f t="shared" si="2"/>
        <v>98.904756521848356</v>
      </c>
      <c r="G55" s="132">
        <f t="shared" si="3"/>
        <v>1.6108762685885654</v>
      </c>
      <c r="H55" s="133">
        <f t="shared" si="4"/>
        <v>-3.7881178753674196</v>
      </c>
      <c r="I55" s="134">
        <f t="shared" si="5"/>
        <v>6.3961670810095574</v>
      </c>
      <c r="J55" s="134">
        <f t="shared" si="6"/>
        <v>40.910953328190324</v>
      </c>
      <c r="K55" s="135">
        <v>1398724.0000000002</v>
      </c>
      <c r="L55" s="135">
        <v>27343.200000000001</v>
      </c>
      <c r="M55" s="135">
        <v>98.904756521848356</v>
      </c>
      <c r="N55" s="135">
        <v>5.0071969554240923</v>
      </c>
      <c r="O55" s="135">
        <v>2.2638169636326397E-2</v>
      </c>
      <c r="P55" s="135">
        <v>599.5426298875359</v>
      </c>
      <c r="Q55" s="135">
        <v>3034326.56</v>
      </c>
    </row>
    <row r="56" spans="1:17" x14ac:dyDescent="0.3">
      <c r="A56" s="108" t="str">
        <f>'Actual costs'!A57</f>
        <v>WSH</v>
      </c>
      <c r="B56" s="108">
        <f>'Actual costs'!B57</f>
        <v>2014</v>
      </c>
      <c r="C56" s="108" t="str">
        <f>'Actual costs'!C57</f>
        <v>WSH14</v>
      </c>
      <c r="D56" s="129">
        <f t="shared" si="0"/>
        <v>14.154701239121815</v>
      </c>
      <c r="E56" s="130">
        <f t="shared" si="1"/>
        <v>10.215967110127743</v>
      </c>
      <c r="F56" s="131">
        <f t="shared" si="2"/>
        <v>98.92259427300111</v>
      </c>
      <c r="G56" s="132">
        <f t="shared" si="3"/>
        <v>1.6073784732597733</v>
      </c>
      <c r="H56" s="133">
        <f t="shared" si="4"/>
        <v>-3.7766167390276442</v>
      </c>
      <c r="I56" s="134">
        <f t="shared" si="5"/>
        <v>6.4048468288934339</v>
      </c>
      <c r="J56" s="134">
        <f t="shared" si="6"/>
        <v>41.022062901586274</v>
      </c>
      <c r="K56" s="135">
        <v>1403811.0000000002</v>
      </c>
      <c r="L56" s="135">
        <v>27336.2</v>
      </c>
      <c r="M56" s="135">
        <v>98.92259427300111</v>
      </c>
      <c r="N56" s="135">
        <v>4.9897134000774939</v>
      </c>
      <c r="O56" s="135">
        <v>2.290003731315984E-2</v>
      </c>
      <c r="P56" s="135">
        <v>604.76915842260632</v>
      </c>
      <c r="Q56" s="135">
        <v>3043595.3</v>
      </c>
    </row>
    <row r="57" spans="1:17" x14ac:dyDescent="0.3">
      <c r="A57" s="108" t="str">
        <f>'Actual costs'!A58</f>
        <v>WSH</v>
      </c>
      <c r="B57" s="108">
        <f>'Actual costs'!B58</f>
        <v>2015</v>
      </c>
      <c r="C57" s="108" t="str">
        <f>'Actual costs'!C58</f>
        <v>WSH15</v>
      </c>
      <c r="D57" s="129">
        <f t="shared" si="0"/>
        <v>14.157688628169607</v>
      </c>
      <c r="E57" s="130">
        <f t="shared" si="1"/>
        <v>10.218035484122471</v>
      </c>
      <c r="F57" s="131">
        <f t="shared" si="2"/>
        <v>98.913844117904105</v>
      </c>
      <c r="G57" s="132">
        <f t="shared" si="3"/>
        <v>1.6128627952630021</v>
      </c>
      <c r="H57" s="133">
        <f t="shared" si="4"/>
        <v>-3.7899302114378739</v>
      </c>
      <c r="I57" s="134">
        <f t="shared" si="5"/>
        <v>6.4118321579102977</v>
      </c>
      <c r="J57" s="134">
        <f t="shared" si="6"/>
        <v>41.111591621212625</v>
      </c>
      <c r="K57" s="135">
        <v>1408011</v>
      </c>
      <c r="L57" s="135">
        <v>27392.799999999999</v>
      </c>
      <c r="M57" s="135">
        <v>98.913844117904105</v>
      </c>
      <c r="N57" s="135">
        <v>5.0171537722068944</v>
      </c>
      <c r="O57" s="135">
        <v>2.2597178820712011E-2</v>
      </c>
      <c r="P57" s="135">
        <v>609.00845919079404</v>
      </c>
      <c r="Q57" s="135">
        <v>3054344.16</v>
      </c>
    </row>
    <row r="58" spans="1:17" x14ac:dyDescent="0.3">
      <c r="A58" s="108" t="str">
        <f>'Actual costs'!A59</f>
        <v>WSH</v>
      </c>
      <c r="B58" s="108">
        <f>'Actual costs'!B59</f>
        <v>2016</v>
      </c>
      <c r="C58" s="108" t="str">
        <f>'Actual costs'!C59</f>
        <v>WSH16</v>
      </c>
      <c r="D58" s="129">
        <f t="shared" si="0"/>
        <v>14.164054635819483</v>
      </c>
      <c r="E58" s="130">
        <f t="shared" si="1"/>
        <v>10.221115488234007</v>
      </c>
      <c r="F58" s="131">
        <f t="shared" si="2"/>
        <v>99.406744510501383</v>
      </c>
      <c r="G58" s="132">
        <f t="shared" si="3"/>
        <v>1.6599473499569755</v>
      </c>
      <c r="H58" s="133">
        <f t="shared" si="4"/>
        <v>-3.7978685247004873</v>
      </c>
      <c r="I58" s="134">
        <f t="shared" si="5"/>
        <v>6.4194446671621836</v>
      </c>
      <c r="J58" s="134">
        <f t="shared" si="6"/>
        <v>41.209269834757002</v>
      </c>
      <c r="K58" s="135">
        <v>1417003.0000000002</v>
      </c>
      <c r="L58" s="135">
        <v>27477.3</v>
      </c>
      <c r="M58" s="135">
        <v>99.406744510501383</v>
      </c>
      <c r="N58" s="135">
        <v>5.2590339487940074</v>
      </c>
      <c r="O58" s="135">
        <v>2.2418505457231969E-2</v>
      </c>
      <c r="P58" s="135">
        <v>613.66223269384307</v>
      </c>
      <c r="Q58" s="135">
        <v>3062737.16</v>
      </c>
    </row>
    <row r="59" spans="1:17" x14ac:dyDescent="0.3">
      <c r="A59" s="108" t="str">
        <f>'Actual costs'!A60</f>
        <v>WSH</v>
      </c>
      <c r="B59" s="108">
        <f>'Actual costs'!B60</f>
        <v>2017</v>
      </c>
      <c r="C59" s="108" t="str">
        <f>'Actual costs'!C60</f>
        <v>WSH17</v>
      </c>
      <c r="D59" s="129">
        <f t="shared" si="0"/>
        <v>14.169655704662659</v>
      </c>
      <c r="E59" s="130">
        <f t="shared" si="1"/>
        <v>10.228505148826391</v>
      </c>
      <c r="F59" s="131">
        <f t="shared" si="2"/>
        <v>99.956468744558592</v>
      </c>
      <c r="G59" s="132">
        <f t="shared" si="3"/>
        <v>1.664544107072409</v>
      </c>
      <c r="H59" s="133">
        <f t="shared" si="4"/>
        <v>-3.7987856707872534</v>
      </c>
      <c r="I59" s="134">
        <f t="shared" si="5"/>
        <v>6.4302240383507732</v>
      </c>
      <c r="J59" s="134">
        <f t="shared" si="6"/>
        <v>41.347781183384129</v>
      </c>
      <c r="K59" s="135">
        <v>1424962</v>
      </c>
      <c r="L59" s="135">
        <v>27681.1</v>
      </c>
      <c r="M59" s="135">
        <v>99.956468744558592</v>
      </c>
      <c r="N59" s="135">
        <v>5.2832640979080114</v>
      </c>
      <c r="O59" s="135">
        <v>2.2397953838539656E-2</v>
      </c>
      <c r="P59" s="135">
        <v>620.31290632663263</v>
      </c>
      <c r="Q59" s="135">
        <v>3077951.7</v>
      </c>
    </row>
    <row r="60" spans="1:17" x14ac:dyDescent="0.3">
      <c r="A60" s="108" t="str">
        <f>'Actual costs'!A61</f>
        <v>WSH</v>
      </c>
      <c r="B60" s="108">
        <f>'Actual costs'!B61</f>
        <v>2018</v>
      </c>
      <c r="C60" s="108" t="str">
        <f>'Actual costs'!C61</f>
        <v>WSH18</v>
      </c>
      <c r="D60" s="129">
        <f t="shared" si="0"/>
        <v>14.175630261898622</v>
      </c>
      <c r="E60" s="130">
        <f t="shared" si="1"/>
        <v>10.229801222338855</v>
      </c>
      <c r="F60" s="131">
        <f t="shared" si="2"/>
        <v>100</v>
      </c>
      <c r="G60" s="132">
        <f t="shared" si="3"/>
        <v>1.7105125147689073</v>
      </c>
      <c r="H60" s="133">
        <f t="shared" si="4"/>
        <v>-3.7984701404053762</v>
      </c>
      <c r="I60" s="134">
        <f t="shared" si="5"/>
        <v>6.4356952645589951</v>
      </c>
      <c r="J60" s="134">
        <f t="shared" si="6"/>
        <v>41.418173538267077</v>
      </c>
      <c r="K60" s="135">
        <v>1433501</v>
      </c>
      <c r="L60" s="135">
        <v>27717</v>
      </c>
      <c r="M60" s="135">
        <v>100</v>
      </c>
      <c r="N60" s="135">
        <v>5.53179587831207</v>
      </c>
      <c r="O60" s="135">
        <v>2.2405022188548545E-2</v>
      </c>
      <c r="P60" s="135">
        <v>623.71607983376521</v>
      </c>
      <c r="Q60" s="135">
        <v>3091154.2199999997</v>
      </c>
    </row>
    <row r="61" spans="1:17" x14ac:dyDescent="0.3">
      <c r="A61" s="108" t="str">
        <f>'Actual costs'!A62</f>
        <v>WSX</v>
      </c>
      <c r="B61" s="108">
        <f>'Actual costs'!B62</f>
        <v>2012</v>
      </c>
      <c r="C61" s="108" t="str">
        <f>'Actual costs'!C62</f>
        <v>WSX12</v>
      </c>
      <c r="D61" s="129">
        <f t="shared" si="0"/>
        <v>13.285378083984334</v>
      </c>
      <c r="E61" s="130">
        <f t="shared" si="1"/>
        <v>9.3552369356794021</v>
      </c>
      <c r="F61" s="131">
        <f t="shared" si="2"/>
        <v>45.445877872852883</v>
      </c>
      <c r="G61" s="132">
        <f t="shared" si="3"/>
        <v>1.2820341097446739</v>
      </c>
      <c r="H61" s="133">
        <f t="shared" si="4"/>
        <v>-3.8999158203216999</v>
      </c>
      <c r="I61" s="134">
        <f t="shared" si="5"/>
        <v>5.5374119127965855</v>
      </c>
      <c r="J61" s="134">
        <f t="shared" si="6"/>
        <v>30.66293069198154</v>
      </c>
      <c r="K61" s="135">
        <v>588527</v>
      </c>
      <c r="L61" s="135">
        <v>11559.2</v>
      </c>
      <c r="M61" s="135">
        <v>45.445877872852883</v>
      </c>
      <c r="N61" s="135">
        <v>3.603963131263475</v>
      </c>
      <c r="O61" s="135">
        <v>2.0243615475119384E-2</v>
      </c>
      <c r="P61" s="135">
        <v>254.01972279331031</v>
      </c>
      <c r="Q61" s="135">
        <v>1139627.6200000001</v>
      </c>
    </row>
    <row r="62" spans="1:17" x14ac:dyDescent="0.3">
      <c r="A62" s="108" t="str">
        <f>'Actual costs'!A63</f>
        <v>WSX</v>
      </c>
      <c r="B62" s="108">
        <f>'Actual costs'!B63</f>
        <v>2013</v>
      </c>
      <c r="C62" s="108" t="str">
        <f>'Actual costs'!C63</f>
        <v>WSX13</v>
      </c>
      <c r="D62" s="129">
        <f t="shared" si="0"/>
        <v>13.293184051861232</v>
      </c>
      <c r="E62" s="130">
        <f t="shared" si="1"/>
        <v>9.3596393010724164</v>
      </c>
      <c r="F62" s="131">
        <f t="shared" si="2"/>
        <v>45.851471896414509</v>
      </c>
      <c r="G62" s="132">
        <f t="shared" si="3"/>
        <v>1.2778971247863389</v>
      </c>
      <c r="H62" s="133">
        <f t="shared" si="4"/>
        <v>-3.8873686274009418</v>
      </c>
      <c r="I62" s="134">
        <f t="shared" si="5"/>
        <v>5.542006507696045</v>
      </c>
      <c r="J62" s="134">
        <f t="shared" si="6"/>
        <v>30.713836131345314</v>
      </c>
      <c r="K62" s="135">
        <v>593139</v>
      </c>
      <c r="L62" s="135">
        <v>11610.2</v>
      </c>
      <c r="M62" s="135">
        <v>45.851471896414509</v>
      </c>
      <c r="N62" s="135">
        <v>3.5890843877883825</v>
      </c>
      <c r="O62" s="135">
        <v>2.0499216206439165E-2</v>
      </c>
      <c r="P62" s="135">
        <v>255.18952584367554</v>
      </c>
      <c r="Q62" s="135">
        <v>1145763.69</v>
      </c>
    </row>
    <row r="63" spans="1:17" x14ac:dyDescent="0.3">
      <c r="A63" s="108" t="str">
        <f>'Actual costs'!A64</f>
        <v>WSX</v>
      </c>
      <c r="B63" s="108">
        <f>'Actual costs'!B64</f>
        <v>2014</v>
      </c>
      <c r="C63" s="108" t="str">
        <f>'Actual costs'!C64</f>
        <v>WSX14</v>
      </c>
      <c r="D63" s="129">
        <f t="shared" si="0"/>
        <v>13.300496173576828</v>
      </c>
      <c r="E63" s="130">
        <f t="shared" si="1"/>
        <v>9.362666531234737</v>
      </c>
      <c r="F63" s="131">
        <f t="shared" si="2"/>
        <v>46.800161934599657</v>
      </c>
      <c r="G63" s="132">
        <f t="shared" si="3"/>
        <v>1.2927416177847635</v>
      </c>
      <c r="H63" s="133">
        <f t="shared" si="4"/>
        <v>-3.8778695977440814</v>
      </c>
      <c r="I63" s="134">
        <f t="shared" si="5"/>
        <v>5.5461154261498216</v>
      </c>
      <c r="J63" s="134">
        <f t="shared" si="6"/>
        <v>30.759396320177018</v>
      </c>
      <c r="K63" s="135">
        <v>597492.00000000012</v>
      </c>
      <c r="L63" s="135">
        <v>11645.4</v>
      </c>
      <c r="M63" s="135">
        <v>46.800161934599657</v>
      </c>
      <c r="N63" s="135">
        <v>3.6427599333299336</v>
      </c>
      <c r="O63" s="135">
        <v>2.069486664262284E-2</v>
      </c>
      <c r="P63" s="135">
        <v>256.24023595843568</v>
      </c>
      <c r="Q63" s="135">
        <v>1153043.074</v>
      </c>
    </row>
    <row r="64" spans="1:17" x14ac:dyDescent="0.3">
      <c r="A64" s="108" t="str">
        <f>'Actual costs'!A65</f>
        <v>WSX</v>
      </c>
      <c r="B64" s="108">
        <f>'Actual costs'!B65</f>
        <v>2015</v>
      </c>
      <c r="C64" s="108" t="str">
        <f>'Actual costs'!C65</f>
        <v>WSX15</v>
      </c>
      <c r="D64" s="129">
        <f t="shared" si="0"/>
        <v>13.308439543489687</v>
      </c>
      <c r="E64" s="130">
        <f t="shared" si="1"/>
        <v>9.366309397610225</v>
      </c>
      <c r="F64" s="131">
        <f t="shared" si="2"/>
        <v>47.124601287774567</v>
      </c>
      <c r="G64" s="132">
        <f t="shared" si="3"/>
        <v>1.2952742982961658</v>
      </c>
      <c r="H64" s="133">
        <f t="shared" si="4"/>
        <v>-3.8569210609822475</v>
      </c>
      <c r="I64" s="134">
        <f t="shared" si="5"/>
        <v>5.5491383333545778</v>
      </c>
      <c r="J64" s="134">
        <f t="shared" si="6"/>
        <v>30.79293624270522</v>
      </c>
      <c r="K64" s="135">
        <v>602257</v>
      </c>
      <c r="L64" s="135">
        <v>11687.9</v>
      </c>
      <c r="M64" s="135">
        <v>47.124601287774567</v>
      </c>
      <c r="N64" s="135">
        <v>3.6519975734785026</v>
      </c>
      <c r="O64" s="135">
        <v>2.1132966572267046E-2</v>
      </c>
      <c r="P64" s="135">
        <v>257.01599835198613</v>
      </c>
      <c r="Q64" s="135">
        <v>1161019.3359999999</v>
      </c>
    </row>
    <row r="65" spans="1:17" x14ac:dyDescent="0.3">
      <c r="A65" s="108" t="str">
        <f>'Actual costs'!A66</f>
        <v>WSX</v>
      </c>
      <c r="B65" s="108">
        <f>'Actual costs'!B66</f>
        <v>2016</v>
      </c>
      <c r="C65" s="108" t="str">
        <f>'Actual costs'!C66</f>
        <v>WSX16</v>
      </c>
      <c r="D65" s="129">
        <f t="shared" si="0"/>
        <v>13.31678806163268</v>
      </c>
      <c r="E65" s="130">
        <f t="shared" si="1"/>
        <v>9.3726292750199018</v>
      </c>
      <c r="F65" s="131">
        <f t="shared" si="2"/>
        <v>47.851748292128597</v>
      </c>
      <c r="G65" s="132">
        <f t="shared" si="3"/>
        <v>1.3162443864407292</v>
      </c>
      <c r="H65" s="133">
        <f t="shared" si="4"/>
        <v>-3.8551763785551936</v>
      </c>
      <c r="I65" s="134">
        <f t="shared" si="5"/>
        <v>5.5557377699655444</v>
      </c>
      <c r="J65" s="134">
        <f t="shared" si="6"/>
        <v>30.866222168621722</v>
      </c>
      <c r="K65" s="135">
        <v>607306</v>
      </c>
      <c r="L65" s="135">
        <v>11762</v>
      </c>
      <c r="M65" s="135">
        <v>47.851748292128597</v>
      </c>
      <c r="N65" s="135">
        <v>3.7293888999529559</v>
      </c>
      <c r="O65" s="135">
        <v>2.1169869069886074E-2</v>
      </c>
      <c r="P65" s="135">
        <v>258.7177683262845</v>
      </c>
      <c r="Q65" s="135">
        <v>1170193.932</v>
      </c>
    </row>
    <row r="66" spans="1:17" x14ac:dyDescent="0.3">
      <c r="A66" s="108" t="str">
        <f>'Actual costs'!A67</f>
        <v>WSX</v>
      </c>
      <c r="B66" s="108">
        <f>'Actual costs'!B67</f>
        <v>2017</v>
      </c>
      <c r="C66" s="108" t="str">
        <f>'Actual costs'!C67</f>
        <v>WSX17</v>
      </c>
      <c r="D66" s="129">
        <f t="shared" si="0"/>
        <v>13.324688521692767</v>
      </c>
      <c r="E66" s="130">
        <f t="shared" si="1"/>
        <v>9.3838397945970282</v>
      </c>
      <c r="F66" s="131">
        <f t="shared" si="2"/>
        <v>49.04985315647761</v>
      </c>
      <c r="G66" s="132">
        <f t="shared" si="3"/>
        <v>1.3250687738564013</v>
      </c>
      <c r="H66" s="133">
        <f t="shared" si="4"/>
        <v>-3.8663868981323199</v>
      </c>
      <c r="I66" s="134">
        <f t="shared" si="5"/>
        <v>5.5629834396198676</v>
      </c>
      <c r="J66" s="134">
        <f t="shared" si="6"/>
        <v>30.946784749484895</v>
      </c>
      <c r="K66" s="135">
        <v>612122.99999999988</v>
      </c>
      <c r="L66" s="135">
        <v>11894.6</v>
      </c>
      <c r="M66" s="135">
        <v>49.04985315647761</v>
      </c>
      <c r="N66" s="135">
        <v>3.7624441038927481</v>
      </c>
      <c r="O66" s="135">
        <v>2.0933869150707041E-2</v>
      </c>
      <c r="P66" s="135">
        <v>260.59915954788465</v>
      </c>
      <c r="Q66" s="135">
        <v>1179272.42</v>
      </c>
    </row>
    <row r="67" spans="1:17" x14ac:dyDescent="0.3">
      <c r="A67" s="108" t="str">
        <f>'Actual costs'!A68</f>
        <v>WSX</v>
      </c>
      <c r="B67" s="108">
        <f>'Actual costs'!B68</f>
        <v>2018</v>
      </c>
      <c r="C67" s="108" t="str">
        <f>'Actual costs'!C68</f>
        <v>WSX18</v>
      </c>
      <c r="D67" s="129">
        <f t="shared" si="0"/>
        <v>13.330040741460591</v>
      </c>
      <c r="E67" s="130">
        <f t="shared" si="1"/>
        <v>9.3872322145151372</v>
      </c>
      <c r="F67" s="131">
        <f t="shared" si="2"/>
        <v>48.035562336785894</v>
      </c>
      <c r="G67" s="132">
        <f t="shared" si="3"/>
        <v>1.2227185663034152</v>
      </c>
      <c r="H67" s="133">
        <f t="shared" si="4"/>
        <v>-3.7139089473436453</v>
      </c>
      <c r="I67" s="134">
        <f t="shared" si="5"/>
        <v>5.5686854411430975</v>
      </c>
      <c r="J67" s="134">
        <f t="shared" si="6"/>
        <v>31.010257542399096</v>
      </c>
      <c r="K67" s="135">
        <v>615408</v>
      </c>
      <c r="L67" s="135">
        <v>11935.02</v>
      </c>
      <c r="M67" s="135">
        <v>48.035562336785894</v>
      </c>
      <c r="N67" s="135">
        <v>3.3964085560869695</v>
      </c>
      <c r="O67" s="135">
        <v>2.4382028685331066E-2</v>
      </c>
      <c r="P67" s="135">
        <v>262.08934082303182</v>
      </c>
      <c r="Q67" s="135">
        <v>1187798.236</v>
      </c>
    </row>
    <row r="68" spans="1:17" x14ac:dyDescent="0.3">
      <c r="A68" s="108" t="str">
        <f>'Actual costs'!A69</f>
        <v>YKY</v>
      </c>
      <c r="B68" s="108">
        <f>'Actual costs'!B69</f>
        <v>2012</v>
      </c>
      <c r="C68" s="108" t="str">
        <f>'Actual costs'!C69</f>
        <v>YKY12</v>
      </c>
      <c r="D68" s="129">
        <f t="shared" si="0"/>
        <v>14.621186550446355</v>
      </c>
      <c r="E68" s="130">
        <f t="shared" si="1"/>
        <v>10.350424044265797</v>
      </c>
      <c r="F68" s="131">
        <f t="shared" si="2"/>
        <v>93.750549846043128</v>
      </c>
      <c r="G68" s="132">
        <f t="shared" si="3"/>
        <v>1.5575934625745482</v>
      </c>
      <c r="H68" s="133">
        <f t="shared" si="4"/>
        <v>-4.0625654841040113</v>
      </c>
      <c r="I68" s="134">
        <f t="shared" si="5"/>
        <v>6.9430049803228462</v>
      </c>
      <c r="J68" s="134">
        <f t="shared" si="6"/>
        <v>48.205318156787847</v>
      </c>
      <c r="K68" s="135">
        <v>2238209.0000000005</v>
      </c>
      <c r="L68" s="135">
        <v>31270.3</v>
      </c>
      <c r="M68" s="135">
        <v>93.750549846043128</v>
      </c>
      <c r="N68" s="135">
        <v>4.7473827328348071</v>
      </c>
      <c r="O68" s="135">
        <v>1.7204823746494277E-2</v>
      </c>
      <c r="P68" s="135">
        <v>1035.8783367179008</v>
      </c>
      <c r="Q68" s="135">
        <v>4945791.9399999995</v>
      </c>
    </row>
    <row r="69" spans="1:17" x14ac:dyDescent="0.3">
      <c r="A69" s="108" t="str">
        <f>'Actual costs'!A70</f>
        <v>YKY</v>
      </c>
      <c r="B69" s="108">
        <f>'Actual costs'!B70</f>
        <v>2013</v>
      </c>
      <c r="C69" s="108" t="str">
        <f>'Actual costs'!C70</f>
        <v>YKY13</v>
      </c>
      <c r="D69" s="129">
        <f t="shared" si="0"/>
        <v>14.623892641557521</v>
      </c>
      <c r="E69" s="130">
        <f t="shared" si="1"/>
        <v>10.350544918435613</v>
      </c>
      <c r="F69" s="131">
        <f t="shared" si="2"/>
        <v>93.872700715470486</v>
      </c>
      <c r="G69" s="132">
        <f t="shared" si="3"/>
        <v>1.5443084653113288</v>
      </c>
      <c r="H69" s="133">
        <f t="shared" si="4"/>
        <v>-4.0664107573648103</v>
      </c>
      <c r="I69" s="134">
        <f t="shared" si="5"/>
        <v>6.9484094560104586</v>
      </c>
      <c r="J69" s="134">
        <f t="shared" si="6"/>
        <v>48.280393968375556</v>
      </c>
      <c r="K69" s="135">
        <v>2244274.0000000005</v>
      </c>
      <c r="L69" s="135">
        <v>31274.080000000002</v>
      </c>
      <c r="M69" s="135">
        <v>93.872700715470486</v>
      </c>
      <c r="N69" s="135">
        <v>4.6847308527055009</v>
      </c>
      <c r="O69" s="135">
        <v>1.7138793531256555E-2</v>
      </c>
      <c r="P69" s="135">
        <v>1041.4918714464934</v>
      </c>
      <c r="Q69" s="135">
        <v>4973161.58</v>
      </c>
    </row>
    <row r="70" spans="1:17" x14ac:dyDescent="0.3">
      <c r="A70" s="108" t="str">
        <f>'Actual costs'!A71</f>
        <v>YKY</v>
      </c>
      <c r="B70" s="108">
        <f>'Actual costs'!B71</f>
        <v>2014</v>
      </c>
      <c r="C70" s="108" t="str">
        <f>'Actual costs'!C71</f>
        <v>YKY14</v>
      </c>
      <c r="D70" s="129">
        <f t="shared" ref="D70:D128" si="7">LN(K70)</f>
        <v>14.627596550458254</v>
      </c>
      <c r="E70" s="130">
        <f t="shared" ref="E70:E128" si="8">LN(L70)</f>
        <v>10.353396249268677</v>
      </c>
      <c r="F70" s="131">
        <f t="shared" ref="F70:F128" si="9">M70</f>
        <v>94.115193320718049</v>
      </c>
      <c r="G70" s="132">
        <f t="shared" ref="G70:G128" si="10">LN(N70)</f>
        <v>1.5454321599009397</v>
      </c>
      <c r="H70" s="133">
        <f t="shared" ref="H70:H128" si="11">LN(O70)</f>
        <v>-4.0673981547598119</v>
      </c>
      <c r="I70" s="134">
        <f t="shared" ref="I70:I128" si="12">LN(P70)</f>
        <v>6.9523477841951893</v>
      </c>
      <c r="J70" s="134">
        <f t="shared" ref="J70:J128" si="13">(LN(P70))^2</f>
        <v>48.335139712403759</v>
      </c>
      <c r="K70" s="135">
        <v>2252602</v>
      </c>
      <c r="L70" s="135">
        <v>31363.38</v>
      </c>
      <c r="M70" s="135">
        <v>94.115193320718049</v>
      </c>
      <c r="N70" s="135">
        <v>4.6899980182069241</v>
      </c>
      <c r="O70" s="135">
        <v>1.7121879083185548E-2</v>
      </c>
      <c r="P70" s="135">
        <v>1045.6016958445166</v>
      </c>
      <c r="Q70" s="135">
        <v>4993573.3599999994</v>
      </c>
    </row>
    <row r="71" spans="1:17" x14ac:dyDescent="0.3">
      <c r="A71" s="108" t="str">
        <f>'Actual costs'!A72</f>
        <v>YKY</v>
      </c>
      <c r="B71" s="108">
        <f>'Actual costs'!B72</f>
        <v>2015</v>
      </c>
      <c r="C71" s="108" t="str">
        <f>'Actual costs'!C72</f>
        <v>YKY15</v>
      </c>
      <c r="D71" s="129">
        <f t="shared" si="7"/>
        <v>14.633080901878488</v>
      </c>
      <c r="E71" s="130">
        <f t="shared" si="8"/>
        <v>10.354719210677075</v>
      </c>
      <c r="F71" s="131">
        <f t="shared" si="9"/>
        <v>94.218738464600136</v>
      </c>
      <c r="G71" s="132">
        <f t="shared" si="10"/>
        <v>1.5482346781213137</v>
      </c>
      <c r="H71" s="133">
        <f t="shared" si="11"/>
        <v>-4.0837307788187758</v>
      </c>
      <c r="I71" s="134">
        <f t="shared" si="12"/>
        <v>6.9567664519341736</v>
      </c>
      <c r="J71" s="134">
        <f t="shared" si="13"/>
        <v>48.39659946675679</v>
      </c>
      <c r="K71" s="135">
        <v>2264990</v>
      </c>
      <c r="L71" s="135">
        <v>31404.9</v>
      </c>
      <c r="M71" s="135">
        <v>94.218738464600136</v>
      </c>
      <c r="N71" s="135">
        <v>4.7031602582003647</v>
      </c>
      <c r="O71" s="135">
        <v>1.6844505156838583E-2</v>
      </c>
      <c r="P71" s="135">
        <v>1050.2320848671875</v>
      </c>
      <c r="Q71" s="135">
        <v>5015160.42</v>
      </c>
    </row>
    <row r="72" spans="1:17" x14ac:dyDescent="0.3">
      <c r="A72" s="108" t="str">
        <f>'Actual costs'!A73</f>
        <v>YKY</v>
      </c>
      <c r="B72" s="108">
        <f>'Actual costs'!B73</f>
        <v>2016</v>
      </c>
      <c r="C72" s="108" t="str">
        <f>'Actual costs'!C73</f>
        <v>YKY16</v>
      </c>
      <c r="D72" s="129">
        <f t="shared" si="7"/>
        <v>14.63833860236867</v>
      </c>
      <c r="E72" s="130">
        <f t="shared" si="8"/>
        <v>10.358756913626413</v>
      </c>
      <c r="F72" s="131">
        <f t="shared" si="9"/>
        <v>94.232676434832683</v>
      </c>
      <c r="G72" s="132">
        <f t="shared" si="10"/>
        <v>1.5475584246468097</v>
      </c>
      <c r="H72" s="133">
        <f t="shared" si="11"/>
        <v>-4.085879907080245</v>
      </c>
      <c r="I72" s="134">
        <f t="shared" si="12"/>
        <v>6.9646893914181005</v>
      </c>
      <c r="J72" s="134">
        <f t="shared" si="13"/>
        <v>48.506898318931832</v>
      </c>
      <c r="K72" s="135">
        <v>2276929.9999999995</v>
      </c>
      <c r="L72" s="135">
        <v>31531.96</v>
      </c>
      <c r="M72" s="135">
        <v>94.232676434832683</v>
      </c>
      <c r="N72" s="135">
        <v>4.6999808049139418</v>
      </c>
      <c r="O72" s="135">
        <v>1.6808343027201609E-2</v>
      </c>
      <c r="P72" s="135">
        <v>1058.5860604408522</v>
      </c>
      <c r="Q72" s="135">
        <v>5044321.6500000004</v>
      </c>
    </row>
    <row r="73" spans="1:17" x14ac:dyDescent="0.3">
      <c r="A73" s="108" t="str">
        <f>'Actual costs'!A74</f>
        <v>YKY</v>
      </c>
      <c r="B73" s="108">
        <f>'Actual costs'!B74</f>
        <v>2017</v>
      </c>
      <c r="C73" s="108" t="str">
        <f>'Actual costs'!C74</f>
        <v>YKY17</v>
      </c>
      <c r="D73" s="129">
        <f t="shared" si="7"/>
        <v>14.643954509451078</v>
      </c>
      <c r="E73" s="130">
        <f t="shared" si="8"/>
        <v>10.361061439100974</v>
      </c>
      <c r="F73" s="131">
        <f t="shared" si="9"/>
        <v>94.238059730779781</v>
      </c>
      <c r="G73" s="132">
        <f t="shared" si="10"/>
        <v>1.5481593544666383</v>
      </c>
      <c r="H73" s="133">
        <f t="shared" si="11"/>
        <v>-4.0825400149351285</v>
      </c>
      <c r="I73" s="134">
        <f t="shared" si="12"/>
        <v>6.9721577765595955</v>
      </c>
      <c r="J73" s="134">
        <f t="shared" si="13"/>
        <v>48.610984061240444</v>
      </c>
      <c r="K73" s="135">
        <v>2289752.9999999995</v>
      </c>
      <c r="L73" s="135">
        <v>31604.71</v>
      </c>
      <c r="M73" s="135">
        <v>94.238059730779781</v>
      </c>
      <c r="N73" s="135">
        <v>4.702806012322907</v>
      </c>
      <c r="O73" s="135">
        <v>1.6864574932027535E-2</v>
      </c>
      <c r="P73" s="135">
        <v>1066.5215847367169</v>
      </c>
      <c r="Q73" s="135">
        <v>5078363.3100000005</v>
      </c>
    </row>
    <row r="74" spans="1:17" x14ac:dyDescent="0.3">
      <c r="A74" s="108" t="str">
        <f>'Actual costs'!A75</f>
        <v>YKY</v>
      </c>
      <c r="B74" s="108">
        <f>'Actual costs'!B75</f>
        <v>2018</v>
      </c>
      <c r="C74" s="108" t="str">
        <f>'Actual costs'!C75</f>
        <v>YKY18</v>
      </c>
      <c r="D74" s="129">
        <f t="shared" si="7"/>
        <v>14.650729185851596</v>
      </c>
      <c r="E74" s="130">
        <f t="shared" si="8"/>
        <v>10.36385111529173</v>
      </c>
      <c r="F74" s="131">
        <f t="shared" si="9"/>
        <v>95.807628575651705</v>
      </c>
      <c r="G74" s="132">
        <f t="shared" si="10"/>
        <v>1.587708782840237</v>
      </c>
      <c r="H74" s="133">
        <f t="shared" si="11"/>
        <v>-4.090974108745562</v>
      </c>
      <c r="I74" s="134">
        <f t="shared" si="12"/>
        <v>6.9772829366104014</v>
      </c>
      <c r="J74" s="134">
        <f t="shared" si="13"/>
        <v>48.68247717751467</v>
      </c>
      <c r="K74" s="135">
        <v>2305317.9999999995</v>
      </c>
      <c r="L74" s="135">
        <v>31693</v>
      </c>
      <c r="M74" s="135">
        <v>95.807628575651705</v>
      </c>
      <c r="N74" s="135">
        <v>4.892526236356705</v>
      </c>
      <c r="O74" s="135">
        <v>1.6722935664026755E-2</v>
      </c>
      <c r="P74" s="135">
        <v>1072.0017098195524</v>
      </c>
      <c r="Q74" s="135">
        <v>5102760.6900000004</v>
      </c>
    </row>
    <row r="75" spans="1:17" x14ac:dyDescent="0.3">
      <c r="A75" s="108" t="str">
        <f>'Actual costs'!A76</f>
        <v>AFW</v>
      </c>
      <c r="B75" s="108">
        <f>'Actual costs'!B76</f>
        <v>2012</v>
      </c>
      <c r="C75" s="108" t="str">
        <f>'Actual costs'!C76</f>
        <v>AFW12</v>
      </c>
      <c r="D75" s="129">
        <f t="shared" si="7"/>
        <v>14.181395261571312</v>
      </c>
      <c r="E75" s="130">
        <f t="shared" si="8"/>
        <v>9.7138258017102288</v>
      </c>
      <c r="F75" s="131">
        <f t="shared" si="9"/>
        <v>87.660211658939744</v>
      </c>
      <c r="G75" s="132">
        <f t="shared" si="10"/>
        <v>1.624883629678515</v>
      </c>
      <c r="H75" s="133">
        <f t="shared" si="11"/>
        <v>-4.2757464927870332</v>
      </c>
      <c r="I75" s="134">
        <f t="shared" si="12"/>
        <v>7.8269675409596484</v>
      </c>
      <c r="J75" s="134">
        <f t="shared" si="13"/>
        <v>61.261420887235928</v>
      </c>
      <c r="K75" s="135">
        <v>1441788.9999999998</v>
      </c>
      <c r="L75" s="135">
        <v>16544.777990000002</v>
      </c>
      <c r="M75" s="135">
        <v>87.660211658939744</v>
      </c>
      <c r="N75" s="135">
        <v>5.0778280943088614</v>
      </c>
      <c r="O75" s="135">
        <v>1.3901667350206611E-2</v>
      </c>
      <c r="P75" s="135">
        <v>2507.3145048287683</v>
      </c>
      <c r="Q75" s="135">
        <v>3165928.2038730001</v>
      </c>
    </row>
    <row r="76" spans="1:17" x14ac:dyDescent="0.3">
      <c r="A76" s="108" t="str">
        <f>'Actual costs'!A77</f>
        <v>AFW</v>
      </c>
      <c r="B76" s="108">
        <f>'Actual costs'!B77</f>
        <v>2013</v>
      </c>
      <c r="C76" s="108" t="str">
        <f>'Actual costs'!C77</f>
        <v>AFW13</v>
      </c>
      <c r="D76" s="129">
        <f t="shared" si="7"/>
        <v>14.187326323968559</v>
      </c>
      <c r="E76" s="130">
        <f t="shared" si="8"/>
        <v>9.7143898817450243</v>
      </c>
      <c r="F76" s="131">
        <f t="shared" si="9"/>
        <v>89.141820885099293</v>
      </c>
      <c r="G76" s="132">
        <f t="shared" si="10"/>
        <v>1.637727050956074</v>
      </c>
      <c r="H76" s="133">
        <f t="shared" si="11"/>
        <v>-4.2763105728218287</v>
      </c>
      <c r="I76" s="134">
        <f t="shared" si="12"/>
        <v>7.8355470529170743</v>
      </c>
      <c r="J76" s="134">
        <f t="shared" si="13"/>
        <v>61.395797618477445</v>
      </c>
      <c r="K76" s="135">
        <v>1450365.75</v>
      </c>
      <c r="L76" s="135">
        <v>16554.113201600001</v>
      </c>
      <c r="M76" s="135">
        <v>89.141820885099293</v>
      </c>
      <c r="N76" s="135">
        <v>5.143465381106318</v>
      </c>
      <c r="O76" s="135">
        <v>1.3893827908448148E-2</v>
      </c>
      <c r="P76" s="135">
        <v>2528.9185833094998</v>
      </c>
      <c r="Q76" s="135">
        <v>3195815.3460610001</v>
      </c>
    </row>
    <row r="77" spans="1:17" x14ac:dyDescent="0.3">
      <c r="A77" s="108" t="str">
        <f>'Actual costs'!A78</f>
        <v>AFW</v>
      </c>
      <c r="B77" s="108">
        <f>'Actual costs'!B78</f>
        <v>2014</v>
      </c>
      <c r="C77" s="108" t="str">
        <f>'Actual costs'!C78</f>
        <v>AFW14</v>
      </c>
      <c r="D77" s="129">
        <f t="shared" si="7"/>
        <v>14.192834045820618</v>
      </c>
      <c r="E77" s="130">
        <f t="shared" si="8"/>
        <v>9.7155746320146736</v>
      </c>
      <c r="F77" s="131">
        <f t="shared" si="9"/>
        <v>90.387532147802958</v>
      </c>
      <c r="G77" s="132">
        <f t="shared" si="10"/>
        <v>1.6467816824049633</v>
      </c>
      <c r="H77" s="133">
        <f t="shared" si="11"/>
        <v>-4.2774953230914781</v>
      </c>
      <c r="I77" s="134">
        <f t="shared" si="12"/>
        <v>7.8450061393224155</v>
      </c>
      <c r="J77" s="134">
        <f t="shared" si="13"/>
        <v>61.54412132600639</v>
      </c>
      <c r="K77" s="135">
        <v>1458376</v>
      </c>
      <c r="L77" s="135">
        <v>16573.737314220347</v>
      </c>
      <c r="M77" s="135">
        <v>90.387532147802958</v>
      </c>
      <c r="N77" s="135">
        <v>5.1902490493042874</v>
      </c>
      <c r="O77" s="135">
        <v>1.3877376939156558E-2</v>
      </c>
      <c r="P77" s="135">
        <v>2552.9533368990719</v>
      </c>
      <c r="Q77" s="135">
        <v>3226362.3866889998</v>
      </c>
    </row>
    <row r="78" spans="1:17" x14ac:dyDescent="0.3">
      <c r="A78" s="108" t="str">
        <f>'Actual costs'!A79</f>
        <v>AFW</v>
      </c>
      <c r="B78" s="108">
        <f>'Actual costs'!B79</f>
        <v>2015</v>
      </c>
      <c r="C78" s="108" t="str">
        <f>'Actual costs'!C79</f>
        <v>AFW15</v>
      </c>
      <c r="D78" s="129">
        <f t="shared" si="7"/>
        <v>14.197615598582685</v>
      </c>
      <c r="E78" s="130">
        <f t="shared" si="8"/>
        <v>9.7172138943110618</v>
      </c>
      <c r="F78" s="131">
        <f t="shared" si="9"/>
        <v>89.863534824055037</v>
      </c>
      <c r="G78" s="132">
        <f t="shared" si="10"/>
        <v>1.6432695702643487</v>
      </c>
      <c r="H78" s="133">
        <f t="shared" si="11"/>
        <v>-4.2791345853878662</v>
      </c>
      <c r="I78" s="134">
        <f t="shared" si="12"/>
        <v>7.8558144631168956</v>
      </c>
      <c r="J78" s="134">
        <f t="shared" si="13"/>
        <v>61.7138208789166</v>
      </c>
      <c r="K78" s="135">
        <v>1465366</v>
      </c>
      <c r="L78" s="135">
        <v>16600.928297397626</v>
      </c>
      <c r="M78" s="135">
        <v>89.863534824055037</v>
      </c>
      <c r="N78" s="135">
        <v>5.1720522858469913</v>
      </c>
      <c r="O78" s="135">
        <v>1.3854646913694276E-2</v>
      </c>
      <c r="P78" s="135">
        <v>2580.6961397190544</v>
      </c>
      <c r="Q78" s="135">
        <v>3263756.6078359997</v>
      </c>
    </row>
    <row r="79" spans="1:17" x14ac:dyDescent="0.3">
      <c r="A79" s="108" t="str">
        <f>'Actual costs'!A80</f>
        <v>AFW</v>
      </c>
      <c r="B79" s="108">
        <f>'Actual costs'!B80</f>
        <v>2016</v>
      </c>
      <c r="C79" s="108" t="str">
        <f>'Actual costs'!C80</f>
        <v>AFW16</v>
      </c>
      <c r="D79" s="129">
        <f t="shared" si="7"/>
        <v>14.20412990294156</v>
      </c>
      <c r="E79" s="130">
        <f t="shared" si="8"/>
        <v>9.7182836002285811</v>
      </c>
      <c r="F79" s="131">
        <f t="shared" si="9"/>
        <v>91.111355633802802</v>
      </c>
      <c r="G79" s="132">
        <f t="shared" si="10"/>
        <v>1.6512305624763899</v>
      </c>
      <c r="H79" s="133">
        <f t="shared" si="11"/>
        <v>-4.2802042913053855</v>
      </c>
      <c r="I79" s="134">
        <f t="shared" si="12"/>
        <v>7.8664374025377297</v>
      </c>
      <c r="J79" s="134">
        <f t="shared" si="13"/>
        <v>61.880837408044542</v>
      </c>
      <c r="K79" s="135">
        <v>1474943</v>
      </c>
      <c r="L79" s="135">
        <v>16618.695909999587</v>
      </c>
      <c r="M79" s="135">
        <v>91.111355633802802</v>
      </c>
      <c r="N79" s="135">
        <v>5.2133912852112676</v>
      </c>
      <c r="O79" s="135">
        <v>1.3839834439813497E-2</v>
      </c>
      <c r="P79" s="135">
        <v>2608.2568471598943</v>
      </c>
      <c r="Q79" s="135">
        <v>3296776.5212179995</v>
      </c>
    </row>
    <row r="80" spans="1:17" x14ac:dyDescent="0.3">
      <c r="A80" s="108" t="str">
        <f>'Actual costs'!A81</f>
        <v>AFW</v>
      </c>
      <c r="B80" s="108">
        <f>'Actual costs'!B81</f>
        <v>2017</v>
      </c>
      <c r="C80" s="108" t="str">
        <f>'Actual costs'!C81</f>
        <v>AFW17</v>
      </c>
      <c r="D80" s="129">
        <f t="shared" si="7"/>
        <v>14.214863692624688</v>
      </c>
      <c r="E80" s="130">
        <f t="shared" si="8"/>
        <v>9.7196786816471032</v>
      </c>
      <c r="F80" s="131">
        <f t="shared" si="9"/>
        <v>90.977896143179024</v>
      </c>
      <c r="G80" s="132">
        <f t="shared" si="10"/>
        <v>1.6527132319259168</v>
      </c>
      <c r="H80" s="133">
        <f t="shared" si="11"/>
        <v>-4.2772609711253091</v>
      </c>
      <c r="I80" s="134">
        <f t="shared" si="12"/>
        <v>7.8750547122115488</v>
      </c>
      <c r="J80" s="134">
        <f t="shared" si="13"/>
        <v>62.016486720325318</v>
      </c>
      <c r="K80" s="135">
        <v>1490860</v>
      </c>
      <c r="L80" s="135">
        <v>16641.89652347322</v>
      </c>
      <c r="M80" s="135">
        <v>90.977896143179024</v>
      </c>
      <c r="N80" s="135">
        <v>5.2211267543530884</v>
      </c>
      <c r="O80" s="135">
        <v>1.3880629510835915E-2</v>
      </c>
      <c r="P80" s="135">
        <v>2630.8301248959515</v>
      </c>
      <c r="Q80" s="135">
        <v>3329429.5062639993</v>
      </c>
    </row>
    <row r="81" spans="1:17" x14ac:dyDescent="0.3">
      <c r="A81" s="108" t="str">
        <f>'Actual costs'!A82</f>
        <v>AFW</v>
      </c>
      <c r="B81" s="108">
        <f>'Actual costs'!B82</f>
        <v>2018</v>
      </c>
      <c r="C81" s="108" t="str">
        <f>'Actual costs'!C82</f>
        <v>AFW18</v>
      </c>
      <c r="D81" s="129">
        <f t="shared" si="7"/>
        <v>14.22110632420296</v>
      </c>
      <c r="E81" s="130">
        <f t="shared" si="8"/>
        <v>9.7362693634994848</v>
      </c>
      <c r="F81" s="131">
        <f t="shared" si="9"/>
        <v>95.21736722600653</v>
      </c>
      <c r="G81" s="132">
        <f t="shared" si="10"/>
        <v>1.6760862681089577</v>
      </c>
      <c r="H81" s="133">
        <f t="shared" si="11"/>
        <v>-4.3796830888274725</v>
      </c>
      <c r="I81" s="134">
        <f t="shared" si="12"/>
        <v>7.8761737018911688</v>
      </c>
      <c r="J81" s="134">
        <f t="shared" si="13"/>
        <v>62.034112182362037</v>
      </c>
      <c r="K81" s="135">
        <v>1500196.0000000002</v>
      </c>
      <c r="L81" s="135">
        <v>16920.3</v>
      </c>
      <c r="M81" s="135">
        <v>95.21736722600653</v>
      </c>
      <c r="N81" s="135">
        <v>5.3445976629561942</v>
      </c>
      <c r="O81" s="135">
        <v>1.2529328676205506E-2</v>
      </c>
      <c r="P81" s="135">
        <v>2633.7756443501285</v>
      </c>
      <c r="Q81" s="135">
        <v>3343861.4179970003</v>
      </c>
    </row>
    <row r="82" spans="1:17" x14ac:dyDescent="0.3">
      <c r="A82" s="108" t="str">
        <f>'Actual costs'!A83</f>
        <v>BRL</v>
      </c>
      <c r="B82" s="108">
        <f>'Actual costs'!B83</f>
        <v>2012</v>
      </c>
      <c r="C82" s="108" t="str">
        <f>'Actual costs'!C83</f>
        <v>BRL12</v>
      </c>
      <c r="D82" s="129">
        <f t="shared" si="7"/>
        <v>13.148385837063303</v>
      </c>
      <c r="E82" s="130">
        <f t="shared" si="8"/>
        <v>8.8021164618709111</v>
      </c>
      <c r="F82" s="131">
        <f t="shared" si="9"/>
        <v>98.698029060566824</v>
      </c>
      <c r="G82" s="132">
        <f t="shared" si="10"/>
        <v>1.7297975902087519</v>
      </c>
      <c r="H82" s="133">
        <f t="shared" si="11"/>
        <v>-4.1107685796417677</v>
      </c>
      <c r="I82" s="134">
        <f t="shared" si="12"/>
        <v>7.4521922535844931</v>
      </c>
      <c r="J82" s="134">
        <f t="shared" si="13"/>
        <v>55.535169384384723</v>
      </c>
      <c r="K82" s="135">
        <v>513182</v>
      </c>
      <c r="L82" s="135">
        <v>6648.3</v>
      </c>
      <c r="M82" s="135">
        <v>98.698029060566824</v>
      </c>
      <c r="N82" s="135">
        <v>5.6395123003884331</v>
      </c>
      <c r="O82" s="135">
        <v>1.6395168689740235E-2</v>
      </c>
      <c r="P82" s="135">
        <v>1723.6376573532327</v>
      </c>
      <c r="Q82" s="135">
        <v>1157018.6499999999</v>
      </c>
    </row>
    <row r="83" spans="1:17" x14ac:dyDescent="0.3">
      <c r="A83" s="108" t="str">
        <f>'Actual costs'!A84</f>
        <v>BRL</v>
      </c>
      <c r="B83" s="108">
        <f>'Actual costs'!B84</f>
        <v>2013</v>
      </c>
      <c r="C83" s="108" t="str">
        <f>'Actual costs'!C84</f>
        <v>BRL13</v>
      </c>
      <c r="D83" s="129">
        <f t="shared" si="7"/>
        <v>13.154847992365816</v>
      </c>
      <c r="E83" s="130">
        <f t="shared" si="8"/>
        <v>8.8064240638578681</v>
      </c>
      <c r="F83" s="131">
        <f t="shared" si="9"/>
        <v>98.720250601673243</v>
      </c>
      <c r="G83" s="132">
        <f t="shared" si="10"/>
        <v>1.7288724341031314</v>
      </c>
      <c r="H83" s="133">
        <f t="shared" si="11"/>
        <v>-4.1059436980654525</v>
      </c>
      <c r="I83" s="134">
        <f t="shared" si="12"/>
        <v>7.4671505865769694</v>
      </c>
      <c r="J83" s="134">
        <f t="shared" si="13"/>
        <v>55.758337882616779</v>
      </c>
      <c r="K83" s="135">
        <v>516509</v>
      </c>
      <c r="L83" s="135">
        <v>6677</v>
      </c>
      <c r="M83" s="135">
        <v>98.720250601673243</v>
      </c>
      <c r="N83" s="135">
        <v>5.6342972838751582</v>
      </c>
      <c r="O83" s="135">
        <v>1.6474464579901153E-2</v>
      </c>
      <c r="P83" s="135">
        <v>1749.6142019359734</v>
      </c>
      <c r="Q83" s="135">
        <v>1168207.21</v>
      </c>
    </row>
    <row r="84" spans="1:17" x14ac:dyDescent="0.3">
      <c r="A84" s="108" t="str">
        <f>'Actual costs'!A85</f>
        <v>BRL</v>
      </c>
      <c r="B84" s="108">
        <f>'Actual costs'!B85</f>
        <v>2014</v>
      </c>
      <c r="C84" s="108" t="str">
        <f>'Actual costs'!C85</f>
        <v>BRL14</v>
      </c>
      <c r="D84" s="129">
        <f t="shared" si="7"/>
        <v>13.161672548183581</v>
      </c>
      <c r="E84" s="130">
        <f t="shared" si="8"/>
        <v>8.8110710304050297</v>
      </c>
      <c r="F84" s="131">
        <f t="shared" si="9"/>
        <v>98.567507613640643</v>
      </c>
      <c r="G84" s="132">
        <f t="shared" si="10"/>
        <v>1.7286561698756899</v>
      </c>
      <c r="H84" s="133">
        <f t="shared" si="11"/>
        <v>-4.110590664612614</v>
      </c>
      <c r="I84" s="134">
        <f t="shared" si="12"/>
        <v>7.4804342827559083</v>
      </c>
      <c r="J84" s="134">
        <f t="shared" si="13"/>
        <v>55.956897058629899</v>
      </c>
      <c r="K84" s="135">
        <v>520046.00000000006</v>
      </c>
      <c r="L84" s="135">
        <v>6708.1</v>
      </c>
      <c r="M84" s="135">
        <v>98.567507613640643</v>
      </c>
      <c r="N84" s="135">
        <v>5.6330789186750376</v>
      </c>
      <c r="O84" s="135">
        <v>1.6398085896155393E-2</v>
      </c>
      <c r="P84" s="135">
        <v>1773.0105966883211</v>
      </c>
      <c r="Q84" s="135">
        <v>1180209.29</v>
      </c>
    </row>
    <row r="85" spans="1:17" x14ac:dyDescent="0.3">
      <c r="A85" s="108" t="str">
        <f>'Actual costs'!A86</f>
        <v>BRL</v>
      </c>
      <c r="B85" s="108">
        <f>'Actual costs'!B86</f>
        <v>2015</v>
      </c>
      <c r="C85" s="108" t="str">
        <f>'Actual costs'!C86</f>
        <v>BRL15</v>
      </c>
      <c r="D85" s="129">
        <f t="shared" si="7"/>
        <v>13.167686586242498</v>
      </c>
      <c r="E85" s="130">
        <f t="shared" si="8"/>
        <v>8.8149394496256086</v>
      </c>
      <c r="F85" s="131">
        <f t="shared" si="9"/>
        <v>98.435165820137442</v>
      </c>
      <c r="G85" s="132">
        <f t="shared" si="10"/>
        <v>1.7233159794338426</v>
      </c>
      <c r="H85" s="133">
        <f t="shared" si="11"/>
        <v>-4.0964405783305153</v>
      </c>
      <c r="I85" s="134">
        <f t="shared" si="12"/>
        <v>7.4936867693013207</v>
      </c>
      <c r="J85" s="134">
        <f t="shared" si="13"/>
        <v>56.155341396401667</v>
      </c>
      <c r="K85" s="135">
        <v>523183</v>
      </c>
      <c r="L85" s="135">
        <v>6734.1</v>
      </c>
      <c r="M85" s="135">
        <v>98.435165820137442</v>
      </c>
      <c r="N85" s="135">
        <v>5.6030773827308042</v>
      </c>
      <c r="O85" s="135">
        <v>1.6631769649990347E-2</v>
      </c>
      <c r="P85" s="135">
        <v>1796.6637813415925</v>
      </c>
      <c r="Q85" s="135">
        <v>1192084.05</v>
      </c>
    </row>
    <row r="86" spans="1:17" x14ac:dyDescent="0.3">
      <c r="A86" s="108" t="str">
        <f>'Actual costs'!A87</f>
        <v>BRL</v>
      </c>
      <c r="B86" s="108">
        <f>'Actual costs'!B87</f>
        <v>2016</v>
      </c>
      <c r="C86" s="108" t="str">
        <f>'Actual costs'!C87</f>
        <v>BRL16</v>
      </c>
      <c r="D86" s="129">
        <f t="shared" si="7"/>
        <v>13.175921205798186</v>
      </c>
      <c r="E86" s="130">
        <f t="shared" si="8"/>
        <v>8.8169421650861572</v>
      </c>
      <c r="F86" s="131">
        <f t="shared" si="9"/>
        <v>98.392682375969258</v>
      </c>
      <c r="G86" s="132">
        <f t="shared" si="10"/>
        <v>1.7406431430844111</v>
      </c>
      <c r="H86" s="133">
        <f t="shared" si="11"/>
        <v>-4.0895543463738155</v>
      </c>
      <c r="I86" s="134">
        <f t="shared" si="12"/>
        <v>7.5107140677134341</v>
      </c>
      <c r="J86" s="134">
        <f t="shared" si="13"/>
        <v>56.41082580694848</v>
      </c>
      <c r="K86" s="135">
        <v>527509</v>
      </c>
      <c r="L86" s="135">
        <v>6747.6</v>
      </c>
      <c r="M86" s="135">
        <v>98.392682375969258</v>
      </c>
      <c r="N86" s="135">
        <v>5.7010088082511476</v>
      </c>
      <c r="O86" s="135">
        <v>1.6746695121228287E-2</v>
      </c>
      <c r="P86" s="135">
        <v>1827.5180486426877</v>
      </c>
      <c r="Q86" s="135">
        <v>1206909.8700000001</v>
      </c>
    </row>
    <row r="87" spans="1:17" x14ac:dyDescent="0.3">
      <c r="A87" s="108" t="str">
        <f>'Actual costs'!A88</f>
        <v>BRL</v>
      </c>
      <c r="B87" s="108">
        <f>'Actual costs'!B88</f>
        <v>2017</v>
      </c>
      <c r="C87" s="108" t="str">
        <f>'Actual costs'!C88</f>
        <v>BRL17</v>
      </c>
      <c r="D87" s="129">
        <f t="shared" si="7"/>
        <v>13.182080293262683</v>
      </c>
      <c r="E87" s="130">
        <f t="shared" si="8"/>
        <v>8.820005226544815</v>
      </c>
      <c r="F87" s="131">
        <f t="shared" si="9"/>
        <v>98.404197180019679</v>
      </c>
      <c r="G87" s="132">
        <f t="shared" si="10"/>
        <v>1.7439634549512315</v>
      </c>
      <c r="H87" s="133">
        <f t="shared" si="11"/>
        <v>-4.0926174078324751</v>
      </c>
      <c r="I87" s="134">
        <f t="shared" si="12"/>
        <v>7.5229031272983766</v>
      </c>
      <c r="J87" s="134">
        <f t="shared" si="13"/>
        <v>56.594071462715696</v>
      </c>
      <c r="K87" s="135">
        <v>530768</v>
      </c>
      <c r="L87" s="135">
        <v>6768.3</v>
      </c>
      <c r="M87" s="135">
        <v>98.404197180019679</v>
      </c>
      <c r="N87" s="135">
        <v>5.719969395562357</v>
      </c>
      <c r="O87" s="135">
        <v>1.6695477446330688E-2</v>
      </c>
      <c r="P87" s="135">
        <v>1849.9300883891262</v>
      </c>
      <c r="Q87" s="135">
        <v>1219910.24</v>
      </c>
    </row>
    <row r="88" spans="1:17" x14ac:dyDescent="0.3">
      <c r="A88" s="108" t="str">
        <f>'Actual costs'!A89</f>
        <v>BRL</v>
      </c>
      <c r="B88" s="108">
        <f>'Actual costs'!B89</f>
        <v>2018</v>
      </c>
      <c r="C88" s="108" t="str">
        <f>'Actual costs'!C89</f>
        <v>BRL18</v>
      </c>
      <c r="D88" s="129">
        <f t="shared" si="7"/>
        <v>13.192146869601677</v>
      </c>
      <c r="E88" s="130">
        <f t="shared" si="8"/>
        <v>8.8287870839143316</v>
      </c>
      <c r="F88" s="131">
        <f t="shared" si="9"/>
        <v>98.684634959320448</v>
      </c>
      <c r="G88" s="132">
        <f t="shared" si="10"/>
        <v>1.7436948222453457</v>
      </c>
      <c r="H88" s="133">
        <f t="shared" si="11"/>
        <v>-4.1013992652019908</v>
      </c>
      <c r="I88" s="134">
        <f t="shared" si="12"/>
        <v>7.5301808269869532</v>
      </c>
      <c r="J88" s="134">
        <f t="shared" si="13"/>
        <v>56.703623287121914</v>
      </c>
      <c r="K88" s="135">
        <v>536138</v>
      </c>
      <c r="L88" s="135">
        <v>6828</v>
      </c>
      <c r="M88" s="135">
        <v>98.684634959320448</v>
      </c>
      <c r="N88" s="135">
        <v>5.7184330310741558</v>
      </c>
      <c r="O88" s="135">
        <v>1.6549502050380784E-2</v>
      </c>
      <c r="P88" s="135">
        <v>1863.4424337732182</v>
      </c>
      <c r="Q88" s="135">
        <v>1228470.9100000001</v>
      </c>
    </row>
    <row r="89" spans="1:17" x14ac:dyDescent="0.3">
      <c r="A89" s="108" t="str">
        <f>'Actual costs'!A90</f>
        <v>BWH</v>
      </c>
      <c r="B89" s="108">
        <f>'Actual costs'!B90</f>
        <v>2012</v>
      </c>
      <c r="C89" s="108" t="str">
        <f>'Actual costs'!C90</f>
        <v>BWH12</v>
      </c>
      <c r="D89" s="129">
        <f t="shared" si="7"/>
        <v>12.219210366501656</v>
      </c>
      <c r="E89" s="130">
        <f t="shared" si="8"/>
        <v>7.9396114784139433</v>
      </c>
      <c r="F89" s="131">
        <f t="shared" si="9"/>
        <v>91.517397570516763</v>
      </c>
      <c r="G89" s="132">
        <f t="shared" si="10"/>
        <v>1.5567819368602667</v>
      </c>
      <c r="H89" s="133">
        <f t="shared" si="11"/>
        <v>-4.7615576480659971</v>
      </c>
      <c r="I89" s="134">
        <f t="shared" si="12"/>
        <v>7.4296092089132628</v>
      </c>
      <c r="J89" s="134">
        <f t="shared" si="13"/>
        <v>55.199092997168762</v>
      </c>
      <c r="K89" s="135">
        <v>202644.88</v>
      </c>
      <c r="L89" s="135">
        <v>2806.27</v>
      </c>
      <c r="M89" s="135">
        <v>91.517397570516763</v>
      </c>
      <c r="N89" s="135">
        <v>4.7435316725001702</v>
      </c>
      <c r="O89" s="135">
        <v>8.5522775784226037E-3</v>
      </c>
      <c r="P89" s="135">
        <v>1685.1489035025754</v>
      </c>
      <c r="Q89" s="135">
        <v>499029.9</v>
      </c>
    </row>
    <row r="90" spans="1:17" x14ac:dyDescent="0.3">
      <c r="A90" s="108" t="str">
        <f>'Actual costs'!A91</f>
        <v>BWH</v>
      </c>
      <c r="B90" s="108">
        <f>'Actual costs'!B91</f>
        <v>2013</v>
      </c>
      <c r="C90" s="108" t="str">
        <f>'Actual costs'!C91</f>
        <v>BWH13</v>
      </c>
      <c r="D90" s="129">
        <f t="shared" si="7"/>
        <v>12.220419239237096</v>
      </c>
      <c r="E90" s="130">
        <f t="shared" si="8"/>
        <v>7.9419819237152494</v>
      </c>
      <c r="F90" s="131">
        <f t="shared" si="9"/>
        <v>91.517397570516763</v>
      </c>
      <c r="G90" s="132">
        <f t="shared" si="10"/>
        <v>1.5567819368602667</v>
      </c>
      <c r="H90" s="133">
        <f t="shared" si="11"/>
        <v>-4.7639280933673041</v>
      </c>
      <c r="I90" s="134">
        <f t="shared" si="12"/>
        <v>7.4453407064994401</v>
      </c>
      <c r="J90" s="134">
        <f t="shared" si="13"/>
        <v>55.433098235857585</v>
      </c>
      <c r="K90" s="135">
        <v>202890.00000000003</v>
      </c>
      <c r="L90" s="135">
        <v>2812.93</v>
      </c>
      <c r="M90" s="135">
        <v>91.517397570516763</v>
      </c>
      <c r="N90" s="135">
        <v>4.7435316725001702</v>
      </c>
      <c r="O90" s="135">
        <v>8.5320288809177629E-3</v>
      </c>
      <c r="P90" s="135">
        <v>1711.8684375091188</v>
      </c>
      <c r="Q90" s="135">
        <v>503081.08</v>
      </c>
    </row>
    <row r="91" spans="1:17" x14ac:dyDescent="0.3">
      <c r="A91" s="108" t="str">
        <f>'Actual costs'!A92</f>
        <v>BWH</v>
      </c>
      <c r="B91" s="108">
        <f>'Actual costs'!B92</f>
        <v>2014</v>
      </c>
      <c r="C91" s="108" t="str">
        <f>'Actual costs'!C92</f>
        <v>BWH14</v>
      </c>
      <c r="D91" s="129">
        <f t="shared" si="7"/>
        <v>12.225880174775122</v>
      </c>
      <c r="E91" s="130">
        <f t="shared" si="8"/>
        <v>7.9428951446946732</v>
      </c>
      <c r="F91" s="131">
        <f t="shared" si="9"/>
        <v>91.091405184174604</v>
      </c>
      <c r="G91" s="132">
        <f t="shared" si="10"/>
        <v>1.5542453044777973</v>
      </c>
      <c r="H91" s="133">
        <f t="shared" si="11"/>
        <v>-4.7648413143467279</v>
      </c>
      <c r="I91" s="134">
        <f t="shared" si="12"/>
        <v>7.4559165597588271</v>
      </c>
      <c r="J91" s="134">
        <f t="shared" si="13"/>
        <v>55.590691746085902</v>
      </c>
      <c r="K91" s="135">
        <v>204001.00000000003</v>
      </c>
      <c r="L91" s="135">
        <v>2815.5</v>
      </c>
      <c r="M91" s="135">
        <v>91.091405184174604</v>
      </c>
      <c r="N91" s="135">
        <v>4.731514324693042</v>
      </c>
      <c r="O91" s="135">
        <v>8.5242408098028764E-3</v>
      </c>
      <c r="P91" s="135">
        <v>1730.0689803971077</v>
      </c>
      <c r="Q91" s="135">
        <v>506122.45600000001</v>
      </c>
    </row>
    <row r="92" spans="1:17" x14ac:dyDescent="0.3">
      <c r="A92" s="108" t="str">
        <f>'Actual costs'!A93</f>
        <v>BWH</v>
      </c>
      <c r="B92" s="108">
        <f>'Actual costs'!B93</f>
        <v>2015</v>
      </c>
      <c r="C92" s="108" t="str">
        <f>'Actual costs'!C93</f>
        <v>BWH15</v>
      </c>
      <c r="D92" s="129">
        <f t="shared" si="7"/>
        <v>12.229955173993421</v>
      </c>
      <c r="E92" s="130">
        <f t="shared" si="8"/>
        <v>7.9461928446141767</v>
      </c>
      <c r="F92" s="131">
        <f t="shared" si="9"/>
        <v>91.676833401111551</v>
      </c>
      <c r="G92" s="132">
        <f t="shared" si="10"/>
        <v>1.6277323340890633</v>
      </c>
      <c r="H92" s="133">
        <f t="shared" si="11"/>
        <v>-4.7681390142662314</v>
      </c>
      <c r="I92" s="134">
        <f t="shared" si="12"/>
        <v>7.4671777220804332</v>
      </c>
      <c r="J92" s="134">
        <f t="shared" si="13"/>
        <v>55.758743133134324</v>
      </c>
      <c r="K92" s="135">
        <v>204833.99999999997</v>
      </c>
      <c r="L92" s="135">
        <v>2824.8</v>
      </c>
      <c r="M92" s="135">
        <v>91.676833401111551</v>
      </c>
      <c r="N92" s="135">
        <v>5.0923139487596583</v>
      </c>
      <c r="O92" s="135">
        <v>8.4961767204757861E-3</v>
      </c>
      <c r="P92" s="135">
        <v>1749.6616792423679</v>
      </c>
      <c r="Q92" s="135">
        <v>509486.76400000002</v>
      </c>
    </row>
    <row r="93" spans="1:17" x14ac:dyDescent="0.3">
      <c r="A93" s="108" t="str">
        <f>'Actual costs'!A94</f>
        <v>BWH</v>
      </c>
      <c r="B93" s="108">
        <f>'Actual costs'!B94</f>
        <v>2016</v>
      </c>
      <c r="C93" s="108" t="str">
        <f>'Actual costs'!C94</f>
        <v>BWH16</v>
      </c>
      <c r="D93" s="129">
        <f t="shared" si="7"/>
        <v>12.234047669985685</v>
      </c>
      <c r="E93" s="130">
        <f t="shared" si="8"/>
        <v>7.9483252338563686</v>
      </c>
      <c r="F93" s="131">
        <f t="shared" si="9"/>
        <v>91.180783464841838</v>
      </c>
      <c r="G93" s="132">
        <f t="shared" si="10"/>
        <v>1.7191364669500642</v>
      </c>
      <c r="H93" s="133">
        <f t="shared" si="11"/>
        <v>-4.7294494089881676</v>
      </c>
      <c r="I93" s="134">
        <f t="shared" si="12"/>
        <v>7.4806832200703743</v>
      </c>
      <c r="J93" s="134">
        <f t="shared" si="13"/>
        <v>55.960621439042463</v>
      </c>
      <c r="K93" s="135">
        <v>205674</v>
      </c>
      <c r="L93" s="135">
        <v>2830.83</v>
      </c>
      <c r="M93" s="135">
        <v>91.180783464841838</v>
      </c>
      <c r="N93" s="135">
        <v>5.5797081209412749</v>
      </c>
      <c r="O93" s="135">
        <v>8.8313321534673576E-3</v>
      </c>
      <c r="P93" s="135">
        <v>1773.4520201258833</v>
      </c>
      <c r="Q93" s="135">
        <v>512501.42800000001</v>
      </c>
    </row>
    <row r="94" spans="1:17" x14ac:dyDescent="0.3">
      <c r="A94" s="108" t="str">
        <f>'Actual costs'!A95</f>
        <v>DVW</v>
      </c>
      <c r="B94" s="108">
        <f>'Actual costs'!B95</f>
        <v>2012</v>
      </c>
      <c r="C94" s="108" t="str">
        <f>'Actual costs'!C95</f>
        <v>DVW12</v>
      </c>
      <c r="D94" s="129">
        <f t="shared" si="7"/>
        <v>11.723356554256753</v>
      </c>
      <c r="E94" s="130">
        <f t="shared" si="8"/>
        <v>7.5991809786437416</v>
      </c>
      <c r="F94" s="131">
        <f t="shared" si="9"/>
        <v>95.77006507592192</v>
      </c>
      <c r="G94" s="132">
        <f t="shared" si="10"/>
        <v>1.5680928496221358</v>
      </c>
      <c r="H94" s="133">
        <f t="shared" si="11"/>
        <v>-4.1334450758440155</v>
      </c>
      <c r="I94" s="134">
        <f t="shared" si="12"/>
        <v>5.7350186478185963</v>
      </c>
      <c r="J94" s="134">
        <f t="shared" si="13"/>
        <v>32.890438890827042</v>
      </c>
      <c r="K94" s="135">
        <v>123420.99999999999</v>
      </c>
      <c r="L94" s="135">
        <v>1996.56</v>
      </c>
      <c r="M94" s="135">
        <v>95.77006507592192</v>
      </c>
      <c r="N94" s="135">
        <v>4.797489928726371</v>
      </c>
      <c r="O94" s="135">
        <v>1.6027567415955443E-2</v>
      </c>
      <c r="P94" s="135">
        <v>309.51874255475451</v>
      </c>
      <c r="Q94" s="135">
        <v>254575.22000000003</v>
      </c>
    </row>
    <row r="95" spans="1:17" x14ac:dyDescent="0.3">
      <c r="A95" s="108" t="str">
        <f>'Actual costs'!A96</f>
        <v>DVW</v>
      </c>
      <c r="B95" s="108">
        <f>'Actual costs'!B96</f>
        <v>2013</v>
      </c>
      <c r="C95" s="108" t="str">
        <f>'Actual costs'!C96</f>
        <v>DVW13</v>
      </c>
      <c r="D95" s="129">
        <f t="shared" si="7"/>
        <v>11.728722093621384</v>
      </c>
      <c r="E95" s="130">
        <f t="shared" si="8"/>
        <v>7.6024512595319331</v>
      </c>
      <c r="F95" s="131">
        <f t="shared" si="9"/>
        <v>95.568039950062428</v>
      </c>
      <c r="G95" s="132">
        <f t="shared" si="10"/>
        <v>1.5649875685434542</v>
      </c>
      <c r="H95" s="133">
        <f t="shared" si="11"/>
        <v>-4.1367153567322061</v>
      </c>
      <c r="I95" s="134">
        <f t="shared" si="12"/>
        <v>5.7377629846732567</v>
      </c>
      <c r="J95" s="134">
        <f t="shared" si="13"/>
        <v>32.921924068286557</v>
      </c>
      <c r="K95" s="135">
        <v>124085</v>
      </c>
      <c r="L95" s="135">
        <v>2003.1</v>
      </c>
      <c r="M95" s="135">
        <v>95.568039950062428</v>
      </c>
      <c r="N95" s="135">
        <v>4.7826154806491887</v>
      </c>
      <c r="O95" s="135">
        <v>1.5975238380510209E-2</v>
      </c>
      <c r="P95" s="135">
        <v>310.36933286648269</v>
      </c>
      <c r="Q95" s="135">
        <v>255213.68000000002</v>
      </c>
    </row>
    <row r="96" spans="1:17" x14ac:dyDescent="0.3">
      <c r="A96" s="108" t="str">
        <f>'Actual costs'!A97</f>
        <v>DVW</v>
      </c>
      <c r="B96" s="108">
        <f>'Actual costs'!B97</f>
        <v>2014</v>
      </c>
      <c r="C96" s="108" t="str">
        <f>'Actual costs'!C97</f>
        <v>DVW14</v>
      </c>
      <c r="D96" s="129">
        <f t="shared" si="7"/>
        <v>11.734050981421122</v>
      </c>
      <c r="E96" s="130">
        <f t="shared" si="8"/>
        <v>7.603963110966367</v>
      </c>
      <c r="F96" s="131">
        <f t="shared" si="9"/>
        <v>95.864039705218829</v>
      </c>
      <c r="G96" s="132">
        <f t="shared" si="10"/>
        <v>1.5680768444802444</v>
      </c>
      <c r="H96" s="133">
        <f t="shared" si="11"/>
        <v>-4.13822720816664</v>
      </c>
      <c r="I96" s="134">
        <f t="shared" si="12"/>
        <v>5.7410079165399202</v>
      </c>
      <c r="J96" s="134">
        <f t="shared" si="13"/>
        <v>32.959171897774034</v>
      </c>
      <c r="K96" s="135">
        <v>124748</v>
      </c>
      <c r="L96" s="135">
        <v>2006.13068</v>
      </c>
      <c r="M96" s="135">
        <v>95.864039705218829</v>
      </c>
      <c r="N96" s="135">
        <v>4.7974131448338095</v>
      </c>
      <c r="O96" s="135">
        <v>1.5951104441511259E-2</v>
      </c>
      <c r="P96" s="135">
        <v>311.37809600380683</v>
      </c>
      <c r="Q96" s="135">
        <v>255834.23</v>
      </c>
    </row>
    <row r="97" spans="1:17" x14ac:dyDescent="0.3">
      <c r="A97" s="108" t="str">
        <f>'Actual costs'!A98</f>
        <v>DVW</v>
      </c>
      <c r="B97" s="108">
        <f>'Actual costs'!B98</f>
        <v>2015</v>
      </c>
      <c r="C97" s="108" t="str">
        <f>'Actual costs'!C98</f>
        <v>DVW15</v>
      </c>
      <c r="D97" s="129">
        <f t="shared" si="7"/>
        <v>11.741160035028589</v>
      </c>
      <c r="E97" s="130">
        <f t="shared" si="8"/>
        <v>7.6074345787229189</v>
      </c>
      <c r="F97" s="131">
        <f t="shared" si="9"/>
        <v>96.440332444723225</v>
      </c>
      <c r="G97" s="132">
        <f t="shared" si="10"/>
        <v>1.573972410302052</v>
      </c>
      <c r="H97" s="133">
        <f t="shared" si="11"/>
        <v>-4.1109270172564383</v>
      </c>
      <c r="I97" s="134">
        <f t="shared" si="12"/>
        <v>5.7430806537712957</v>
      </c>
      <c r="J97" s="134">
        <f t="shared" si="13"/>
        <v>32.982975395722136</v>
      </c>
      <c r="K97" s="135">
        <v>125637.99999999999</v>
      </c>
      <c r="L97" s="135">
        <v>2013.1069999999997</v>
      </c>
      <c r="M97" s="135">
        <v>96.440332444723225</v>
      </c>
      <c r="N97" s="135">
        <v>4.8257801474047364</v>
      </c>
      <c r="O97" s="135">
        <v>1.6392571284089719E-2</v>
      </c>
      <c r="P97" s="135">
        <v>312.0241703162622</v>
      </c>
      <c r="Q97" s="135">
        <v>256430.24</v>
      </c>
    </row>
    <row r="98" spans="1:17" x14ac:dyDescent="0.3">
      <c r="A98" s="108" t="str">
        <f>'Actual costs'!A99</f>
        <v>DVW</v>
      </c>
      <c r="B98" s="108">
        <f>'Actual costs'!B99</f>
        <v>2016</v>
      </c>
      <c r="C98" s="108" t="str">
        <f>'Actual costs'!C99</f>
        <v>DVW16</v>
      </c>
      <c r="D98" s="129">
        <f t="shared" si="7"/>
        <v>11.74911159092296</v>
      </c>
      <c r="E98" s="130">
        <f t="shared" si="8"/>
        <v>7.6109342227231123</v>
      </c>
      <c r="F98" s="131">
        <f t="shared" si="9"/>
        <v>100</v>
      </c>
      <c r="G98" s="132">
        <f t="shared" si="10"/>
        <v>1.6030927521931719</v>
      </c>
      <c r="H98" s="133">
        <f t="shared" si="11"/>
        <v>-4.1144266612566325</v>
      </c>
      <c r="I98" s="134">
        <f t="shared" si="12"/>
        <v>5.7442318504734766</v>
      </c>
      <c r="J98" s="134">
        <f t="shared" si="13"/>
        <v>32.996199551993939</v>
      </c>
      <c r="K98" s="135">
        <v>126641</v>
      </c>
      <c r="L98" s="135">
        <v>2020.1644999999996</v>
      </c>
      <c r="M98" s="135">
        <v>100</v>
      </c>
      <c r="N98" s="135">
        <v>4.9683746388931134</v>
      </c>
      <c r="O98" s="135">
        <v>1.6335303387422166E-2</v>
      </c>
      <c r="P98" s="135">
        <v>312.38357834710854</v>
      </c>
      <c r="Q98" s="135">
        <v>256401.23</v>
      </c>
    </row>
    <row r="99" spans="1:17" x14ac:dyDescent="0.3">
      <c r="A99" s="108" t="str">
        <f>'Actual costs'!A100</f>
        <v>DVW</v>
      </c>
      <c r="B99" s="108">
        <f>'Actual costs'!B100</f>
        <v>2017</v>
      </c>
      <c r="C99" s="108" t="str">
        <f>'Actual costs'!C100</f>
        <v>DVW17</v>
      </c>
      <c r="D99" s="129">
        <f t="shared" si="7"/>
        <v>11.755267539577906</v>
      </c>
      <c r="E99" s="130">
        <f t="shared" si="8"/>
        <v>7.6116841279067593</v>
      </c>
      <c r="F99" s="131">
        <f t="shared" si="9"/>
        <v>100</v>
      </c>
      <c r="G99" s="132">
        <f t="shared" si="10"/>
        <v>1.603365326595187</v>
      </c>
      <c r="H99" s="133">
        <f t="shared" si="11"/>
        <v>-4.1151765664402786</v>
      </c>
      <c r="I99" s="134">
        <f t="shared" si="12"/>
        <v>5.7472378653345428</v>
      </c>
      <c r="J99" s="134">
        <f t="shared" si="13"/>
        <v>33.030743080735149</v>
      </c>
      <c r="K99" s="135">
        <v>127423</v>
      </c>
      <c r="L99" s="135">
        <v>2021.68</v>
      </c>
      <c r="M99" s="135">
        <v>100</v>
      </c>
      <c r="N99" s="135">
        <v>4.9697290752232472</v>
      </c>
      <c r="O99" s="135">
        <v>1.6323058050730085E-2</v>
      </c>
      <c r="P99" s="135">
        <v>313.32402080981967</v>
      </c>
      <c r="Q99" s="135">
        <v>256978.68000000002</v>
      </c>
    </row>
    <row r="100" spans="1:17" x14ac:dyDescent="0.3">
      <c r="A100" s="108" t="str">
        <f>'Actual costs'!A101</f>
        <v>DVW</v>
      </c>
      <c r="B100" s="108">
        <f>'Actual costs'!B101</f>
        <v>2018</v>
      </c>
      <c r="C100" s="108" t="str">
        <f>'Actual costs'!C101</f>
        <v>DVW18</v>
      </c>
      <c r="D100" s="129">
        <f t="shared" si="7"/>
        <v>11.759238518311081</v>
      </c>
      <c r="E100" s="130">
        <f t="shared" si="8"/>
        <v>7.6216115386317735</v>
      </c>
      <c r="F100" s="131">
        <f t="shared" si="9"/>
        <v>100</v>
      </c>
      <c r="G100" s="132">
        <f t="shared" si="10"/>
        <v>1.6036050536707613</v>
      </c>
      <c r="H100" s="133">
        <f t="shared" si="11"/>
        <v>-3.9327320845178368</v>
      </c>
      <c r="I100" s="134">
        <f t="shared" si="12"/>
        <v>5.7517450901079226</v>
      </c>
      <c r="J100" s="134">
        <f t="shared" si="13"/>
        <v>33.082571581580595</v>
      </c>
      <c r="K100" s="135">
        <v>127930</v>
      </c>
      <c r="L100" s="135">
        <v>2041.8500000000001</v>
      </c>
      <c r="M100" s="135">
        <v>100</v>
      </c>
      <c r="N100" s="135">
        <v>4.9709205966551142</v>
      </c>
      <c r="O100" s="135">
        <v>1.959007762568259E-2</v>
      </c>
      <c r="P100" s="135">
        <v>314.73942998598227</v>
      </c>
      <c r="Q100" s="135">
        <v>257858.22</v>
      </c>
    </row>
    <row r="101" spans="1:17" x14ac:dyDescent="0.3">
      <c r="A101" s="108" t="str">
        <f>'Actual costs'!A102</f>
        <v>PRT</v>
      </c>
      <c r="B101" s="108">
        <f>'Actual costs'!B102</f>
        <v>2012</v>
      </c>
      <c r="C101" s="108" t="str">
        <f>'Actual costs'!C102</f>
        <v>PRT12</v>
      </c>
      <c r="D101" s="129">
        <f t="shared" si="7"/>
        <v>12.63016648957921</v>
      </c>
      <c r="E101" s="130">
        <f t="shared" si="8"/>
        <v>8.0906168000951464</v>
      </c>
      <c r="F101" s="131">
        <f t="shared" si="9"/>
        <v>24.538018782187208</v>
      </c>
      <c r="G101" s="132">
        <f t="shared" si="10"/>
        <v>0.90908519167637258</v>
      </c>
      <c r="H101" s="133">
        <f t="shared" si="11"/>
        <v>-4.8717409752269463</v>
      </c>
      <c r="I101" s="134">
        <f t="shared" si="12"/>
        <v>7.9199269266070136</v>
      </c>
      <c r="J101" s="134">
        <f t="shared" si="13"/>
        <v>62.725242522794815</v>
      </c>
      <c r="K101" s="135">
        <v>305641</v>
      </c>
      <c r="L101" s="135">
        <v>3263.7</v>
      </c>
      <c r="M101" s="135">
        <v>24.538018782187208</v>
      </c>
      <c r="N101" s="135">
        <v>2.4820508936685846</v>
      </c>
      <c r="O101" s="135">
        <v>7.6600177712412296E-3</v>
      </c>
      <c r="P101" s="135">
        <v>2751.5699718296528</v>
      </c>
      <c r="Q101" s="135">
        <v>649220.87460999994</v>
      </c>
    </row>
    <row r="102" spans="1:17" x14ac:dyDescent="0.3">
      <c r="A102" s="108" t="str">
        <f>'Actual costs'!A103</f>
        <v>PRT</v>
      </c>
      <c r="B102" s="108">
        <f>'Actual costs'!B103</f>
        <v>2013</v>
      </c>
      <c r="C102" s="108" t="str">
        <f>'Actual costs'!C103</f>
        <v>PRT13</v>
      </c>
      <c r="D102" s="129">
        <f t="shared" si="7"/>
        <v>12.640419951630312</v>
      </c>
      <c r="E102" s="130">
        <f t="shared" si="8"/>
        <v>8.0926981574012675</v>
      </c>
      <c r="F102" s="131">
        <f t="shared" si="9"/>
        <v>17.018623860360009</v>
      </c>
      <c r="G102" s="132">
        <f t="shared" si="10"/>
        <v>0.75141755894891438</v>
      </c>
      <c r="H102" s="133">
        <f t="shared" si="11"/>
        <v>-4.8738223325330665</v>
      </c>
      <c r="I102" s="134">
        <f t="shared" si="12"/>
        <v>7.9153813587176352</v>
      </c>
      <c r="J102" s="134">
        <f t="shared" si="13"/>
        <v>62.653262053934633</v>
      </c>
      <c r="K102" s="135">
        <v>308791</v>
      </c>
      <c r="L102" s="135">
        <v>3270.5</v>
      </c>
      <c r="M102" s="135">
        <v>17.018623860360009</v>
      </c>
      <c r="N102" s="135">
        <v>2.1200031169640772</v>
      </c>
      <c r="O102" s="135">
        <v>7.6440911175661213E-3</v>
      </c>
      <c r="P102" s="135">
        <v>2739.0909074246065</v>
      </c>
      <c r="Q102" s="135">
        <v>653677.196214</v>
      </c>
    </row>
    <row r="103" spans="1:17" x14ac:dyDescent="0.3">
      <c r="A103" s="108" t="str">
        <f>'Actual costs'!A104</f>
        <v>PRT</v>
      </c>
      <c r="B103" s="108">
        <f>'Actual costs'!B104</f>
        <v>2014</v>
      </c>
      <c r="C103" s="108" t="str">
        <f>'Actual costs'!C104</f>
        <v>PRT14</v>
      </c>
      <c r="D103" s="129">
        <f t="shared" si="7"/>
        <v>12.645552632225616</v>
      </c>
      <c r="E103" s="130">
        <f t="shared" si="8"/>
        <v>8.0956291887183234</v>
      </c>
      <c r="F103" s="131">
        <f t="shared" si="9"/>
        <v>19.018785902810119</v>
      </c>
      <c r="G103" s="132">
        <f t="shared" si="10"/>
        <v>0.78224908422197814</v>
      </c>
      <c r="H103" s="133">
        <f t="shared" si="11"/>
        <v>-4.8767533638501233</v>
      </c>
      <c r="I103" s="134">
        <f t="shared" si="12"/>
        <v>7.9156875207723782</v>
      </c>
      <c r="J103" s="134">
        <f t="shared" si="13"/>
        <v>62.658108926511559</v>
      </c>
      <c r="K103" s="135">
        <v>310380</v>
      </c>
      <c r="L103" s="135">
        <v>3280.1</v>
      </c>
      <c r="M103" s="135">
        <v>19.018785902810119</v>
      </c>
      <c r="N103" s="135">
        <v>2.1863841018475387</v>
      </c>
      <c r="O103" s="135">
        <v>7.6217188500350601E-3</v>
      </c>
      <c r="P103" s="135">
        <v>2739.9296415126764</v>
      </c>
      <c r="Q103" s="135">
        <v>656516.78126099997</v>
      </c>
    </row>
    <row r="104" spans="1:17" x14ac:dyDescent="0.3">
      <c r="A104" s="108" t="str">
        <f>'Actual costs'!A105</f>
        <v>PRT</v>
      </c>
      <c r="B104" s="108">
        <f>'Actual costs'!B105</f>
        <v>2015</v>
      </c>
      <c r="C104" s="108" t="str">
        <f>'Actual costs'!C105</f>
        <v>PRT15</v>
      </c>
      <c r="D104" s="129">
        <f t="shared" si="7"/>
        <v>12.653440763650744</v>
      </c>
      <c r="E104" s="130">
        <f t="shared" si="8"/>
        <v>8.0991898066099672</v>
      </c>
      <c r="F104" s="131">
        <f t="shared" si="9"/>
        <v>18.900315143473208</v>
      </c>
      <c r="G104" s="132">
        <f t="shared" si="10"/>
        <v>0.78643477922436511</v>
      </c>
      <c r="H104" s="133">
        <f t="shared" si="11"/>
        <v>-4.8803139817417671</v>
      </c>
      <c r="I104" s="134">
        <f t="shared" si="12"/>
        <v>7.9220502375219484</v>
      </c>
      <c r="J104" s="134">
        <f t="shared" si="13"/>
        <v>62.758879965821556</v>
      </c>
      <c r="K104" s="135">
        <v>312837.99999999994</v>
      </c>
      <c r="L104" s="135">
        <v>3291.8</v>
      </c>
      <c r="M104" s="135">
        <v>18.900315143473208</v>
      </c>
      <c r="N104" s="135">
        <v>2.1955548183778402</v>
      </c>
      <c r="O104" s="135">
        <v>7.5946290783158142E-3</v>
      </c>
      <c r="P104" s="135">
        <v>2757.418617433209</v>
      </c>
      <c r="Q104" s="135">
        <v>661463.10008500004</v>
      </c>
    </row>
    <row r="105" spans="1:17" x14ac:dyDescent="0.3">
      <c r="A105" s="108" t="str">
        <f>'Actual costs'!A106</f>
        <v>PRT</v>
      </c>
      <c r="B105" s="108">
        <f>'Actual costs'!B106</f>
        <v>2016</v>
      </c>
      <c r="C105" s="108" t="str">
        <f>'Actual costs'!C106</f>
        <v>PRT16</v>
      </c>
      <c r="D105" s="129">
        <f t="shared" si="7"/>
        <v>12.661343275173845</v>
      </c>
      <c r="E105" s="130">
        <f t="shared" si="8"/>
        <v>8.1037362333785214</v>
      </c>
      <c r="F105" s="131">
        <f t="shared" si="9"/>
        <v>45.500809622947024</v>
      </c>
      <c r="G105" s="132">
        <f t="shared" si="10"/>
        <v>1.1397765794444883</v>
      </c>
      <c r="H105" s="133">
        <f t="shared" si="11"/>
        <v>-4.8848604085103196</v>
      </c>
      <c r="I105" s="134">
        <f t="shared" si="12"/>
        <v>7.931978276533429</v>
      </c>
      <c r="J105" s="134">
        <f t="shared" si="13"/>
        <v>62.916279379398226</v>
      </c>
      <c r="K105" s="135">
        <v>315320</v>
      </c>
      <c r="L105" s="135">
        <v>3306.8</v>
      </c>
      <c r="M105" s="135">
        <v>45.500809622947024</v>
      </c>
      <c r="N105" s="135">
        <v>3.1260698588942866</v>
      </c>
      <c r="O105" s="135">
        <v>7.5601790250393128E-3</v>
      </c>
      <c r="P105" s="135">
        <v>2784.9307216808247</v>
      </c>
      <c r="Q105" s="135">
        <v>667185.90153399995</v>
      </c>
    </row>
    <row r="106" spans="1:17" x14ac:dyDescent="0.3">
      <c r="A106" s="108" t="str">
        <f>'Actual costs'!A107</f>
        <v>PRT</v>
      </c>
      <c r="B106" s="108">
        <f>'Actual costs'!B107</f>
        <v>2017</v>
      </c>
      <c r="C106" s="108" t="str">
        <f>'Actual costs'!C107</f>
        <v>PRT17</v>
      </c>
      <c r="D106" s="129">
        <f t="shared" si="7"/>
        <v>12.669098864162869</v>
      </c>
      <c r="E106" s="130">
        <f t="shared" si="8"/>
        <v>8.1089241559753393</v>
      </c>
      <c r="F106" s="131">
        <f t="shared" si="9"/>
        <v>53.624908176527086</v>
      </c>
      <c r="G106" s="132">
        <f t="shared" si="10"/>
        <v>1.2283718143486908</v>
      </c>
      <c r="H106" s="133">
        <f t="shared" si="11"/>
        <v>-4.8508276179538568</v>
      </c>
      <c r="I106" s="134">
        <f t="shared" si="12"/>
        <v>7.9440931477638745</v>
      </c>
      <c r="J106" s="134">
        <f t="shared" si="13"/>
        <v>63.108615940348948</v>
      </c>
      <c r="K106" s="135">
        <v>317775</v>
      </c>
      <c r="L106" s="135">
        <v>3324</v>
      </c>
      <c r="M106" s="135">
        <v>53.624908176527086</v>
      </c>
      <c r="N106" s="135">
        <v>3.4156636718087805</v>
      </c>
      <c r="O106" s="135">
        <v>7.8219013237063786E-3</v>
      </c>
      <c r="P106" s="135">
        <v>2818.8749988671848</v>
      </c>
      <c r="Q106" s="135">
        <v>673490.00000500004</v>
      </c>
    </row>
    <row r="107" spans="1:17" x14ac:dyDescent="0.3">
      <c r="A107" s="108" t="str">
        <f>'Actual costs'!A108</f>
        <v>PRT</v>
      </c>
      <c r="B107" s="108">
        <f>'Actual costs'!B108</f>
        <v>2018</v>
      </c>
      <c r="C107" s="108" t="str">
        <f>'Actual costs'!C108</f>
        <v>PRT18</v>
      </c>
      <c r="D107" s="129">
        <f t="shared" si="7"/>
        <v>12.67546984093207</v>
      </c>
      <c r="E107" s="130">
        <f t="shared" si="8"/>
        <v>8.1128274787513739</v>
      </c>
      <c r="F107" s="131">
        <f t="shared" si="9"/>
        <v>56.799508132580634</v>
      </c>
      <c r="G107" s="132">
        <f t="shared" si="10"/>
        <v>1.263192513323502</v>
      </c>
      <c r="H107" s="133">
        <f t="shared" si="11"/>
        <v>-4.8547309407298922</v>
      </c>
      <c r="I107" s="134">
        <f t="shared" si="12"/>
        <v>7.949761796719149</v>
      </c>
      <c r="J107" s="134">
        <f t="shared" si="13"/>
        <v>63.198712624575272</v>
      </c>
      <c r="K107" s="135">
        <v>319806.00000000006</v>
      </c>
      <c r="L107" s="135">
        <v>3337</v>
      </c>
      <c r="M107" s="135">
        <v>56.799508132580634</v>
      </c>
      <c r="N107" s="135">
        <v>3.536694427365715</v>
      </c>
      <c r="O107" s="135">
        <v>7.7914294276296078E-3</v>
      </c>
      <c r="P107" s="135">
        <v>2834.8995876582203</v>
      </c>
      <c r="Q107" s="135">
        <v>677312.60451199999</v>
      </c>
    </row>
    <row r="108" spans="1:17" x14ac:dyDescent="0.3">
      <c r="A108" s="108" t="str">
        <f>'Actual costs'!A109</f>
        <v>SES</v>
      </c>
      <c r="B108" s="108">
        <f>'Actual costs'!B109</f>
        <v>2012</v>
      </c>
      <c r="C108" s="108" t="str">
        <f>'Actual costs'!C109</f>
        <v>SES12</v>
      </c>
      <c r="D108" s="129">
        <f t="shared" si="7"/>
        <v>12.54410794564521</v>
      </c>
      <c r="E108" s="130">
        <f t="shared" si="8"/>
        <v>8.1447372369150184</v>
      </c>
      <c r="F108" s="131">
        <f t="shared" si="9"/>
        <v>100</v>
      </c>
      <c r="G108" s="132">
        <f t="shared" si="10"/>
        <v>1.6230281771627604</v>
      </c>
      <c r="H108" s="133">
        <f t="shared" si="11"/>
        <v>-4.6482296754485386</v>
      </c>
      <c r="I108" s="134">
        <f t="shared" si="12"/>
        <v>7.8183184549801528</v>
      </c>
      <c r="J108" s="134">
        <f t="shared" si="13"/>
        <v>61.12610346348324</v>
      </c>
      <c r="K108" s="135">
        <v>280438</v>
      </c>
      <c r="L108" s="135">
        <v>3445.2</v>
      </c>
      <c r="M108" s="135">
        <v>100</v>
      </c>
      <c r="N108" s="135">
        <v>5.0684151607228536</v>
      </c>
      <c r="O108" s="135">
        <v>9.578544061302683E-3</v>
      </c>
      <c r="P108" s="135">
        <v>2485.7220382537344</v>
      </c>
      <c r="Q108" s="135">
        <v>636836.12000000011</v>
      </c>
    </row>
    <row r="109" spans="1:17" x14ac:dyDescent="0.3">
      <c r="A109" s="108" t="str">
        <f>'Actual costs'!A110</f>
        <v>SES</v>
      </c>
      <c r="B109" s="108">
        <f>'Actual costs'!B110</f>
        <v>2013</v>
      </c>
      <c r="C109" s="108" t="str">
        <f>'Actual costs'!C110</f>
        <v>SES13</v>
      </c>
      <c r="D109" s="129">
        <f t="shared" si="7"/>
        <v>12.549719085899387</v>
      </c>
      <c r="E109" s="130">
        <f t="shared" si="8"/>
        <v>8.1443598291214219</v>
      </c>
      <c r="F109" s="131">
        <f t="shared" si="9"/>
        <v>100</v>
      </c>
      <c r="G109" s="132">
        <f t="shared" si="10"/>
        <v>1.6256610490227155</v>
      </c>
      <c r="H109" s="133">
        <f t="shared" si="11"/>
        <v>-4.6478522676549421</v>
      </c>
      <c r="I109" s="134">
        <f t="shared" si="12"/>
        <v>7.8322897396931861</v>
      </c>
      <c r="J109" s="134">
        <f t="shared" si="13"/>
        <v>61.344762566503157</v>
      </c>
      <c r="K109" s="135">
        <v>282016</v>
      </c>
      <c r="L109" s="135">
        <v>3443.9</v>
      </c>
      <c r="M109" s="135">
        <v>100</v>
      </c>
      <c r="N109" s="135">
        <v>5.0817772309646179</v>
      </c>
      <c r="O109" s="135">
        <v>9.5821597607363748E-3</v>
      </c>
      <c r="P109" s="135">
        <v>2520.6945048372463</v>
      </c>
      <c r="Q109" s="135">
        <v>642929.82000000007</v>
      </c>
    </row>
    <row r="110" spans="1:17" x14ac:dyDescent="0.3">
      <c r="A110" s="108" t="str">
        <f>'Actual costs'!A111</f>
        <v>SES</v>
      </c>
      <c r="B110" s="108">
        <f>'Actual costs'!B111</f>
        <v>2014</v>
      </c>
      <c r="C110" s="108" t="str">
        <f>'Actual costs'!C111</f>
        <v>SES14</v>
      </c>
      <c r="D110" s="129">
        <f t="shared" si="7"/>
        <v>12.555926377811867</v>
      </c>
      <c r="E110" s="130">
        <f t="shared" si="8"/>
        <v>8.1486191618918227</v>
      </c>
      <c r="F110" s="131">
        <f t="shared" si="9"/>
        <v>99.999999999999972</v>
      </c>
      <c r="G110" s="132">
        <f t="shared" si="10"/>
        <v>1.6278275994116613</v>
      </c>
      <c r="H110" s="133">
        <f t="shared" si="11"/>
        <v>-4.6521116004253411</v>
      </c>
      <c r="I110" s="134">
        <f t="shared" si="12"/>
        <v>7.8442368738931023</v>
      </c>
      <c r="J110" s="134">
        <f t="shared" si="13"/>
        <v>61.53205213374423</v>
      </c>
      <c r="K110" s="135">
        <v>283772</v>
      </c>
      <c r="L110" s="135">
        <v>3458.6</v>
      </c>
      <c r="M110" s="135">
        <v>99.999999999999972</v>
      </c>
      <c r="N110" s="135">
        <v>5.0927990927990923</v>
      </c>
      <c r="O110" s="135">
        <v>9.5414329497484542E-3</v>
      </c>
      <c r="P110" s="135">
        <v>2550.990193340393</v>
      </c>
      <c r="Q110" s="135">
        <v>649670.76</v>
      </c>
    </row>
    <row r="111" spans="1:17" x14ac:dyDescent="0.3">
      <c r="A111" s="108" t="str">
        <f>'Actual costs'!A112</f>
        <v>SES</v>
      </c>
      <c r="B111" s="108">
        <f>'Actual costs'!B112</f>
        <v>2015</v>
      </c>
      <c r="C111" s="108" t="str">
        <f>'Actual costs'!C112</f>
        <v>SES15</v>
      </c>
      <c r="D111" s="129">
        <f t="shared" si="7"/>
        <v>12.562393026618928</v>
      </c>
      <c r="E111" s="130">
        <f t="shared" si="8"/>
        <v>8.1506699114226908</v>
      </c>
      <c r="F111" s="131">
        <f t="shared" si="9"/>
        <v>100</v>
      </c>
      <c r="G111" s="132">
        <f t="shared" si="10"/>
        <v>1.6274846457123471</v>
      </c>
      <c r="H111" s="133">
        <f t="shared" si="11"/>
        <v>-4.6541623499562101</v>
      </c>
      <c r="I111" s="134">
        <f t="shared" si="12"/>
        <v>7.8550696994123204</v>
      </c>
      <c r="J111" s="134">
        <f t="shared" si="13"/>
        <v>61.702119982625561</v>
      </c>
      <c r="K111" s="135">
        <v>285613</v>
      </c>
      <c r="L111" s="135">
        <v>3465.7</v>
      </c>
      <c r="M111" s="135">
        <v>100</v>
      </c>
      <c r="N111" s="135">
        <v>5.0910527979766043</v>
      </c>
      <c r="O111" s="135">
        <v>9.5218859104942728E-3</v>
      </c>
      <c r="P111" s="135">
        <v>2578.7748464452097</v>
      </c>
      <c r="Q111" s="135">
        <v>655946.65</v>
      </c>
    </row>
    <row r="112" spans="1:17" x14ac:dyDescent="0.3">
      <c r="A112" s="108" t="str">
        <f>'Actual costs'!A113</f>
        <v>SES</v>
      </c>
      <c r="B112" s="108">
        <f>'Actual costs'!B113</f>
        <v>2016</v>
      </c>
      <c r="C112" s="108" t="str">
        <f>'Actual costs'!C113</f>
        <v>SES16</v>
      </c>
      <c r="D112" s="129">
        <f t="shared" si="7"/>
        <v>12.567551034433226</v>
      </c>
      <c r="E112" s="130">
        <f t="shared" si="8"/>
        <v>8.1560224421872487</v>
      </c>
      <c r="F112" s="131">
        <f t="shared" si="9"/>
        <v>100</v>
      </c>
      <c r="G112" s="132">
        <f t="shared" si="10"/>
        <v>1.6268721403492101</v>
      </c>
      <c r="H112" s="133">
        <f t="shared" si="11"/>
        <v>-4.659514880720768</v>
      </c>
      <c r="I112" s="134">
        <f t="shared" si="12"/>
        <v>7.8647683393078767</v>
      </c>
      <c r="J112" s="134">
        <f t="shared" si="13"/>
        <v>61.854581030979574</v>
      </c>
      <c r="K112" s="135">
        <v>287090</v>
      </c>
      <c r="L112" s="135">
        <v>3484.2999999999997</v>
      </c>
      <c r="M112" s="135">
        <v>100</v>
      </c>
      <c r="N112" s="135">
        <v>5.0879354556257432</v>
      </c>
      <c r="O112" s="135">
        <v>9.4710558792296881E-3</v>
      </c>
      <c r="P112" s="135">
        <v>2603.9071325464242</v>
      </c>
      <c r="Q112" s="135">
        <v>660512.35</v>
      </c>
    </row>
    <row r="113" spans="1:17" x14ac:dyDescent="0.3">
      <c r="A113" s="108" t="str">
        <f>'Actual costs'!A114</f>
        <v>SES</v>
      </c>
      <c r="B113" s="108">
        <f>'Actual costs'!B114</f>
        <v>2017</v>
      </c>
      <c r="C113" s="108" t="str">
        <f>'Actual costs'!C114</f>
        <v>SES17</v>
      </c>
      <c r="D113" s="129">
        <f t="shared" si="7"/>
        <v>12.573032517803439</v>
      </c>
      <c r="E113" s="130">
        <f t="shared" si="8"/>
        <v>8.1532922023857655</v>
      </c>
      <c r="F113" s="131">
        <f t="shared" si="9"/>
        <v>100</v>
      </c>
      <c r="G113" s="132">
        <f t="shared" si="10"/>
        <v>1.6279644043126928</v>
      </c>
      <c r="H113" s="133">
        <f t="shared" si="11"/>
        <v>-4.6567846409192848</v>
      </c>
      <c r="I113" s="134">
        <f t="shared" si="12"/>
        <v>7.8746164426619796</v>
      </c>
      <c r="J113" s="134">
        <f t="shared" si="13"/>
        <v>62.009584119042408</v>
      </c>
      <c r="K113" s="135">
        <v>288668</v>
      </c>
      <c r="L113" s="135">
        <v>3474.8</v>
      </c>
      <c r="M113" s="135">
        <v>100</v>
      </c>
      <c r="N113" s="135">
        <v>5.0934958603344773</v>
      </c>
      <c r="O113" s="135">
        <v>9.4969494647173941E-3</v>
      </c>
      <c r="P113" s="135">
        <v>2629.6773647903983</v>
      </c>
      <c r="Q113" s="135">
        <v>665995.6</v>
      </c>
    </row>
    <row r="114" spans="1:17" x14ac:dyDescent="0.3">
      <c r="A114" s="108" t="str">
        <f>'Actual costs'!A115</f>
        <v>SES</v>
      </c>
      <c r="B114" s="108">
        <f>'Actual costs'!B115</f>
        <v>2018</v>
      </c>
      <c r="C114" s="108" t="str">
        <f>'Actual costs'!C115</f>
        <v>SES18</v>
      </c>
      <c r="D114" s="129">
        <f t="shared" si="7"/>
        <v>12.582287437143506</v>
      </c>
      <c r="E114" s="130">
        <f t="shared" si="8"/>
        <v>8.1559363379723937</v>
      </c>
      <c r="F114" s="131">
        <f t="shared" si="9"/>
        <v>100</v>
      </c>
      <c r="G114" s="132">
        <f t="shared" si="10"/>
        <v>1.625898394864477</v>
      </c>
      <c r="H114" s="133">
        <f t="shared" si="11"/>
        <v>-4.659428776505913</v>
      </c>
      <c r="I114" s="134">
        <f t="shared" si="12"/>
        <v>7.8793476268171192</v>
      </c>
      <c r="J114" s="134">
        <f t="shared" si="13"/>
        <v>62.084119024228571</v>
      </c>
      <c r="K114" s="135">
        <v>291352</v>
      </c>
      <c r="L114" s="135">
        <v>3484</v>
      </c>
      <c r="M114" s="135">
        <v>100</v>
      </c>
      <c r="N114" s="135">
        <v>5.0829835128064724</v>
      </c>
      <c r="O114" s="135">
        <v>9.4718714121699195E-3</v>
      </c>
      <c r="P114" s="135">
        <v>2642.1483306272007</v>
      </c>
      <c r="Q114" s="135">
        <v>669467</v>
      </c>
    </row>
    <row r="115" spans="1:17" x14ac:dyDescent="0.3">
      <c r="A115" s="108" t="str">
        <f>'Actual costs'!A116</f>
        <v>SEW</v>
      </c>
      <c r="B115" s="108">
        <f>'Actual costs'!B116</f>
        <v>2012</v>
      </c>
      <c r="C115" s="108" t="str">
        <f>'Actual costs'!C116</f>
        <v>SEW12</v>
      </c>
      <c r="D115" s="129">
        <f t="shared" si="7"/>
        <v>13.699465386347027</v>
      </c>
      <c r="E115" s="130">
        <f t="shared" si="8"/>
        <v>9.5718090077925577</v>
      </c>
      <c r="F115" s="131">
        <f t="shared" si="9"/>
        <v>83.202368627075046</v>
      </c>
      <c r="G115" s="132">
        <f t="shared" si="10"/>
        <v>1.4851290690256675</v>
      </c>
      <c r="H115" s="133">
        <f t="shared" si="11"/>
        <v>-4.3247849356320707</v>
      </c>
      <c r="I115" s="134">
        <f t="shared" si="12"/>
        <v>6.5103953304254221</v>
      </c>
      <c r="J115" s="134">
        <f t="shared" si="13"/>
        <v>42.38524735842514</v>
      </c>
      <c r="K115" s="135">
        <v>890435.00000000012</v>
      </c>
      <c r="L115" s="135">
        <v>14354.36</v>
      </c>
      <c r="M115" s="135">
        <v>83.202368627075046</v>
      </c>
      <c r="N115" s="135">
        <v>4.415535284838386</v>
      </c>
      <c r="O115" s="135">
        <v>1.3236396467693439E-2</v>
      </c>
      <c r="P115" s="135">
        <v>672.09206352006925</v>
      </c>
      <c r="Q115" s="135">
        <v>2281750.2418740001</v>
      </c>
    </row>
    <row r="116" spans="1:17" x14ac:dyDescent="0.3">
      <c r="A116" s="108" t="str">
        <f>'Actual costs'!A117</f>
        <v>SEW</v>
      </c>
      <c r="B116" s="108">
        <f>'Actual costs'!B117</f>
        <v>2013</v>
      </c>
      <c r="C116" s="108" t="str">
        <f>'Actual costs'!C117</f>
        <v>SEW13</v>
      </c>
      <c r="D116" s="129">
        <f t="shared" si="7"/>
        <v>13.706896979051283</v>
      </c>
      <c r="E116" s="130">
        <f t="shared" si="8"/>
        <v>9.5754507374960145</v>
      </c>
      <c r="F116" s="131">
        <f t="shared" si="9"/>
        <v>83.192662856727907</v>
      </c>
      <c r="G116" s="132">
        <f t="shared" si="10"/>
        <v>1.4846367833972927</v>
      </c>
      <c r="H116" s="133">
        <f t="shared" si="11"/>
        <v>-4.3284266653355292</v>
      </c>
      <c r="I116" s="134">
        <f t="shared" si="12"/>
        <v>6.5172877488497694</v>
      </c>
      <c r="J116" s="134">
        <f t="shared" si="13"/>
        <v>42.475039601307294</v>
      </c>
      <c r="K116" s="135">
        <v>897077</v>
      </c>
      <c r="L116" s="135">
        <v>14406.73</v>
      </c>
      <c r="M116" s="135">
        <v>83.192662856727907</v>
      </c>
      <c r="N116" s="135">
        <v>4.4133621152300488</v>
      </c>
      <c r="O116" s="135">
        <v>1.318828075489719E-2</v>
      </c>
      <c r="P116" s="135">
        <v>676.74040399352293</v>
      </c>
      <c r="Q116" s="135">
        <v>2302278.808987</v>
      </c>
    </row>
    <row r="117" spans="1:17" x14ac:dyDescent="0.3">
      <c r="A117" s="108" t="str">
        <f>'Actual costs'!A118</f>
        <v>SEW</v>
      </c>
      <c r="B117" s="108">
        <f>'Actual costs'!B118</f>
        <v>2014</v>
      </c>
      <c r="C117" s="108" t="str">
        <f>'Actual costs'!C118</f>
        <v>SEW14</v>
      </c>
      <c r="D117" s="129">
        <f t="shared" si="7"/>
        <v>13.712533865407755</v>
      </c>
      <c r="E117" s="130">
        <f t="shared" si="8"/>
        <v>9.5782233703535624</v>
      </c>
      <c r="F117" s="131">
        <f t="shared" si="9"/>
        <v>82.666888187300529</v>
      </c>
      <c r="G117" s="132">
        <f t="shared" si="10"/>
        <v>1.4864782334859241</v>
      </c>
      <c r="H117" s="133">
        <f t="shared" si="11"/>
        <v>-4.3311992981930771</v>
      </c>
      <c r="I117" s="134">
        <f t="shared" si="12"/>
        <v>6.522736081461753</v>
      </c>
      <c r="J117" s="134">
        <f t="shared" si="13"/>
        <v>42.546085988403021</v>
      </c>
      <c r="K117" s="135">
        <v>902148</v>
      </c>
      <c r="L117" s="135">
        <v>14446.73</v>
      </c>
      <c r="M117" s="135">
        <v>82.666888187300529</v>
      </c>
      <c r="N117" s="135">
        <v>4.4214965886030342</v>
      </c>
      <c r="O117" s="135">
        <v>1.3151765139931321E-2</v>
      </c>
      <c r="P117" s="135">
        <v>680.43757336501619</v>
      </c>
      <c r="Q117" s="135">
        <v>2321065.4785750001</v>
      </c>
    </row>
    <row r="118" spans="1:17" x14ac:dyDescent="0.3">
      <c r="A118" s="108" t="str">
        <f>'Actual costs'!A119</f>
        <v>SEW</v>
      </c>
      <c r="B118" s="108">
        <f>'Actual costs'!B119</f>
        <v>2015</v>
      </c>
      <c r="C118" s="108" t="str">
        <f>'Actual costs'!C119</f>
        <v>SEW15</v>
      </c>
      <c r="D118" s="129">
        <f t="shared" si="7"/>
        <v>13.802483067507985</v>
      </c>
      <c r="E118" s="130">
        <f t="shared" si="8"/>
        <v>9.5823059165661153</v>
      </c>
      <c r="F118" s="131">
        <f t="shared" si="9"/>
        <v>86.675201258016671</v>
      </c>
      <c r="G118" s="132">
        <f t="shared" si="10"/>
        <v>1.5221800356399899</v>
      </c>
      <c r="H118" s="133">
        <f t="shared" si="11"/>
        <v>-4.33528184440563</v>
      </c>
      <c r="I118" s="134">
        <f t="shared" si="12"/>
        <v>6.5309229223722856</v>
      </c>
      <c r="J118" s="134">
        <f t="shared" si="13"/>
        <v>42.652954217967753</v>
      </c>
      <c r="K118" s="135">
        <v>987057</v>
      </c>
      <c r="L118" s="135">
        <v>14505.83</v>
      </c>
      <c r="M118" s="135">
        <v>86.675201258016671</v>
      </c>
      <c r="N118" s="135">
        <v>4.5822036817979583</v>
      </c>
      <c r="O118" s="135">
        <v>1.3098181903414007E-2</v>
      </c>
      <c r="P118" s="135">
        <v>686.03107283114196</v>
      </c>
      <c r="Q118" s="135">
        <v>2343695.4632820003</v>
      </c>
    </row>
    <row r="119" spans="1:17" x14ac:dyDescent="0.3">
      <c r="A119" s="108" t="str">
        <f>'Actual costs'!A120</f>
        <v>SEW</v>
      </c>
      <c r="B119" s="108">
        <f>'Actual costs'!B120</f>
        <v>2016</v>
      </c>
      <c r="C119" s="108" t="str">
        <f>'Actual costs'!C120</f>
        <v>SEW16</v>
      </c>
      <c r="D119" s="129">
        <f t="shared" si="7"/>
        <v>13.807904706669873</v>
      </c>
      <c r="E119" s="130">
        <f t="shared" si="8"/>
        <v>9.584473039208639</v>
      </c>
      <c r="F119" s="131">
        <f t="shared" si="9"/>
        <v>86.753403815394222</v>
      </c>
      <c r="G119" s="132">
        <f t="shared" si="10"/>
        <v>1.5281336647404034</v>
      </c>
      <c r="H119" s="133">
        <f t="shared" si="11"/>
        <v>-4.337448967048152</v>
      </c>
      <c r="I119" s="134">
        <f t="shared" si="12"/>
        <v>6.5378414305843826</v>
      </c>
      <c r="J119" s="134">
        <f t="shared" si="13"/>
        <v>42.743370571465647</v>
      </c>
      <c r="K119" s="135">
        <v>992423</v>
      </c>
      <c r="L119" s="135">
        <v>14537.3</v>
      </c>
      <c r="M119" s="135">
        <v>86.753403815394222</v>
      </c>
      <c r="N119" s="135">
        <v>4.6095657940935517</v>
      </c>
      <c r="O119" s="135">
        <v>1.3069827271914318E-2</v>
      </c>
      <c r="P119" s="135">
        <v>690.79384107008798</v>
      </c>
      <c r="Q119" s="135">
        <v>2363341.8681390001</v>
      </c>
    </row>
    <row r="120" spans="1:17" x14ac:dyDescent="0.3">
      <c r="A120" s="108" t="str">
        <f>'Actual costs'!A121</f>
        <v>SEW</v>
      </c>
      <c r="B120" s="108">
        <f>'Actual costs'!B121</f>
        <v>2017</v>
      </c>
      <c r="C120" s="108" t="str">
        <f>'Actual costs'!C121</f>
        <v>SEW17</v>
      </c>
      <c r="D120" s="129">
        <f t="shared" si="7"/>
        <v>13.820121909321685</v>
      </c>
      <c r="E120" s="130">
        <f t="shared" si="8"/>
        <v>9.5864377729163088</v>
      </c>
      <c r="F120" s="131">
        <f t="shared" si="9"/>
        <v>87.119329228102814</v>
      </c>
      <c r="G120" s="132">
        <f t="shared" si="10"/>
        <v>1.529267879674344</v>
      </c>
      <c r="H120" s="133">
        <f t="shared" si="11"/>
        <v>-4.3394137007558236</v>
      </c>
      <c r="I120" s="134">
        <f t="shared" si="12"/>
        <v>6.5457914785773461</v>
      </c>
      <c r="J120" s="134">
        <f t="shared" si="13"/>
        <v>42.847386081015799</v>
      </c>
      <c r="K120" s="135">
        <v>1004622.0000000001</v>
      </c>
      <c r="L120" s="135">
        <v>14565.89</v>
      </c>
      <c r="M120" s="135">
        <v>87.119329228102814</v>
      </c>
      <c r="N120" s="135">
        <v>4.6147969985504993</v>
      </c>
      <c r="O120" s="135">
        <v>1.3044173751140508E-2</v>
      </c>
      <c r="P120" s="135">
        <v>696.30757343785172</v>
      </c>
      <c r="Q120" s="135">
        <v>2384130.4651729995</v>
      </c>
    </row>
    <row r="121" spans="1:17" x14ac:dyDescent="0.3">
      <c r="A121" s="108" t="str">
        <f>'Actual costs'!A122</f>
        <v>SEW</v>
      </c>
      <c r="B121" s="108">
        <f>'Actual costs'!B122</f>
        <v>2018</v>
      </c>
      <c r="C121" s="108" t="str">
        <f>'Actual costs'!C122</f>
        <v>SEW18</v>
      </c>
      <c r="D121" s="129">
        <f t="shared" si="7"/>
        <v>13.828602483490579</v>
      </c>
      <c r="E121" s="130">
        <f t="shared" si="8"/>
        <v>9.5902647412699196</v>
      </c>
      <c r="F121" s="131">
        <f t="shared" si="9"/>
        <v>87.632530365194782</v>
      </c>
      <c r="G121" s="132">
        <f t="shared" si="10"/>
        <v>1.5537541961974493</v>
      </c>
      <c r="H121" s="133">
        <f t="shared" si="11"/>
        <v>-4.3379913132232906</v>
      </c>
      <c r="I121" s="134">
        <f t="shared" si="12"/>
        <v>6.5474282490864875</v>
      </c>
      <c r="J121" s="134">
        <f t="shared" si="13"/>
        <v>42.868816676935744</v>
      </c>
      <c r="K121" s="135">
        <v>1013178</v>
      </c>
      <c r="L121" s="135">
        <v>14621.74</v>
      </c>
      <c r="M121" s="135">
        <v>87.632530365194782</v>
      </c>
      <c r="N121" s="135">
        <v>4.7291912093268884</v>
      </c>
      <c r="O121" s="135">
        <v>1.3062740822911638E-2</v>
      </c>
      <c r="P121" s="135">
        <v>697.44820235858867</v>
      </c>
      <c r="Q121" s="135">
        <v>2399285.542715</v>
      </c>
    </row>
    <row r="122" spans="1:17" x14ac:dyDescent="0.3">
      <c r="A122" s="108" t="str">
        <f>'Actual costs'!A123</f>
        <v>SSC</v>
      </c>
      <c r="B122" s="108">
        <f>'Actual costs'!B123</f>
        <v>2012</v>
      </c>
      <c r="C122" s="108" t="str">
        <f>'Actual costs'!C123</f>
        <v>SSC12</v>
      </c>
      <c r="D122" s="129">
        <f t="shared" si="7"/>
        <v>13.460668219492176</v>
      </c>
      <c r="E122" s="130">
        <f t="shared" si="8"/>
        <v>9.0298671060398465</v>
      </c>
      <c r="F122" s="131">
        <f t="shared" si="9"/>
        <v>60.482066034884497</v>
      </c>
      <c r="G122" s="132">
        <f t="shared" si="10"/>
        <v>1.2922385947473984</v>
      </c>
      <c r="H122" s="133">
        <f t="shared" si="11"/>
        <v>-4.7394076648914547</v>
      </c>
      <c r="I122" s="134">
        <f t="shared" si="12"/>
        <v>7.6816781606244158</v>
      </c>
      <c r="J122" s="134">
        <f t="shared" si="13"/>
        <v>59.008179363414108</v>
      </c>
      <c r="K122" s="135">
        <v>701284</v>
      </c>
      <c r="L122" s="135">
        <v>8348.7500000000018</v>
      </c>
      <c r="M122" s="135">
        <v>60.482066034884497</v>
      </c>
      <c r="N122" s="135">
        <v>3.6409280019543488</v>
      </c>
      <c r="O122" s="135">
        <v>8.7438239257373838E-3</v>
      </c>
      <c r="P122" s="135">
        <v>2168.2554012472478</v>
      </c>
      <c r="Q122" s="135">
        <v>1646603.9400000002</v>
      </c>
    </row>
    <row r="123" spans="1:17" x14ac:dyDescent="0.3">
      <c r="A123" s="108" t="str">
        <f>'Actual costs'!A124</f>
        <v>SSC</v>
      </c>
      <c r="B123" s="108">
        <f>'Actual costs'!B124</f>
        <v>2013</v>
      </c>
      <c r="C123" s="108" t="str">
        <f>'Actual costs'!C124</f>
        <v>SSC13</v>
      </c>
      <c r="D123" s="129">
        <f t="shared" si="7"/>
        <v>13.462844709708218</v>
      </c>
      <c r="E123" s="130">
        <f t="shared" si="8"/>
        <v>9.0317111899686164</v>
      </c>
      <c r="F123" s="131">
        <f t="shared" si="9"/>
        <v>64.888413698359898</v>
      </c>
      <c r="G123" s="132">
        <f t="shared" si="10"/>
        <v>1.330639828189458</v>
      </c>
      <c r="H123" s="133">
        <f t="shared" si="11"/>
        <v>-4.7412517488202255</v>
      </c>
      <c r="I123" s="134">
        <f t="shared" si="12"/>
        <v>7.6888817614899141</v>
      </c>
      <c r="J123" s="134">
        <f t="shared" si="13"/>
        <v>59.118902742172246</v>
      </c>
      <c r="K123" s="135">
        <v>702812</v>
      </c>
      <c r="L123" s="135">
        <v>8364.16</v>
      </c>
      <c r="M123" s="135">
        <v>64.888413698359898</v>
      </c>
      <c r="N123" s="135">
        <v>3.783463379820784</v>
      </c>
      <c r="O123" s="135">
        <v>8.7277144387481829E-3</v>
      </c>
      <c r="P123" s="135">
        <v>2183.9310404699754</v>
      </c>
      <c r="Q123" s="135">
        <v>1654214</v>
      </c>
    </row>
    <row r="124" spans="1:17" x14ac:dyDescent="0.3">
      <c r="A124" s="108" t="str">
        <f>'Actual costs'!A125</f>
        <v>SSC</v>
      </c>
      <c r="B124" s="108">
        <f>'Actual costs'!B125</f>
        <v>2014</v>
      </c>
      <c r="C124" s="108" t="str">
        <f>'Actual costs'!C125</f>
        <v>SSC14</v>
      </c>
      <c r="D124" s="129">
        <f t="shared" si="7"/>
        <v>13.479132516906519</v>
      </c>
      <c r="E124" s="130">
        <f t="shared" si="8"/>
        <v>9.0334957891404706</v>
      </c>
      <c r="F124" s="131">
        <f t="shared" si="9"/>
        <v>68.143643915565363</v>
      </c>
      <c r="G124" s="132">
        <f t="shared" si="10"/>
        <v>1.3777331285968155</v>
      </c>
      <c r="H124" s="133">
        <f t="shared" si="11"/>
        <v>-4.7430363479920796</v>
      </c>
      <c r="I124" s="134">
        <f t="shared" si="12"/>
        <v>7.6943831826589673</v>
      </c>
      <c r="J124" s="134">
        <f t="shared" si="13"/>
        <v>59.203532561585135</v>
      </c>
      <c r="K124" s="135">
        <v>714353</v>
      </c>
      <c r="L124" s="135">
        <v>8379.1</v>
      </c>
      <c r="M124" s="135">
        <v>68.143643915565363</v>
      </c>
      <c r="N124" s="135">
        <v>3.9659012418774902</v>
      </c>
      <c r="O124" s="135">
        <v>8.7121528565120357E-3</v>
      </c>
      <c r="P124" s="135">
        <v>2195.9788746464956</v>
      </c>
      <c r="Q124" s="135">
        <v>1662417.6250000002</v>
      </c>
    </row>
    <row r="125" spans="1:17" x14ac:dyDescent="0.3">
      <c r="A125" s="108" t="str">
        <f>'Actual costs'!A126</f>
        <v>SSC</v>
      </c>
      <c r="B125" s="108">
        <f>'Actual costs'!B126</f>
        <v>2015</v>
      </c>
      <c r="C125" s="108" t="str">
        <f>'Actual costs'!C126</f>
        <v>SSC15</v>
      </c>
      <c r="D125" s="129">
        <f t="shared" si="7"/>
        <v>13.489562942705406</v>
      </c>
      <c r="E125" s="130">
        <f t="shared" si="8"/>
        <v>9.0385325516490784</v>
      </c>
      <c r="F125" s="131">
        <f t="shared" si="9"/>
        <v>65.358253415038163</v>
      </c>
      <c r="G125" s="132">
        <f t="shared" si="10"/>
        <v>1.3497744350307799</v>
      </c>
      <c r="H125" s="133">
        <f t="shared" si="11"/>
        <v>-4.7344674584449082</v>
      </c>
      <c r="I125" s="134">
        <f t="shared" si="12"/>
        <v>7.7000591834638961</v>
      </c>
      <c r="J125" s="134">
        <f t="shared" si="13"/>
        <v>59.290911428846684</v>
      </c>
      <c r="K125" s="135">
        <v>721843</v>
      </c>
      <c r="L125" s="135">
        <v>8421.4100000000017</v>
      </c>
      <c r="M125" s="135">
        <v>65.358253415038163</v>
      </c>
      <c r="N125" s="135">
        <v>3.8565555287505435</v>
      </c>
      <c r="O125" s="135">
        <v>8.7871270962938501E-3</v>
      </c>
      <c r="P125" s="135">
        <v>2208.4786934385033</v>
      </c>
      <c r="Q125" s="135">
        <v>1673184.9249999998</v>
      </c>
    </row>
    <row r="126" spans="1:17" x14ac:dyDescent="0.3">
      <c r="A126" s="108" t="str">
        <f>'Actual costs'!A127</f>
        <v>SSC</v>
      </c>
      <c r="B126" s="108">
        <f>'Actual costs'!B127</f>
        <v>2016</v>
      </c>
      <c r="C126" s="108" t="str">
        <f>'Actual costs'!C127</f>
        <v>SSC16</v>
      </c>
      <c r="D126" s="129">
        <f t="shared" si="7"/>
        <v>13.493827618560386</v>
      </c>
      <c r="E126" s="130">
        <f t="shared" si="8"/>
        <v>9.0417560261513206</v>
      </c>
      <c r="F126" s="131">
        <f t="shared" si="9"/>
        <v>63.932961826915033</v>
      </c>
      <c r="G126" s="132">
        <f t="shared" si="10"/>
        <v>1.3416465574744141</v>
      </c>
      <c r="H126" s="133">
        <f t="shared" si="11"/>
        <v>-4.7376909329471513</v>
      </c>
      <c r="I126" s="134">
        <f t="shared" si="12"/>
        <v>7.7072426529807831</v>
      </c>
      <c r="J126" s="134">
        <f t="shared" si="13"/>
        <v>59.401589311926259</v>
      </c>
      <c r="K126" s="135">
        <v>724928.00000000012</v>
      </c>
      <c r="L126" s="135">
        <v>8448.6</v>
      </c>
      <c r="M126" s="135">
        <v>63.932961826915033</v>
      </c>
      <c r="N126" s="135">
        <v>3.8253369598405857</v>
      </c>
      <c r="O126" s="135">
        <v>8.7588476197239772E-3</v>
      </c>
      <c r="P126" s="135">
        <v>2224.4003507153352</v>
      </c>
      <c r="Q126" s="135">
        <v>1683827.1400000001</v>
      </c>
    </row>
    <row r="127" spans="1:17" x14ac:dyDescent="0.3">
      <c r="A127" s="108" t="str">
        <f>'Actual costs'!A128</f>
        <v>SSC</v>
      </c>
      <c r="B127" s="108">
        <f>'Actual costs'!B128</f>
        <v>2017</v>
      </c>
      <c r="C127" s="108" t="str">
        <f>'Actual costs'!C128</f>
        <v>SSC17</v>
      </c>
      <c r="D127" s="129">
        <f t="shared" si="7"/>
        <v>13.49922048444955</v>
      </c>
      <c r="E127" s="130">
        <f t="shared" si="8"/>
        <v>9.0475390496681349</v>
      </c>
      <c r="F127" s="131">
        <f t="shared" si="9"/>
        <v>69.656269358989718</v>
      </c>
      <c r="G127" s="132">
        <f t="shared" si="10"/>
        <v>1.4436256274540924</v>
      </c>
      <c r="H127" s="133">
        <f t="shared" si="11"/>
        <v>-4.7434739564639647</v>
      </c>
      <c r="I127" s="134">
        <f t="shared" si="12"/>
        <v>7.7150523905709845</v>
      </c>
      <c r="J127" s="134">
        <f t="shared" si="13"/>
        <v>59.522033389255064</v>
      </c>
      <c r="K127" s="135">
        <v>728848.00000000012</v>
      </c>
      <c r="L127" s="135">
        <v>8497.6</v>
      </c>
      <c r="M127" s="135">
        <v>69.656269358989718</v>
      </c>
      <c r="N127" s="135">
        <v>4.236026262073862</v>
      </c>
      <c r="O127" s="135">
        <v>8.7083411786857464E-3</v>
      </c>
      <c r="P127" s="135">
        <v>2241.8403460017589</v>
      </c>
      <c r="Q127" s="135">
        <v>1694846.875</v>
      </c>
    </row>
    <row r="128" spans="1:17" x14ac:dyDescent="0.3">
      <c r="A128" s="108" t="str">
        <f>'Actual costs'!A129</f>
        <v>SSC</v>
      </c>
      <c r="B128" s="108">
        <f>'Actual costs'!B129</f>
        <v>2018</v>
      </c>
      <c r="C128" s="108" t="str">
        <f>'Actual costs'!C129</f>
        <v>SSC18</v>
      </c>
      <c r="D128" s="129">
        <f t="shared" si="7"/>
        <v>13.508792444314095</v>
      </c>
      <c r="E128" s="130">
        <f t="shared" si="8"/>
        <v>9.0467514584849393</v>
      </c>
      <c r="F128" s="131">
        <f t="shared" si="9"/>
        <v>72.1401977147259</v>
      </c>
      <c r="G128" s="132">
        <f t="shared" si="10"/>
        <v>1.5904449713760107</v>
      </c>
      <c r="H128" s="133">
        <f t="shared" si="11"/>
        <v>-4.7426863652807691</v>
      </c>
      <c r="I128" s="134">
        <f t="shared" si="12"/>
        <v>7.7218013472658438</v>
      </c>
      <c r="J128" s="134">
        <f t="shared" si="13"/>
        <v>59.6262160466366</v>
      </c>
      <c r="K128" s="135">
        <v>735858</v>
      </c>
      <c r="L128" s="135">
        <v>8490.91</v>
      </c>
      <c r="M128" s="135">
        <v>72.1401977147259</v>
      </c>
      <c r="N128" s="135">
        <v>4.9059314417768656</v>
      </c>
      <c r="O128" s="135">
        <v>8.7152024930190058E-3</v>
      </c>
      <c r="P128" s="135">
        <v>2257.0216006051942</v>
      </c>
      <c r="Q128" s="135">
        <v>1705574.4350000001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sheetPr>
  <dimension ref="A1"/>
  <sheetViews>
    <sheetView showGridLines="0" workbookViewId="0"/>
  </sheetViews>
  <sheetFormatPr defaultRowHeight="14" x14ac:dyDescent="0.3"/>
  <sheetData>
    <row r="1" spans="1:1" x14ac:dyDescent="0.3">
      <c r="A1" s="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128"/>
  <sheetViews>
    <sheetView showGridLines="0" zoomScale="80" zoomScaleNormal="80" workbookViewId="0">
      <pane xSplit="1" ySplit="4" topLeftCell="B5" activePane="bottomRight" state="frozen"/>
      <selection pane="topRight" activeCell="B1" sqref="B1"/>
      <selection pane="bottomLeft" activeCell="A7" sqref="A7"/>
      <selection pane="bottomRight"/>
    </sheetView>
  </sheetViews>
  <sheetFormatPr defaultColWidth="8.58203125" defaultRowHeight="13" x14ac:dyDescent="0.3"/>
  <cols>
    <col min="1" max="1" width="11.08203125" style="79" bestFit="1" customWidth="1"/>
    <col min="2" max="3" width="11.08203125" style="79" customWidth="1"/>
    <col min="4" max="4" width="12.1640625" style="79" customWidth="1"/>
    <col min="5" max="5" width="11.5" style="79" customWidth="1"/>
    <col min="6" max="6" width="11.58203125" style="79" customWidth="1"/>
    <col min="7" max="7" width="11.08203125" style="79" customWidth="1"/>
    <col min="8" max="8" width="11.1640625" style="79" customWidth="1"/>
    <col min="9" max="9" width="2.58203125" style="79" customWidth="1"/>
    <col min="10" max="12" width="8.6640625" style="79" customWidth="1"/>
    <col min="13" max="13" width="2.58203125" style="79" customWidth="1"/>
    <col min="14" max="14" width="8.08203125" style="79" bestFit="1" customWidth="1"/>
    <col min="15" max="15" width="7.58203125" style="79" bestFit="1" customWidth="1"/>
    <col min="16" max="16" width="9.08203125" style="79" bestFit="1" customWidth="1"/>
    <col min="17" max="16384" width="8.58203125" style="79"/>
  </cols>
  <sheetData>
    <row r="1" spans="1:20" s="3" customFormat="1" ht="21" x14ac:dyDescent="0.3">
      <c r="A1" s="2" t="s">
        <v>120</v>
      </c>
      <c r="F1" s="4"/>
      <c r="G1" s="4"/>
      <c r="H1" s="4"/>
      <c r="I1" s="4"/>
      <c r="J1" s="4"/>
      <c r="K1" s="4"/>
      <c r="L1" s="6"/>
      <c r="M1" s="4"/>
      <c r="N1" s="6"/>
      <c r="O1" s="4"/>
      <c r="P1" s="4"/>
      <c r="Q1" s="4"/>
      <c r="R1" s="4"/>
      <c r="S1" s="4"/>
      <c r="T1" s="4"/>
    </row>
    <row r="2" spans="1:20" s="3" customFormat="1" ht="15.5" x14ac:dyDescent="0.3">
      <c r="A2" s="7" t="s">
        <v>96</v>
      </c>
      <c r="D2" s="112">
        <f>INDEX(Controls!$B$5:$C$9,MATCH(D4,Controls!$B$5:$B$9,0),2)</f>
        <v>0.5</v>
      </c>
      <c r="E2" s="112">
        <f>INDEX(Controls!$B$5:$C$9,MATCH(E4,Controls!$B$5:$B$9,0),2)</f>
        <v>0.5</v>
      </c>
      <c r="F2" s="112">
        <f>INDEX(Controls!$B$5:$C$9,MATCH(F4,Controls!$B$5:$B$9,0),2)</f>
        <v>1</v>
      </c>
      <c r="G2" s="112">
        <f>INDEX(Controls!$B$5:$C$9,MATCH(G4,Controls!$B$5:$B$9,0),2)</f>
        <v>0.5</v>
      </c>
      <c r="H2" s="112">
        <f>INDEX(Controls!$B$5:$C$9,MATCH(H4,Controls!$B$5:$B$9,0),2)</f>
        <v>0.5</v>
      </c>
      <c r="I2" s="4"/>
      <c r="J2" s="4"/>
      <c r="K2" s="4"/>
      <c r="L2" s="6"/>
      <c r="M2" s="4"/>
      <c r="N2" s="112">
        <f>INDEX(Controls!$B$11:$C$12,MATCH(N4,Controls!$B$11:$B$12,0),2)</f>
        <v>0.5</v>
      </c>
      <c r="O2" s="112">
        <f>INDEX(Controls!$B$11:$C$12,MATCH(O4,Controls!$B$11:$B$12,0),2)</f>
        <v>0.5</v>
      </c>
      <c r="P2" s="4"/>
      <c r="Q2" s="4"/>
      <c r="R2" s="4"/>
      <c r="S2" s="4"/>
      <c r="T2" s="4"/>
    </row>
    <row r="3" spans="1:20" s="3" customFormat="1" ht="15" thickBot="1" x14ac:dyDescent="0.35">
      <c r="A3" s="8"/>
      <c r="F3" s="4"/>
      <c r="G3" s="4"/>
      <c r="H3" s="4"/>
      <c r="I3" s="4"/>
      <c r="J3" s="4"/>
      <c r="K3" s="4"/>
      <c r="L3" s="6"/>
      <c r="M3" s="4"/>
      <c r="N3" s="6"/>
      <c r="O3" s="4"/>
      <c r="P3" s="4"/>
      <c r="Q3" s="4"/>
      <c r="R3" s="4"/>
      <c r="S3" s="4"/>
      <c r="T3" s="4"/>
    </row>
    <row r="4" spans="1:20" ht="52" x14ac:dyDescent="0.3">
      <c r="A4" s="146" t="str">
        <f>'Actual costs'!A5</f>
        <v>Company</v>
      </c>
      <c r="B4" s="147" t="str">
        <f>'Actual costs'!B5</f>
        <v>financialyear</v>
      </c>
      <c r="C4" s="147" t="str">
        <f>'Actual costs'!C5</f>
        <v>Unique id</v>
      </c>
      <c r="D4" s="147" t="s">
        <v>43</v>
      </c>
      <c r="E4" s="147" t="s">
        <v>44</v>
      </c>
      <c r="F4" s="147" t="s">
        <v>48</v>
      </c>
      <c r="G4" s="147" t="s">
        <v>49</v>
      </c>
      <c r="H4" s="148" t="s">
        <v>50</v>
      </c>
      <c r="J4" s="146" t="s">
        <v>39</v>
      </c>
      <c r="K4" s="148" t="s">
        <v>40</v>
      </c>
      <c r="L4" s="149" t="s">
        <v>113</v>
      </c>
      <c r="N4" s="146" t="s">
        <v>103</v>
      </c>
      <c r="O4" s="147" t="s">
        <v>104</v>
      </c>
      <c r="P4" s="148" t="s">
        <v>123</v>
      </c>
    </row>
    <row r="5" spans="1:20" x14ac:dyDescent="0.3">
      <c r="A5" s="98" t="str">
        <f>'Actual costs'!A6</f>
        <v>ANH</v>
      </c>
      <c r="B5" s="64">
        <f>'Actual costs'!B6</f>
        <v>2012</v>
      </c>
      <c r="C5" s="64" t="str">
        <f>'Actual costs'!C6</f>
        <v>ANH12</v>
      </c>
      <c r="D5" s="99">
        <f>EXP('Model coeffs'!$D$12+('Model coeffs'!$D$5*'Cost drivers'!D5)+('Model coeffs'!$D$6*'Cost drivers'!F5)+('Model coeffs'!$D$8*'Cost drivers'!I5)+('Model coeffs'!$D$9*'Cost drivers'!J5))</f>
        <v>113.39221111710431</v>
      </c>
      <c r="E5" s="99">
        <f>EXP('Model coeffs'!$E$12+('Model coeffs'!$E$5*'Cost drivers'!D5)+('Model coeffs'!$E$7*'Cost drivers'!G5)+('Model coeffs'!$E$8*'Cost drivers'!I5)+('Model coeffs'!$E$9*'Cost drivers'!J5))</f>
        <v>122.92843158425482</v>
      </c>
      <c r="F5" s="99">
        <f>EXP('Model coeffs'!$F$12+('Model coeffs'!$F$8*'Cost drivers'!I5)+('Model coeffs'!$F$9*'Cost drivers'!J5)+('Model coeffs'!$F$10*'Cost drivers'!E5)+('Model coeffs'!$F$11*'Cost drivers'!H5))</f>
        <v>122.53552859998034</v>
      </c>
      <c r="G5" s="99">
        <f>EXP('Model coeffs'!$G$12+('Model coeffs'!$G$5*'Cost drivers'!D5)+('Model coeffs'!$G$6*'Cost drivers'!F5)+('Model coeffs'!$G$8*'Cost drivers'!I5)+('Model coeffs'!$G$9*'Cost drivers'!J5)+('Model coeffs'!$G$11*'Cost drivers'!H5))</f>
        <v>209.72566872257991</v>
      </c>
      <c r="H5" s="100">
        <f>EXP('Model coeffs'!$H$12+('Model coeffs'!$H$5*'Cost drivers'!D5)+('Model coeffs'!$H$7*'Cost drivers'!G5)+('Model coeffs'!$H$8*'Cost drivers'!I5)+('Model coeffs'!$H$9*'Cost drivers'!J5)+('Model coeffs'!$H$11*'Cost drivers'!H5))</f>
        <v>217.29581769971588</v>
      </c>
      <c r="I5" s="83"/>
      <c r="J5" s="151">
        <f>D5*$D$2+E5*$E$2</f>
        <v>118.16032135067957</v>
      </c>
      <c r="K5" s="100">
        <f>F5*$F$2</f>
        <v>122.53552859998034</v>
      </c>
      <c r="L5" s="150">
        <f>G5*$G$2+H5*$H$2</f>
        <v>213.51074321114788</v>
      </c>
      <c r="M5" s="83"/>
      <c r="N5" s="151">
        <f>J5+K5</f>
        <v>240.69584995065992</v>
      </c>
      <c r="O5" s="99">
        <f>L5</f>
        <v>213.51074321114788</v>
      </c>
      <c r="P5" s="100">
        <f>N5*$N$2+O5*$O$2</f>
        <v>227.1032965809039</v>
      </c>
    </row>
    <row r="6" spans="1:20" x14ac:dyDescent="0.3">
      <c r="A6" s="98" t="str">
        <f>'Actual costs'!A7</f>
        <v>ANH</v>
      </c>
      <c r="B6" s="64">
        <f>'Actual costs'!B7</f>
        <v>2013</v>
      </c>
      <c r="C6" s="64" t="str">
        <f>'Actual costs'!C7</f>
        <v>ANH13</v>
      </c>
      <c r="D6" s="99">
        <f>EXP('Model coeffs'!$D$12+('Model coeffs'!$D$5*'Cost drivers'!D6)+('Model coeffs'!$D$6*'Cost drivers'!F6)+('Model coeffs'!$D$8*'Cost drivers'!I6)+('Model coeffs'!$D$9*'Cost drivers'!J6))</f>
        <v>114.81533923077399</v>
      </c>
      <c r="E6" s="99">
        <f>EXP('Model coeffs'!$E$12+('Model coeffs'!$E$5*'Cost drivers'!D6)+('Model coeffs'!$E$7*'Cost drivers'!G6)+('Model coeffs'!$E$8*'Cost drivers'!I6)+('Model coeffs'!$E$9*'Cost drivers'!J6))</f>
        <v>124.26261706288962</v>
      </c>
      <c r="F6" s="99">
        <f>EXP('Model coeffs'!$F$12+('Model coeffs'!$F$8*'Cost drivers'!I6)+('Model coeffs'!$F$9*'Cost drivers'!J6)+('Model coeffs'!$F$10*'Cost drivers'!E6)+('Model coeffs'!$F$11*'Cost drivers'!H6))</f>
        <v>122.79099656051632</v>
      </c>
      <c r="G6" s="99">
        <f>EXP('Model coeffs'!$G$12+('Model coeffs'!$G$5*'Cost drivers'!D6)+('Model coeffs'!$G$6*'Cost drivers'!F6)+('Model coeffs'!$G$8*'Cost drivers'!I6)+('Model coeffs'!$G$9*'Cost drivers'!J6)+('Model coeffs'!$G$11*'Cost drivers'!H6))</f>
        <v>211.14074146075041</v>
      </c>
      <c r="H6" s="100">
        <f>EXP('Model coeffs'!$H$12+('Model coeffs'!$H$5*'Cost drivers'!D6)+('Model coeffs'!$H$7*'Cost drivers'!G6)+('Model coeffs'!$H$8*'Cost drivers'!I6)+('Model coeffs'!$H$9*'Cost drivers'!J6)+('Model coeffs'!$H$11*'Cost drivers'!H6))</f>
        <v>219.18937487125137</v>
      </c>
      <c r="I6" s="83"/>
      <c r="J6" s="151">
        <f t="shared" ref="J6:J69" si="0">D6*$D$2+E6*$E$2</f>
        <v>119.53897814683179</v>
      </c>
      <c r="K6" s="100">
        <f t="shared" ref="K6:K69" si="1">F6*$F$2</f>
        <v>122.79099656051632</v>
      </c>
      <c r="L6" s="150">
        <f t="shared" ref="L6:L69" si="2">G6*$G$2+H6*$H$2</f>
        <v>215.1650581660009</v>
      </c>
      <c r="M6" s="83"/>
      <c r="N6" s="151">
        <f t="shared" ref="N6:N69" si="3">J6+K6</f>
        <v>242.32997470734813</v>
      </c>
      <c r="O6" s="99">
        <f t="shared" ref="O6:O69" si="4">L6</f>
        <v>215.1650581660009</v>
      </c>
      <c r="P6" s="100">
        <f t="shared" ref="P6:P69" si="5">N6*$N$2+O6*$O$2</f>
        <v>228.74751643667452</v>
      </c>
    </row>
    <row r="7" spans="1:20" x14ac:dyDescent="0.3">
      <c r="A7" s="98" t="str">
        <f>'Actual costs'!A8</f>
        <v>ANH</v>
      </c>
      <c r="B7" s="64">
        <f>'Actual costs'!B8</f>
        <v>2014</v>
      </c>
      <c r="C7" s="64" t="str">
        <f>'Actual costs'!C8</f>
        <v>ANH14</v>
      </c>
      <c r="D7" s="99">
        <f>EXP('Model coeffs'!$D$12+('Model coeffs'!$D$5*'Cost drivers'!D7)+('Model coeffs'!$D$6*'Cost drivers'!F7)+('Model coeffs'!$D$8*'Cost drivers'!I7)+('Model coeffs'!$D$9*'Cost drivers'!J7))</f>
        <v>117.49606385749621</v>
      </c>
      <c r="E7" s="99">
        <f>EXP('Model coeffs'!$E$12+('Model coeffs'!$E$5*'Cost drivers'!D7)+('Model coeffs'!$E$7*'Cost drivers'!G7)+('Model coeffs'!$E$8*'Cost drivers'!I7)+('Model coeffs'!$E$9*'Cost drivers'!J7))</f>
        <v>125.78164594888135</v>
      </c>
      <c r="F7" s="99">
        <f>EXP('Model coeffs'!$F$12+('Model coeffs'!$F$8*'Cost drivers'!I7)+('Model coeffs'!$F$9*'Cost drivers'!J7)+('Model coeffs'!$F$10*'Cost drivers'!E7)+('Model coeffs'!$F$11*'Cost drivers'!H7))</f>
        <v>123.28646047565249</v>
      </c>
      <c r="G7" s="99">
        <f>EXP('Model coeffs'!$G$12+('Model coeffs'!$G$5*'Cost drivers'!D7)+('Model coeffs'!$G$6*'Cost drivers'!F7)+('Model coeffs'!$G$8*'Cost drivers'!I7)+('Model coeffs'!$G$9*'Cost drivers'!J7)+('Model coeffs'!$G$11*'Cost drivers'!H7))</f>
        <v>214.38964945913551</v>
      </c>
      <c r="H7" s="100">
        <f>EXP('Model coeffs'!$H$12+('Model coeffs'!$H$5*'Cost drivers'!D7)+('Model coeffs'!$H$7*'Cost drivers'!G7)+('Model coeffs'!$H$8*'Cost drivers'!I7)+('Model coeffs'!$H$9*'Cost drivers'!J7)+('Model coeffs'!$H$11*'Cost drivers'!H7))</f>
        <v>222.21326269536158</v>
      </c>
      <c r="I7" s="83"/>
      <c r="J7" s="151">
        <f t="shared" si="0"/>
        <v>121.63885490318879</v>
      </c>
      <c r="K7" s="100">
        <f t="shared" si="1"/>
        <v>123.28646047565249</v>
      </c>
      <c r="L7" s="150">
        <f t="shared" si="2"/>
        <v>218.30145607724853</v>
      </c>
      <c r="M7" s="83"/>
      <c r="N7" s="151">
        <f t="shared" si="3"/>
        <v>244.92531537884128</v>
      </c>
      <c r="O7" s="99">
        <f t="shared" si="4"/>
        <v>218.30145607724853</v>
      </c>
      <c r="P7" s="100">
        <f t="shared" si="5"/>
        <v>231.6133857280449</v>
      </c>
    </row>
    <row r="8" spans="1:20" x14ac:dyDescent="0.3">
      <c r="A8" s="98" t="str">
        <f>'Actual costs'!A9</f>
        <v>ANH</v>
      </c>
      <c r="B8" s="64">
        <f>'Actual costs'!B9</f>
        <v>2015</v>
      </c>
      <c r="C8" s="64" t="str">
        <f>'Actual costs'!C9</f>
        <v>ANH15</v>
      </c>
      <c r="D8" s="99">
        <f>EXP('Model coeffs'!$D$12+('Model coeffs'!$D$5*'Cost drivers'!D8)+('Model coeffs'!$D$6*'Cost drivers'!F8)+('Model coeffs'!$D$8*'Cost drivers'!I8)+('Model coeffs'!$D$9*'Cost drivers'!J8))</f>
        <v>117.52433044748169</v>
      </c>
      <c r="E8" s="99">
        <f>EXP('Model coeffs'!$E$12+('Model coeffs'!$E$5*'Cost drivers'!D8)+('Model coeffs'!$E$7*'Cost drivers'!G8)+('Model coeffs'!$E$8*'Cost drivers'!I8)+('Model coeffs'!$E$9*'Cost drivers'!J8))</f>
        <v>126.46712686959809</v>
      </c>
      <c r="F8" s="99">
        <f>EXP('Model coeffs'!$F$12+('Model coeffs'!$F$8*'Cost drivers'!I8)+('Model coeffs'!$F$9*'Cost drivers'!J8)+('Model coeffs'!$F$10*'Cost drivers'!E8)+('Model coeffs'!$F$11*'Cost drivers'!H8))</f>
        <v>123.70766157205519</v>
      </c>
      <c r="G8" s="99">
        <f>EXP('Model coeffs'!$G$12+('Model coeffs'!$G$5*'Cost drivers'!D8)+('Model coeffs'!$G$6*'Cost drivers'!F8)+('Model coeffs'!$G$8*'Cost drivers'!I8)+('Model coeffs'!$G$9*'Cost drivers'!J8)+('Model coeffs'!$G$11*'Cost drivers'!H8))</f>
        <v>215.98038373134787</v>
      </c>
      <c r="H8" s="100">
        <f>EXP('Model coeffs'!$H$12+('Model coeffs'!$H$5*'Cost drivers'!D8)+('Model coeffs'!$H$7*'Cost drivers'!G8)+('Model coeffs'!$H$8*'Cost drivers'!I8)+('Model coeffs'!$H$9*'Cost drivers'!J8)+('Model coeffs'!$H$11*'Cost drivers'!H8))</f>
        <v>224.22029190404712</v>
      </c>
      <c r="I8" s="83"/>
      <c r="J8" s="151">
        <f t="shared" si="0"/>
        <v>121.99572865853989</v>
      </c>
      <c r="K8" s="100">
        <f t="shared" si="1"/>
        <v>123.70766157205519</v>
      </c>
      <c r="L8" s="150">
        <f t="shared" si="2"/>
        <v>220.10033781769749</v>
      </c>
      <c r="M8" s="83"/>
      <c r="N8" s="151">
        <f t="shared" si="3"/>
        <v>245.70339023059506</v>
      </c>
      <c r="O8" s="99">
        <f t="shared" si="4"/>
        <v>220.10033781769749</v>
      </c>
      <c r="P8" s="100">
        <f t="shared" si="5"/>
        <v>232.90186402414628</v>
      </c>
    </row>
    <row r="9" spans="1:20" x14ac:dyDescent="0.3">
      <c r="A9" s="98" t="str">
        <f>'Actual costs'!A10</f>
        <v>ANH</v>
      </c>
      <c r="B9" s="64">
        <f>'Actual costs'!B10</f>
        <v>2016</v>
      </c>
      <c r="C9" s="64" t="str">
        <f>'Actual costs'!C10</f>
        <v>ANH16</v>
      </c>
      <c r="D9" s="99">
        <f>EXP('Model coeffs'!$D$12+('Model coeffs'!$D$5*'Cost drivers'!D9)+('Model coeffs'!$D$6*'Cost drivers'!F9)+('Model coeffs'!$D$8*'Cost drivers'!I9)+('Model coeffs'!$D$9*'Cost drivers'!J9))</f>
        <v>117.37761809288681</v>
      </c>
      <c r="E9" s="99">
        <f>EXP('Model coeffs'!$E$12+('Model coeffs'!$E$5*'Cost drivers'!D9)+('Model coeffs'!$E$7*'Cost drivers'!G9)+('Model coeffs'!$E$8*'Cost drivers'!I9)+('Model coeffs'!$E$9*'Cost drivers'!J9))</f>
        <v>127.23726639651832</v>
      </c>
      <c r="F9" s="99">
        <f>EXP('Model coeffs'!$F$12+('Model coeffs'!$F$8*'Cost drivers'!I9)+('Model coeffs'!$F$9*'Cost drivers'!J9)+('Model coeffs'!$F$10*'Cost drivers'!E9)+('Model coeffs'!$F$11*'Cost drivers'!H9))</f>
        <v>125.44656737524285</v>
      </c>
      <c r="G9" s="99">
        <f>EXP('Model coeffs'!$G$12+('Model coeffs'!$G$5*'Cost drivers'!D9)+('Model coeffs'!$G$6*'Cost drivers'!F9)+('Model coeffs'!$G$8*'Cost drivers'!I9)+('Model coeffs'!$G$9*'Cost drivers'!J9)+('Model coeffs'!$G$11*'Cost drivers'!H9))</f>
        <v>219.42071733938639</v>
      </c>
      <c r="H9" s="100">
        <f>EXP('Model coeffs'!$H$12+('Model coeffs'!$H$5*'Cost drivers'!D9)+('Model coeffs'!$H$7*'Cost drivers'!G9)+('Model coeffs'!$H$8*'Cost drivers'!I9)+('Model coeffs'!$H$9*'Cost drivers'!J9)+('Model coeffs'!$H$11*'Cost drivers'!H9))</f>
        <v>228.54247379279948</v>
      </c>
      <c r="I9" s="83"/>
      <c r="J9" s="151">
        <f t="shared" si="0"/>
        <v>122.30744224470257</v>
      </c>
      <c r="K9" s="100">
        <f t="shared" si="1"/>
        <v>125.44656737524285</v>
      </c>
      <c r="L9" s="150">
        <f t="shared" si="2"/>
        <v>223.98159556609295</v>
      </c>
      <c r="M9" s="83"/>
      <c r="N9" s="151">
        <f t="shared" si="3"/>
        <v>247.75400961994541</v>
      </c>
      <c r="O9" s="99">
        <f t="shared" si="4"/>
        <v>223.98159556609295</v>
      </c>
      <c r="P9" s="100">
        <f t="shared" si="5"/>
        <v>235.86780259301918</v>
      </c>
    </row>
    <row r="10" spans="1:20" x14ac:dyDescent="0.3">
      <c r="A10" s="98" t="str">
        <f>'Actual costs'!A11</f>
        <v>ANH</v>
      </c>
      <c r="B10" s="64">
        <f>'Actual costs'!B11</f>
        <v>2017</v>
      </c>
      <c r="C10" s="64" t="str">
        <f>'Actual costs'!C11</f>
        <v>ANH17</v>
      </c>
      <c r="D10" s="99">
        <f>EXP('Model coeffs'!$D$12+('Model coeffs'!$D$5*'Cost drivers'!D10)+('Model coeffs'!$D$6*'Cost drivers'!F10)+('Model coeffs'!$D$8*'Cost drivers'!I10)+('Model coeffs'!$D$9*'Cost drivers'!J10))</f>
        <v>119.78181095649619</v>
      </c>
      <c r="E10" s="99">
        <f>EXP('Model coeffs'!$E$12+('Model coeffs'!$E$5*'Cost drivers'!D10)+('Model coeffs'!$E$7*'Cost drivers'!G10)+('Model coeffs'!$E$8*'Cost drivers'!I10)+('Model coeffs'!$E$9*'Cost drivers'!J10))</f>
        <v>128.3156967026045</v>
      </c>
      <c r="F10" s="99">
        <f>EXP('Model coeffs'!$F$12+('Model coeffs'!$F$8*'Cost drivers'!I10)+('Model coeffs'!$F$9*'Cost drivers'!J10)+('Model coeffs'!$F$10*'Cost drivers'!E10)+('Model coeffs'!$F$11*'Cost drivers'!H10))</f>
        <v>125.87899068518639</v>
      </c>
      <c r="G10" s="99">
        <f>EXP('Model coeffs'!$G$12+('Model coeffs'!$G$5*'Cost drivers'!D10)+('Model coeffs'!$G$6*'Cost drivers'!F10)+('Model coeffs'!$G$8*'Cost drivers'!I10)+('Model coeffs'!$G$9*'Cost drivers'!J10)+('Model coeffs'!$G$11*'Cost drivers'!H10))</f>
        <v>221.24812823937708</v>
      </c>
      <c r="H10" s="100">
        <f>EXP('Model coeffs'!$H$12+('Model coeffs'!$H$5*'Cost drivers'!D10)+('Model coeffs'!$H$7*'Cost drivers'!G10)+('Model coeffs'!$H$8*'Cost drivers'!I10)+('Model coeffs'!$H$9*'Cost drivers'!J10)+('Model coeffs'!$H$11*'Cost drivers'!H10))</f>
        <v>230.18150092339732</v>
      </c>
      <c r="I10" s="83"/>
      <c r="J10" s="151">
        <f t="shared" si="0"/>
        <v>124.04875382955035</v>
      </c>
      <c r="K10" s="100">
        <f t="shared" si="1"/>
        <v>125.87899068518639</v>
      </c>
      <c r="L10" s="150">
        <f t="shared" si="2"/>
        <v>225.7148145813872</v>
      </c>
      <c r="M10" s="83"/>
      <c r="N10" s="151">
        <f t="shared" si="3"/>
        <v>249.92774451473673</v>
      </c>
      <c r="O10" s="99">
        <f t="shared" si="4"/>
        <v>225.7148145813872</v>
      </c>
      <c r="P10" s="100">
        <f t="shared" si="5"/>
        <v>237.82127954806197</v>
      </c>
    </row>
    <row r="11" spans="1:20" x14ac:dyDescent="0.3">
      <c r="A11" s="98" t="str">
        <f>'Actual costs'!A12</f>
        <v>ANH</v>
      </c>
      <c r="B11" s="64">
        <f>'Actual costs'!B12</f>
        <v>2018</v>
      </c>
      <c r="C11" s="64" t="str">
        <f>'Actual costs'!C12</f>
        <v>ANH18</v>
      </c>
      <c r="D11" s="99">
        <f>EXP('Model coeffs'!$D$12+('Model coeffs'!$D$5*'Cost drivers'!D11)+('Model coeffs'!$D$6*'Cost drivers'!F11)+('Model coeffs'!$D$8*'Cost drivers'!I11)+('Model coeffs'!$D$9*'Cost drivers'!J11))</f>
        <v>116.80518317479122</v>
      </c>
      <c r="E11" s="99">
        <f>EXP('Model coeffs'!$E$12+('Model coeffs'!$E$5*'Cost drivers'!D11)+('Model coeffs'!$E$7*'Cost drivers'!G11)+('Model coeffs'!$E$8*'Cost drivers'!I11)+('Model coeffs'!$E$9*'Cost drivers'!J11))</f>
        <v>128.98754905288177</v>
      </c>
      <c r="F11" s="99">
        <f>EXP('Model coeffs'!$F$12+('Model coeffs'!$F$8*'Cost drivers'!I11)+('Model coeffs'!$F$9*'Cost drivers'!J11)+('Model coeffs'!$F$10*'Cost drivers'!E11)+('Model coeffs'!$F$11*'Cost drivers'!H11))</f>
        <v>127.48866504820387</v>
      </c>
      <c r="G11" s="99">
        <f>EXP('Model coeffs'!$G$12+('Model coeffs'!$G$5*'Cost drivers'!D11)+('Model coeffs'!$G$6*'Cost drivers'!F11)+('Model coeffs'!$G$8*'Cost drivers'!I11)+('Model coeffs'!$G$9*'Cost drivers'!J11)+('Model coeffs'!$G$11*'Cost drivers'!H11))</f>
        <v>219.98847419153819</v>
      </c>
      <c r="H11" s="100">
        <f>EXP('Model coeffs'!$H$12+('Model coeffs'!$H$5*'Cost drivers'!D11)+('Model coeffs'!$H$7*'Cost drivers'!G11)+('Model coeffs'!$H$8*'Cost drivers'!I11)+('Model coeffs'!$H$9*'Cost drivers'!J11)+('Model coeffs'!$H$11*'Cost drivers'!H11))</f>
        <v>230.56564212933858</v>
      </c>
      <c r="I11" s="83"/>
      <c r="J11" s="151">
        <f t="shared" si="0"/>
        <v>122.89636611383651</v>
      </c>
      <c r="K11" s="100">
        <f t="shared" si="1"/>
        <v>127.48866504820387</v>
      </c>
      <c r="L11" s="150">
        <f t="shared" si="2"/>
        <v>225.2770581604384</v>
      </c>
      <c r="M11" s="83"/>
      <c r="N11" s="151">
        <f t="shared" si="3"/>
        <v>250.38503116204038</v>
      </c>
      <c r="O11" s="99">
        <f t="shared" si="4"/>
        <v>225.2770581604384</v>
      </c>
      <c r="P11" s="100">
        <f t="shared" si="5"/>
        <v>237.83104466123939</v>
      </c>
    </row>
    <row r="12" spans="1:20" x14ac:dyDescent="0.3">
      <c r="A12" s="98" t="str">
        <f>'Actual costs'!A13</f>
        <v>NES</v>
      </c>
      <c r="B12" s="64">
        <f>'Actual costs'!B13</f>
        <v>2012</v>
      </c>
      <c r="C12" s="64" t="str">
        <f>'Actual costs'!C13</f>
        <v>NES12</v>
      </c>
      <c r="D12" s="99">
        <f>EXP('Model coeffs'!$D$12+('Model coeffs'!$D$5*'Cost drivers'!D12)+('Model coeffs'!$D$6*'Cost drivers'!F12)+('Model coeffs'!$D$8*'Cost drivers'!I12)+('Model coeffs'!$D$9*'Cost drivers'!J12))</f>
        <v>101.02072428024245</v>
      </c>
      <c r="E12" s="99">
        <f>EXP('Model coeffs'!$E$12+('Model coeffs'!$E$5*'Cost drivers'!D12)+('Model coeffs'!$E$7*'Cost drivers'!G12)+('Model coeffs'!$E$8*'Cost drivers'!I12)+('Model coeffs'!$E$9*'Cost drivers'!J12))</f>
        <v>99.744166351623832</v>
      </c>
      <c r="F12" s="99">
        <f>EXP('Model coeffs'!$F$12+('Model coeffs'!$F$8*'Cost drivers'!I12)+('Model coeffs'!$F$9*'Cost drivers'!J12)+('Model coeffs'!$F$10*'Cost drivers'!E12)+('Model coeffs'!$F$11*'Cost drivers'!H12))</f>
        <v>106.6007441340878</v>
      </c>
      <c r="G12" s="99">
        <f>EXP('Model coeffs'!$G$12+('Model coeffs'!$G$5*'Cost drivers'!D12)+('Model coeffs'!$G$6*'Cost drivers'!F12)+('Model coeffs'!$G$8*'Cost drivers'!I12)+('Model coeffs'!$G$9*'Cost drivers'!J12)+('Model coeffs'!$G$11*'Cost drivers'!H12))</f>
        <v>216.50881206095062</v>
      </c>
      <c r="H12" s="100">
        <f>EXP('Model coeffs'!$H$12+('Model coeffs'!$H$5*'Cost drivers'!D12)+('Model coeffs'!$H$7*'Cost drivers'!G12)+('Model coeffs'!$H$8*'Cost drivers'!I12)+('Model coeffs'!$H$9*'Cost drivers'!J12)+('Model coeffs'!$H$11*'Cost drivers'!H12))</f>
        <v>219.21970383762692</v>
      </c>
      <c r="I12" s="83"/>
      <c r="J12" s="151">
        <f t="shared" si="0"/>
        <v>100.38244531593314</v>
      </c>
      <c r="K12" s="100">
        <f t="shared" si="1"/>
        <v>106.6007441340878</v>
      </c>
      <c r="L12" s="150">
        <f t="shared" si="2"/>
        <v>217.86425794928877</v>
      </c>
      <c r="M12" s="83"/>
      <c r="N12" s="151">
        <f t="shared" si="3"/>
        <v>206.98318945002094</v>
      </c>
      <c r="O12" s="99">
        <f t="shared" si="4"/>
        <v>217.86425794928877</v>
      </c>
      <c r="P12" s="100">
        <f t="shared" si="5"/>
        <v>212.42372369965486</v>
      </c>
    </row>
    <row r="13" spans="1:20" x14ac:dyDescent="0.3">
      <c r="A13" s="98" t="str">
        <f>'Actual costs'!A14</f>
        <v>NES</v>
      </c>
      <c r="B13" s="64">
        <f>'Actual costs'!B14</f>
        <v>2013</v>
      </c>
      <c r="C13" s="64" t="str">
        <f>'Actual costs'!C14</f>
        <v>NES13</v>
      </c>
      <c r="D13" s="99">
        <f>EXP('Model coeffs'!$D$12+('Model coeffs'!$D$5*'Cost drivers'!D13)+('Model coeffs'!$D$6*'Cost drivers'!F13)+('Model coeffs'!$D$8*'Cost drivers'!I13)+('Model coeffs'!$D$9*'Cost drivers'!J13))</f>
        <v>101.45407770675911</v>
      </c>
      <c r="E13" s="99">
        <f>EXP('Model coeffs'!$E$12+('Model coeffs'!$E$5*'Cost drivers'!D13)+('Model coeffs'!$E$7*'Cost drivers'!G13)+('Model coeffs'!$E$8*'Cost drivers'!I13)+('Model coeffs'!$E$9*'Cost drivers'!J13))</f>
        <v>99.967674139997357</v>
      </c>
      <c r="F13" s="99">
        <f>EXP('Model coeffs'!$F$12+('Model coeffs'!$F$8*'Cost drivers'!I13)+('Model coeffs'!$F$9*'Cost drivers'!J13)+('Model coeffs'!$F$10*'Cost drivers'!E13)+('Model coeffs'!$F$11*'Cost drivers'!H13))</f>
        <v>108.50795241525174</v>
      </c>
      <c r="G13" s="99">
        <f>EXP('Model coeffs'!$G$12+('Model coeffs'!$G$5*'Cost drivers'!D13)+('Model coeffs'!$G$6*'Cost drivers'!F13)+('Model coeffs'!$G$8*'Cost drivers'!I13)+('Model coeffs'!$G$9*'Cost drivers'!J13)+('Model coeffs'!$G$11*'Cost drivers'!H13))</f>
        <v>214.93349563894202</v>
      </c>
      <c r="H13" s="100">
        <f>EXP('Model coeffs'!$H$12+('Model coeffs'!$H$5*'Cost drivers'!D13)+('Model coeffs'!$H$7*'Cost drivers'!G13)+('Model coeffs'!$H$8*'Cost drivers'!I13)+('Model coeffs'!$H$9*'Cost drivers'!J13)+('Model coeffs'!$H$11*'Cost drivers'!H13))</f>
        <v>217.39302046714701</v>
      </c>
      <c r="I13" s="83"/>
      <c r="J13" s="151">
        <f t="shared" si="0"/>
        <v>100.71087592337824</v>
      </c>
      <c r="K13" s="100">
        <f t="shared" si="1"/>
        <v>108.50795241525174</v>
      </c>
      <c r="L13" s="150">
        <f t="shared" si="2"/>
        <v>216.1632580530445</v>
      </c>
      <c r="M13" s="83"/>
      <c r="N13" s="151">
        <f t="shared" si="3"/>
        <v>209.21882833862998</v>
      </c>
      <c r="O13" s="99">
        <f t="shared" si="4"/>
        <v>216.1632580530445</v>
      </c>
      <c r="P13" s="100">
        <f t="shared" si="5"/>
        <v>212.69104319583724</v>
      </c>
    </row>
    <row r="14" spans="1:20" x14ac:dyDescent="0.3">
      <c r="A14" s="98" t="str">
        <f>'Actual costs'!A15</f>
        <v>NES</v>
      </c>
      <c r="B14" s="64">
        <f>'Actual costs'!B15</f>
        <v>2014</v>
      </c>
      <c r="C14" s="64" t="str">
        <f>'Actual costs'!C15</f>
        <v>NES14</v>
      </c>
      <c r="D14" s="99">
        <f>EXP('Model coeffs'!$D$12+('Model coeffs'!$D$5*'Cost drivers'!D14)+('Model coeffs'!$D$6*'Cost drivers'!F14)+('Model coeffs'!$D$8*'Cost drivers'!I14)+('Model coeffs'!$D$9*'Cost drivers'!J14))</f>
        <v>101.94848372947749</v>
      </c>
      <c r="E14" s="99">
        <f>EXP('Model coeffs'!$E$12+('Model coeffs'!$E$5*'Cost drivers'!D14)+('Model coeffs'!$E$7*'Cost drivers'!G14)+('Model coeffs'!$E$8*'Cost drivers'!I14)+('Model coeffs'!$E$9*'Cost drivers'!J14))</f>
        <v>100.15904372278966</v>
      </c>
      <c r="F14" s="99">
        <f>EXP('Model coeffs'!$F$12+('Model coeffs'!$F$8*'Cost drivers'!I14)+('Model coeffs'!$F$9*'Cost drivers'!J14)+('Model coeffs'!$F$10*'Cost drivers'!E14)+('Model coeffs'!$F$11*'Cost drivers'!H14))</f>
        <v>109.68251164108773</v>
      </c>
      <c r="G14" s="99">
        <f>EXP('Model coeffs'!$G$12+('Model coeffs'!$G$5*'Cost drivers'!D14)+('Model coeffs'!$G$6*'Cost drivers'!F14)+('Model coeffs'!$G$8*'Cost drivers'!I14)+('Model coeffs'!$G$9*'Cost drivers'!J14)+('Model coeffs'!$G$11*'Cost drivers'!H14))</f>
        <v>215.44965142787478</v>
      </c>
      <c r="H14" s="100">
        <f>EXP('Model coeffs'!$H$12+('Model coeffs'!$H$5*'Cost drivers'!D14)+('Model coeffs'!$H$7*'Cost drivers'!G14)+('Model coeffs'!$H$8*'Cost drivers'!I14)+('Model coeffs'!$H$9*'Cost drivers'!J14)+('Model coeffs'!$H$11*'Cost drivers'!H14))</f>
        <v>217.66662618973771</v>
      </c>
      <c r="I14" s="83"/>
      <c r="J14" s="151">
        <f t="shared" si="0"/>
        <v>101.05376372613358</v>
      </c>
      <c r="K14" s="100">
        <f t="shared" si="1"/>
        <v>109.68251164108773</v>
      </c>
      <c r="L14" s="150">
        <f t="shared" si="2"/>
        <v>216.55813880880623</v>
      </c>
      <c r="M14" s="83"/>
      <c r="N14" s="151">
        <f t="shared" si="3"/>
        <v>210.73627536722131</v>
      </c>
      <c r="O14" s="99">
        <f t="shared" si="4"/>
        <v>216.55813880880623</v>
      </c>
      <c r="P14" s="100">
        <f t="shared" si="5"/>
        <v>213.64720708801377</v>
      </c>
    </row>
    <row r="15" spans="1:20" x14ac:dyDescent="0.3">
      <c r="A15" s="98" t="str">
        <f>'Actual costs'!A16</f>
        <v>NES</v>
      </c>
      <c r="B15" s="64">
        <f>'Actual costs'!B16</f>
        <v>2015</v>
      </c>
      <c r="C15" s="64" t="str">
        <f>'Actual costs'!C16</f>
        <v>NES15</v>
      </c>
      <c r="D15" s="99">
        <f>EXP('Model coeffs'!$D$12+('Model coeffs'!$D$5*'Cost drivers'!D15)+('Model coeffs'!$D$6*'Cost drivers'!F15)+('Model coeffs'!$D$8*'Cost drivers'!I15)+('Model coeffs'!$D$9*'Cost drivers'!J15))</f>
        <v>102.32915842908044</v>
      </c>
      <c r="E15" s="99">
        <f>EXP('Model coeffs'!$E$12+('Model coeffs'!$E$5*'Cost drivers'!D15)+('Model coeffs'!$E$7*'Cost drivers'!G15)+('Model coeffs'!$E$8*'Cost drivers'!I15)+('Model coeffs'!$E$9*'Cost drivers'!J15))</f>
        <v>100.53276636462762</v>
      </c>
      <c r="F15" s="99">
        <f>EXP('Model coeffs'!$F$12+('Model coeffs'!$F$8*'Cost drivers'!I15)+('Model coeffs'!$F$9*'Cost drivers'!J15)+('Model coeffs'!$F$10*'Cost drivers'!E15)+('Model coeffs'!$F$11*'Cost drivers'!H15))</f>
        <v>110.78734497721956</v>
      </c>
      <c r="G15" s="99">
        <f>EXP('Model coeffs'!$G$12+('Model coeffs'!$G$5*'Cost drivers'!D15)+('Model coeffs'!$G$6*'Cost drivers'!F15)+('Model coeffs'!$G$8*'Cost drivers'!I15)+('Model coeffs'!$G$9*'Cost drivers'!J15)+('Model coeffs'!$G$11*'Cost drivers'!H15))</f>
        <v>217.214185327249</v>
      </c>
      <c r="H15" s="100">
        <f>EXP('Model coeffs'!$H$12+('Model coeffs'!$H$5*'Cost drivers'!D15)+('Model coeffs'!$H$7*'Cost drivers'!G15)+('Model coeffs'!$H$8*'Cost drivers'!I15)+('Model coeffs'!$H$9*'Cost drivers'!J15)+('Model coeffs'!$H$11*'Cost drivers'!H15))</f>
        <v>219.42973302946095</v>
      </c>
      <c r="I15" s="83"/>
      <c r="J15" s="151">
        <f t="shared" si="0"/>
        <v>101.43096239685403</v>
      </c>
      <c r="K15" s="100">
        <f t="shared" si="1"/>
        <v>110.78734497721956</v>
      </c>
      <c r="L15" s="150">
        <f t="shared" si="2"/>
        <v>218.32195917835497</v>
      </c>
      <c r="M15" s="83"/>
      <c r="N15" s="151">
        <f t="shared" si="3"/>
        <v>212.21830737407359</v>
      </c>
      <c r="O15" s="99">
        <f t="shared" si="4"/>
        <v>218.32195917835497</v>
      </c>
      <c r="P15" s="100">
        <f t="shared" si="5"/>
        <v>215.27013327621427</v>
      </c>
    </row>
    <row r="16" spans="1:20" x14ac:dyDescent="0.3">
      <c r="A16" s="98" t="str">
        <f>'Actual costs'!A17</f>
        <v>NES</v>
      </c>
      <c r="B16" s="64">
        <f>'Actual costs'!B17</f>
        <v>2016</v>
      </c>
      <c r="C16" s="64" t="str">
        <f>'Actual costs'!C17</f>
        <v>NES16</v>
      </c>
      <c r="D16" s="99">
        <f>EXP('Model coeffs'!$D$12+('Model coeffs'!$D$5*'Cost drivers'!D16)+('Model coeffs'!$D$6*'Cost drivers'!F16)+('Model coeffs'!$D$8*'Cost drivers'!I16)+('Model coeffs'!$D$9*'Cost drivers'!J16))</f>
        <v>103.28712623439122</v>
      </c>
      <c r="E16" s="99">
        <f>EXP('Model coeffs'!$E$12+('Model coeffs'!$E$5*'Cost drivers'!D16)+('Model coeffs'!$E$7*'Cost drivers'!G16)+('Model coeffs'!$E$8*'Cost drivers'!I16)+('Model coeffs'!$E$9*'Cost drivers'!J16))</f>
        <v>101.47469783267724</v>
      </c>
      <c r="F16" s="99">
        <f>EXP('Model coeffs'!$F$12+('Model coeffs'!$F$8*'Cost drivers'!I16)+('Model coeffs'!$F$9*'Cost drivers'!J16)+('Model coeffs'!$F$10*'Cost drivers'!E16)+('Model coeffs'!$F$11*'Cost drivers'!H16))</f>
        <v>111.67693173412573</v>
      </c>
      <c r="G16" s="99">
        <f>EXP('Model coeffs'!$G$12+('Model coeffs'!$G$5*'Cost drivers'!D16)+('Model coeffs'!$G$6*'Cost drivers'!F16)+('Model coeffs'!$G$8*'Cost drivers'!I16)+('Model coeffs'!$G$9*'Cost drivers'!J16)+('Model coeffs'!$G$11*'Cost drivers'!H16))</f>
        <v>219.54726861351244</v>
      </c>
      <c r="H16" s="100">
        <f>EXP('Model coeffs'!$H$12+('Model coeffs'!$H$5*'Cost drivers'!D16)+('Model coeffs'!$H$7*'Cost drivers'!G16)+('Model coeffs'!$H$8*'Cost drivers'!I16)+('Model coeffs'!$H$9*'Cost drivers'!J16)+('Model coeffs'!$H$11*'Cost drivers'!H16))</f>
        <v>221.80686887315971</v>
      </c>
      <c r="I16" s="83"/>
      <c r="J16" s="151">
        <f t="shared" si="0"/>
        <v>102.38091203353423</v>
      </c>
      <c r="K16" s="100">
        <f t="shared" si="1"/>
        <v>111.67693173412573</v>
      </c>
      <c r="L16" s="150">
        <f t="shared" si="2"/>
        <v>220.67706874333606</v>
      </c>
      <c r="M16" s="83"/>
      <c r="N16" s="151">
        <f t="shared" si="3"/>
        <v>214.05784376765996</v>
      </c>
      <c r="O16" s="99">
        <f t="shared" si="4"/>
        <v>220.67706874333606</v>
      </c>
      <c r="P16" s="100">
        <f t="shared" si="5"/>
        <v>217.36745625549801</v>
      </c>
    </row>
    <row r="17" spans="1:16" x14ac:dyDescent="0.3">
      <c r="A17" s="98" t="str">
        <f>'Actual costs'!A18</f>
        <v>NES</v>
      </c>
      <c r="B17" s="64">
        <f>'Actual costs'!B18</f>
        <v>2017</v>
      </c>
      <c r="C17" s="64" t="str">
        <f>'Actual costs'!C18</f>
        <v>NES17</v>
      </c>
      <c r="D17" s="99">
        <f>EXP('Model coeffs'!$D$12+('Model coeffs'!$D$5*'Cost drivers'!D17)+('Model coeffs'!$D$6*'Cost drivers'!F17)+('Model coeffs'!$D$8*'Cost drivers'!I17)+('Model coeffs'!$D$9*'Cost drivers'!J17))</f>
        <v>104.0526005782168</v>
      </c>
      <c r="E17" s="99">
        <f>EXP('Model coeffs'!$E$12+('Model coeffs'!$E$5*'Cost drivers'!D17)+('Model coeffs'!$E$7*'Cost drivers'!G17)+('Model coeffs'!$E$8*'Cost drivers'!I17)+('Model coeffs'!$E$9*'Cost drivers'!J17))</f>
        <v>102.09222585187092</v>
      </c>
      <c r="F17" s="99">
        <f>EXP('Model coeffs'!$F$12+('Model coeffs'!$F$8*'Cost drivers'!I17)+('Model coeffs'!$F$9*'Cost drivers'!J17)+('Model coeffs'!$F$10*'Cost drivers'!E17)+('Model coeffs'!$F$11*'Cost drivers'!H17))</f>
        <v>112.29490571241082</v>
      </c>
      <c r="G17" s="99">
        <f>EXP('Model coeffs'!$G$12+('Model coeffs'!$G$5*'Cost drivers'!D17)+('Model coeffs'!$G$6*'Cost drivers'!F17)+('Model coeffs'!$G$8*'Cost drivers'!I17)+('Model coeffs'!$G$9*'Cost drivers'!J17)+('Model coeffs'!$G$11*'Cost drivers'!H17))</f>
        <v>220.83527092629339</v>
      </c>
      <c r="H17" s="100">
        <f>EXP('Model coeffs'!$H$12+('Model coeffs'!$H$5*'Cost drivers'!D17)+('Model coeffs'!$H$7*'Cost drivers'!G17)+('Model coeffs'!$H$8*'Cost drivers'!I17)+('Model coeffs'!$H$9*'Cost drivers'!J17)+('Model coeffs'!$H$11*'Cost drivers'!H17))</f>
        <v>223.03092571013221</v>
      </c>
      <c r="I17" s="83"/>
      <c r="J17" s="151">
        <f t="shared" si="0"/>
        <v>103.07241321504387</v>
      </c>
      <c r="K17" s="100">
        <f t="shared" si="1"/>
        <v>112.29490571241082</v>
      </c>
      <c r="L17" s="150">
        <f t="shared" si="2"/>
        <v>221.93309831821279</v>
      </c>
      <c r="M17" s="83"/>
      <c r="N17" s="151">
        <f t="shared" si="3"/>
        <v>215.36731892745468</v>
      </c>
      <c r="O17" s="99">
        <f t="shared" si="4"/>
        <v>221.93309831821279</v>
      </c>
      <c r="P17" s="100">
        <f t="shared" si="5"/>
        <v>218.65020862283373</v>
      </c>
    </row>
    <row r="18" spans="1:16" x14ac:dyDescent="0.3">
      <c r="A18" s="98" t="str">
        <f>'Actual costs'!A19</f>
        <v>NES</v>
      </c>
      <c r="B18" s="64">
        <f>'Actual costs'!B19</f>
        <v>2018</v>
      </c>
      <c r="C18" s="64" t="str">
        <f>'Actual costs'!C19</f>
        <v>NES18</v>
      </c>
      <c r="D18" s="99">
        <f>EXP('Model coeffs'!$D$12+('Model coeffs'!$D$5*'Cost drivers'!D18)+('Model coeffs'!$D$6*'Cost drivers'!F18)+('Model coeffs'!$D$8*'Cost drivers'!I18)+('Model coeffs'!$D$9*'Cost drivers'!J18))</f>
        <v>103.64584694768996</v>
      </c>
      <c r="E18" s="99">
        <f>EXP('Model coeffs'!$E$12+('Model coeffs'!$E$5*'Cost drivers'!D18)+('Model coeffs'!$E$7*'Cost drivers'!G18)+('Model coeffs'!$E$8*'Cost drivers'!I18)+('Model coeffs'!$E$9*'Cost drivers'!J18))</f>
        <v>101.81067471178689</v>
      </c>
      <c r="F18" s="99">
        <f>EXP('Model coeffs'!$F$12+('Model coeffs'!$F$8*'Cost drivers'!I18)+('Model coeffs'!$F$9*'Cost drivers'!J18)+('Model coeffs'!$F$10*'Cost drivers'!E18)+('Model coeffs'!$F$11*'Cost drivers'!H18))</f>
        <v>113.43304339526183</v>
      </c>
      <c r="G18" s="99">
        <f>EXP('Model coeffs'!$G$12+('Model coeffs'!$G$5*'Cost drivers'!D18)+('Model coeffs'!$G$6*'Cost drivers'!F18)+('Model coeffs'!$G$8*'Cost drivers'!I18)+('Model coeffs'!$G$9*'Cost drivers'!J18)+('Model coeffs'!$G$11*'Cost drivers'!H18))</f>
        <v>221.32867734450122</v>
      </c>
      <c r="H18" s="100">
        <f>EXP('Model coeffs'!$H$12+('Model coeffs'!$H$5*'Cost drivers'!D18)+('Model coeffs'!$H$7*'Cost drivers'!G18)+('Model coeffs'!$H$8*'Cost drivers'!I18)+('Model coeffs'!$H$9*'Cost drivers'!J18)+('Model coeffs'!$H$11*'Cost drivers'!H18))</f>
        <v>223.61526677074173</v>
      </c>
      <c r="I18" s="83"/>
      <c r="J18" s="151">
        <f t="shared" si="0"/>
        <v>102.72826082973842</v>
      </c>
      <c r="K18" s="100">
        <f t="shared" si="1"/>
        <v>113.43304339526183</v>
      </c>
      <c r="L18" s="150">
        <f t="shared" si="2"/>
        <v>222.47197205762149</v>
      </c>
      <c r="M18" s="83"/>
      <c r="N18" s="151">
        <f t="shared" si="3"/>
        <v>216.16130422500026</v>
      </c>
      <c r="O18" s="99">
        <f t="shared" si="4"/>
        <v>222.47197205762149</v>
      </c>
      <c r="P18" s="100">
        <f t="shared" si="5"/>
        <v>219.31663814131088</v>
      </c>
    </row>
    <row r="19" spans="1:16" x14ac:dyDescent="0.3">
      <c r="A19" s="98" t="str">
        <f>'Actual costs'!A20</f>
        <v>NWT</v>
      </c>
      <c r="B19" s="64">
        <f>'Actual costs'!B20</f>
        <v>2012</v>
      </c>
      <c r="C19" s="64" t="str">
        <f>'Actual costs'!C20</f>
        <v>NWT12</v>
      </c>
      <c r="D19" s="99">
        <f>EXP('Model coeffs'!$D$12+('Model coeffs'!$D$5*'Cost drivers'!D19)+('Model coeffs'!$D$6*'Cost drivers'!F19)+('Model coeffs'!$D$8*'Cost drivers'!I19)+('Model coeffs'!$D$9*'Cost drivers'!J19))</f>
        <v>147.6920380893572</v>
      </c>
      <c r="E19" s="99">
        <f>EXP('Model coeffs'!$E$12+('Model coeffs'!$E$5*'Cost drivers'!D19)+('Model coeffs'!$E$7*'Cost drivers'!G19)+('Model coeffs'!$E$8*'Cost drivers'!I19)+('Model coeffs'!$E$9*'Cost drivers'!J19))</f>
        <v>149.43962760629296</v>
      </c>
      <c r="F19" s="99">
        <f>EXP('Model coeffs'!$F$12+('Model coeffs'!$F$8*'Cost drivers'!I19)+('Model coeffs'!$F$9*'Cost drivers'!J19)+('Model coeffs'!$F$10*'Cost drivers'!E19)+('Model coeffs'!$F$11*'Cost drivers'!H19))</f>
        <v>187.30720888388259</v>
      </c>
      <c r="G19" s="99">
        <f>EXP('Model coeffs'!$G$12+('Model coeffs'!$G$5*'Cost drivers'!D19)+('Model coeffs'!$G$6*'Cost drivers'!F19)+('Model coeffs'!$G$8*'Cost drivers'!I19)+('Model coeffs'!$G$9*'Cost drivers'!J19)+('Model coeffs'!$G$11*'Cost drivers'!H19))</f>
        <v>337.74150094375091</v>
      </c>
      <c r="H19" s="100">
        <f>EXP('Model coeffs'!$H$12+('Model coeffs'!$H$5*'Cost drivers'!D19)+('Model coeffs'!$H$7*'Cost drivers'!G19)+('Model coeffs'!$H$8*'Cost drivers'!I19)+('Model coeffs'!$H$9*'Cost drivers'!J19)+('Model coeffs'!$H$11*'Cost drivers'!H19))</f>
        <v>332.18933761147997</v>
      </c>
      <c r="I19" s="83"/>
      <c r="J19" s="151">
        <f t="shared" si="0"/>
        <v>148.56583284782508</v>
      </c>
      <c r="K19" s="100">
        <f t="shared" si="1"/>
        <v>187.30720888388259</v>
      </c>
      <c r="L19" s="150">
        <f t="shared" si="2"/>
        <v>334.96541927761541</v>
      </c>
      <c r="M19" s="83"/>
      <c r="N19" s="151">
        <f t="shared" si="3"/>
        <v>335.87304173170764</v>
      </c>
      <c r="O19" s="99">
        <f t="shared" si="4"/>
        <v>334.96541927761541</v>
      </c>
      <c r="P19" s="100">
        <f t="shared" si="5"/>
        <v>335.41923050466153</v>
      </c>
    </row>
    <row r="20" spans="1:16" x14ac:dyDescent="0.3">
      <c r="A20" s="98" t="str">
        <f>'Actual costs'!A21</f>
        <v>NWT</v>
      </c>
      <c r="B20" s="64">
        <f>'Actual costs'!B21</f>
        <v>2013</v>
      </c>
      <c r="C20" s="64" t="str">
        <f>'Actual costs'!C21</f>
        <v>NWT13</v>
      </c>
      <c r="D20" s="99">
        <f>EXP('Model coeffs'!$D$12+('Model coeffs'!$D$5*'Cost drivers'!D20)+('Model coeffs'!$D$6*'Cost drivers'!F20)+('Model coeffs'!$D$8*'Cost drivers'!I20)+('Model coeffs'!$D$9*'Cost drivers'!J20))</f>
        <v>149.21525560843128</v>
      </c>
      <c r="E20" s="99">
        <f>EXP('Model coeffs'!$E$12+('Model coeffs'!$E$5*'Cost drivers'!D20)+('Model coeffs'!$E$7*'Cost drivers'!G20)+('Model coeffs'!$E$8*'Cost drivers'!I20)+('Model coeffs'!$E$9*'Cost drivers'!J20))</f>
        <v>150.72102985959043</v>
      </c>
      <c r="F20" s="99">
        <f>EXP('Model coeffs'!$F$12+('Model coeffs'!$F$8*'Cost drivers'!I20)+('Model coeffs'!$F$9*'Cost drivers'!J20)+('Model coeffs'!$F$10*'Cost drivers'!E20)+('Model coeffs'!$F$11*'Cost drivers'!H20))</f>
        <v>188.22773037606294</v>
      </c>
      <c r="G20" s="99">
        <f>EXP('Model coeffs'!$G$12+('Model coeffs'!$G$5*'Cost drivers'!D20)+('Model coeffs'!$G$6*'Cost drivers'!F20)+('Model coeffs'!$G$8*'Cost drivers'!I20)+('Model coeffs'!$G$9*'Cost drivers'!J20)+('Model coeffs'!$G$11*'Cost drivers'!H20))</f>
        <v>340.29082765088822</v>
      </c>
      <c r="H20" s="100">
        <f>EXP('Model coeffs'!$H$12+('Model coeffs'!$H$5*'Cost drivers'!D20)+('Model coeffs'!$H$7*'Cost drivers'!G20)+('Model coeffs'!$H$8*'Cost drivers'!I20)+('Model coeffs'!$H$9*'Cost drivers'!J20)+('Model coeffs'!$H$11*'Cost drivers'!H20))</f>
        <v>335.5218905240352</v>
      </c>
      <c r="I20" s="83"/>
      <c r="J20" s="151">
        <f t="shared" si="0"/>
        <v>149.96814273401085</v>
      </c>
      <c r="K20" s="100">
        <f t="shared" si="1"/>
        <v>188.22773037606294</v>
      </c>
      <c r="L20" s="150">
        <f t="shared" si="2"/>
        <v>337.90635908746174</v>
      </c>
      <c r="M20" s="83"/>
      <c r="N20" s="151">
        <f t="shared" si="3"/>
        <v>338.19587311007376</v>
      </c>
      <c r="O20" s="99">
        <f t="shared" si="4"/>
        <v>337.90635908746174</v>
      </c>
      <c r="P20" s="100">
        <f t="shared" si="5"/>
        <v>338.05111609876775</v>
      </c>
    </row>
    <row r="21" spans="1:16" x14ac:dyDescent="0.3">
      <c r="A21" s="98" t="str">
        <f>'Actual costs'!A22</f>
        <v>NWT</v>
      </c>
      <c r="B21" s="64">
        <f>'Actual costs'!B22</f>
        <v>2014</v>
      </c>
      <c r="C21" s="64" t="str">
        <f>'Actual costs'!C22</f>
        <v>NWT14</v>
      </c>
      <c r="D21" s="99">
        <f>EXP('Model coeffs'!$D$12+('Model coeffs'!$D$5*'Cost drivers'!D21)+('Model coeffs'!$D$6*'Cost drivers'!F21)+('Model coeffs'!$D$8*'Cost drivers'!I21)+('Model coeffs'!$D$9*'Cost drivers'!J21))</f>
        <v>151.23168304071356</v>
      </c>
      <c r="E21" s="99">
        <f>EXP('Model coeffs'!$E$12+('Model coeffs'!$E$5*'Cost drivers'!D21)+('Model coeffs'!$E$7*'Cost drivers'!G21)+('Model coeffs'!$E$8*'Cost drivers'!I21)+('Model coeffs'!$E$9*'Cost drivers'!J21))</f>
        <v>151.50084832637808</v>
      </c>
      <c r="F21" s="99">
        <f>EXP('Model coeffs'!$F$12+('Model coeffs'!$F$8*'Cost drivers'!I21)+('Model coeffs'!$F$9*'Cost drivers'!J21)+('Model coeffs'!$F$10*'Cost drivers'!E21)+('Model coeffs'!$F$11*'Cost drivers'!H21))</f>
        <v>189.21372857137939</v>
      </c>
      <c r="G21" s="99">
        <f>EXP('Model coeffs'!$G$12+('Model coeffs'!$G$5*'Cost drivers'!D21)+('Model coeffs'!$G$6*'Cost drivers'!F21)+('Model coeffs'!$G$8*'Cost drivers'!I21)+('Model coeffs'!$G$9*'Cost drivers'!J21)+('Model coeffs'!$G$11*'Cost drivers'!H21))</f>
        <v>344.22306374110804</v>
      </c>
      <c r="H21" s="100">
        <f>EXP('Model coeffs'!$H$12+('Model coeffs'!$H$5*'Cost drivers'!D21)+('Model coeffs'!$H$7*'Cost drivers'!G21)+('Model coeffs'!$H$8*'Cost drivers'!I21)+('Model coeffs'!$H$9*'Cost drivers'!J21)+('Model coeffs'!$H$11*'Cost drivers'!H21))</f>
        <v>338.61453574800379</v>
      </c>
      <c r="I21" s="83"/>
      <c r="J21" s="151">
        <f t="shared" si="0"/>
        <v>151.36626568354581</v>
      </c>
      <c r="K21" s="100">
        <f t="shared" si="1"/>
        <v>189.21372857137939</v>
      </c>
      <c r="L21" s="150">
        <f t="shared" si="2"/>
        <v>341.41879974455594</v>
      </c>
      <c r="M21" s="83"/>
      <c r="N21" s="151">
        <f t="shared" si="3"/>
        <v>340.57999425492517</v>
      </c>
      <c r="O21" s="99">
        <f t="shared" si="4"/>
        <v>341.41879974455594</v>
      </c>
      <c r="P21" s="100">
        <f t="shared" si="5"/>
        <v>340.99939699974055</v>
      </c>
    </row>
    <row r="22" spans="1:16" x14ac:dyDescent="0.3">
      <c r="A22" s="98" t="str">
        <f>'Actual costs'!A23</f>
        <v>NWT</v>
      </c>
      <c r="B22" s="64">
        <f>'Actual costs'!B23</f>
        <v>2015</v>
      </c>
      <c r="C22" s="64" t="str">
        <f>'Actual costs'!C23</f>
        <v>NWT15</v>
      </c>
      <c r="D22" s="99">
        <f>EXP('Model coeffs'!$D$12+('Model coeffs'!$D$5*'Cost drivers'!D22)+('Model coeffs'!$D$6*'Cost drivers'!F22)+('Model coeffs'!$D$8*'Cost drivers'!I22)+('Model coeffs'!$D$9*'Cost drivers'!J22))</f>
        <v>150.24825091476171</v>
      </c>
      <c r="E22" s="99">
        <f>EXP('Model coeffs'!$E$12+('Model coeffs'!$E$5*'Cost drivers'!D22)+('Model coeffs'!$E$7*'Cost drivers'!G22)+('Model coeffs'!$E$8*'Cost drivers'!I22)+('Model coeffs'!$E$9*'Cost drivers'!J22))</f>
        <v>155.28319811407022</v>
      </c>
      <c r="F22" s="99">
        <f>EXP('Model coeffs'!$F$12+('Model coeffs'!$F$8*'Cost drivers'!I22)+('Model coeffs'!$F$9*'Cost drivers'!J22)+('Model coeffs'!$F$10*'Cost drivers'!E22)+('Model coeffs'!$F$11*'Cost drivers'!H22))</f>
        <v>191.51272722218906</v>
      </c>
      <c r="G22" s="99">
        <f>EXP('Model coeffs'!$G$12+('Model coeffs'!$G$5*'Cost drivers'!D22)+('Model coeffs'!$G$6*'Cost drivers'!F22)+('Model coeffs'!$G$8*'Cost drivers'!I22)+('Model coeffs'!$G$9*'Cost drivers'!J22)+('Model coeffs'!$G$11*'Cost drivers'!H22))</f>
        <v>346.6384902810222</v>
      </c>
      <c r="H22" s="100">
        <f>EXP('Model coeffs'!$H$12+('Model coeffs'!$H$5*'Cost drivers'!D22)+('Model coeffs'!$H$7*'Cost drivers'!G22)+('Model coeffs'!$H$8*'Cost drivers'!I22)+('Model coeffs'!$H$9*'Cost drivers'!J22)+('Model coeffs'!$H$11*'Cost drivers'!H22))</f>
        <v>348.50347336734427</v>
      </c>
      <c r="I22" s="83"/>
      <c r="J22" s="151">
        <f t="shared" si="0"/>
        <v>152.76572451441598</v>
      </c>
      <c r="K22" s="100">
        <f t="shared" si="1"/>
        <v>191.51272722218906</v>
      </c>
      <c r="L22" s="150">
        <f t="shared" si="2"/>
        <v>347.57098182418326</v>
      </c>
      <c r="M22" s="83"/>
      <c r="N22" s="151">
        <f t="shared" si="3"/>
        <v>344.27845173660501</v>
      </c>
      <c r="O22" s="99">
        <f t="shared" si="4"/>
        <v>347.57098182418326</v>
      </c>
      <c r="P22" s="100">
        <f t="shared" si="5"/>
        <v>345.92471678039414</v>
      </c>
    </row>
    <row r="23" spans="1:16" x14ac:dyDescent="0.3">
      <c r="A23" s="98" t="str">
        <f>'Actual costs'!A24</f>
        <v>NWT</v>
      </c>
      <c r="B23" s="64">
        <f>'Actual costs'!B24</f>
        <v>2016</v>
      </c>
      <c r="C23" s="64" t="str">
        <f>'Actual costs'!C24</f>
        <v>NWT16</v>
      </c>
      <c r="D23" s="99">
        <f>EXP('Model coeffs'!$D$12+('Model coeffs'!$D$5*'Cost drivers'!D23)+('Model coeffs'!$D$6*'Cost drivers'!F23)+('Model coeffs'!$D$8*'Cost drivers'!I23)+('Model coeffs'!$D$9*'Cost drivers'!J23))</f>
        <v>151.08273547485663</v>
      </c>
      <c r="E23" s="99">
        <f>EXP('Model coeffs'!$E$12+('Model coeffs'!$E$5*'Cost drivers'!D23)+('Model coeffs'!$E$7*'Cost drivers'!G23)+('Model coeffs'!$E$8*'Cost drivers'!I23)+('Model coeffs'!$E$9*'Cost drivers'!J23))</f>
        <v>156.48464157415185</v>
      </c>
      <c r="F23" s="99">
        <f>EXP('Model coeffs'!$F$12+('Model coeffs'!$F$8*'Cost drivers'!I23)+('Model coeffs'!$F$9*'Cost drivers'!J23)+('Model coeffs'!$F$10*'Cost drivers'!E23)+('Model coeffs'!$F$11*'Cost drivers'!H23))</f>
        <v>197.56086664685745</v>
      </c>
      <c r="G23" s="99">
        <f>EXP('Model coeffs'!$G$12+('Model coeffs'!$G$5*'Cost drivers'!D23)+('Model coeffs'!$G$6*'Cost drivers'!F23)+('Model coeffs'!$G$8*'Cost drivers'!I23)+('Model coeffs'!$G$9*'Cost drivers'!J23)+('Model coeffs'!$G$11*'Cost drivers'!H23))</f>
        <v>357.78102304591738</v>
      </c>
      <c r="H23" s="100">
        <f>EXP('Model coeffs'!$H$12+('Model coeffs'!$H$5*'Cost drivers'!D23)+('Model coeffs'!$H$7*'Cost drivers'!G23)+('Model coeffs'!$H$8*'Cost drivers'!I23)+('Model coeffs'!$H$9*'Cost drivers'!J23)+('Model coeffs'!$H$11*'Cost drivers'!H23))</f>
        <v>360.35133693145093</v>
      </c>
      <c r="I23" s="83"/>
      <c r="J23" s="151">
        <f t="shared" si="0"/>
        <v>153.78368852450424</v>
      </c>
      <c r="K23" s="100">
        <f t="shared" si="1"/>
        <v>197.56086664685745</v>
      </c>
      <c r="L23" s="150">
        <f t="shared" si="2"/>
        <v>359.06617998868415</v>
      </c>
      <c r="M23" s="83"/>
      <c r="N23" s="151">
        <f t="shared" si="3"/>
        <v>351.34455517136166</v>
      </c>
      <c r="O23" s="99">
        <f t="shared" si="4"/>
        <v>359.06617998868415</v>
      </c>
      <c r="P23" s="100">
        <f t="shared" si="5"/>
        <v>355.20536758002288</v>
      </c>
    </row>
    <row r="24" spans="1:16" x14ac:dyDescent="0.3">
      <c r="A24" s="98" t="str">
        <f>'Actual costs'!A25</f>
        <v>NWT</v>
      </c>
      <c r="B24" s="64">
        <f>'Actual costs'!B25</f>
        <v>2017</v>
      </c>
      <c r="C24" s="64" t="str">
        <f>'Actual costs'!C25</f>
        <v>NWT17</v>
      </c>
      <c r="D24" s="99">
        <f>EXP('Model coeffs'!$D$12+('Model coeffs'!$D$5*'Cost drivers'!D24)+('Model coeffs'!$D$6*'Cost drivers'!F24)+('Model coeffs'!$D$8*'Cost drivers'!I24)+('Model coeffs'!$D$9*'Cost drivers'!J24))</f>
        <v>168.09894165018605</v>
      </c>
      <c r="E24" s="99">
        <f>EXP('Model coeffs'!$E$12+('Model coeffs'!$E$5*'Cost drivers'!D24)+('Model coeffs'!$E$7*'Cost drivers'!G24)+('Model coeffs'!$E$8*'Cost drivers'!I24)+('Model coeffs'!$E$9*'Cost drivers'!J24))</f>
        <v>163.79214200538365</v>
      </c>
      <c r="F24" s="99">
        <f>EXP('Model coeffs'!$F$12+('Model coeffs'!$F$8*'Cost drivers'!I24)+('Model coeffs'!$F$9*'Cost drivers'!J24)+('Model coeffs'!$F$10*'Cost drivers'!E24)+('Model coeffs'!$F$11*'Cost drivers'!H24))</f>
        <v>199.95216146752014</v>
      </c>
      <c r="G24" s="99">
        <f>EXP('Model coeffs'!$G$12+('Model coeffs'!$G$5*'Cost drivers'!D24)+('Model coeffs'!$G$6*'Cost drivers'!F24)+('Model coeffs'!$G$8*'Cost drivers'!I24)+('Model coeffs'!$G$9*'Cost drivers'!J24)+('Model coeffs'!$G$11*'Cost drivers'!H24))</f>
        <v>376.20227045426094</v>
      </c>
      <c r="H24" s="100">
        <f>EXP('Model coeffs'!$H$12+('Model coeffs'!$H$5*'Cost drivers'!D24)+('Model coeffs'!$H$7*'Cost drivers'!G24)+('Model coeffs'!$H$8*'Cost drivers'!I24)+('Model coeffs'!$H$9*'Cost drivers'!J24)+('Model coeffs'!$H$11*'Cost drivers'!H24))</f>
        <v>376.64920133583644</v>
      </c>
      <c r="I24" s="83"/>
      <c r="J24" s="151">
        <f t="shared" si="0"/>
        <v>165.94554182778484</v>
      </c>
      <c r="K24" s="100">
        <f t="shared" si="1"/>
        <v>199.95216146752014</v>
      </c>
      <c r="L24" s="150">
        <f t="shared" si="2"/>
        <v>376.42573589504866</v>
      </c>
      <c r="M24" s="83"/>
      <c r="N24" s="151">
        <f t="shared" si="3"/>
        <v>365.89770329530495</v>
      </c>
      <c r="O24" s="99">
        <f t="shared" si="4"/>
        <v>376.42573589504866</v>
      </c>
      <c r="P24" s="100">
        <f t="shared" si="5"/>
        <v>371.16171959517681</v>
      </c>
    </row>
    <row r="25" spans="1:16" x14ac:dyDescent="0.3">
      <c r="A25" s="98" t="str">
        <f>'Actual costs'!A26</f>
        <v>NWT</v>
      </c>
      <c r="B25" s="64">
        <f>'Actual costs'!B26</f>
        <v>2018</v>
      </c>
      <c r="C25" s="64" t="str">
        <f>'Actual costs'!C26</f>
        <v>NWT18</v>
      </c>
      <c r="D25" s="99">
        <f>EXP('Model coeffs'!$D$12+('Model coeffs'!$D$5*'Cost drivers'!D25)+('Model coeffs'!$D$6*'Cost drivers'!F25)+('Model coeffs'!$D$8*'Cost drivers'!I25)+('Model coeffs'!$D$9*'Cost drivers'!J25))</f>
        <v>168.92685296417184</v>
      </c>
      <c r="E25" s="99">
        <f>EXP('Model coeffs'!$E$12+('Model coeffs'!$E$5*'Cost drivers'!D25)+('Model coeffs'!$E$7*'Cost drivers'!G25)+('Model coeffs'!$E$8*'Cost drivers'!I25)+('Model coeffs'!$E$9*'Cost drivers'!J25))</f>
        <v>162.16013446988677</v>
      </c>
      <c r="F25" s="99">
        <f>EXP('Model coeffs'!$F$12+('Model coeffs'!$F$8*'Cost drivers'!I25)+('Model coeffs'!$F$9*'Cost drivers'!J25)+('Model coeffs'!$F$10*'Cost drivers'!E25)+('Model coeffs'!$F$11*'Cost drivers'!H25))</f>
        <v>205.69088344747252</v>
      </c>
      <c r="G25" s="99">
        <f>EXP('Model coeffs'!$G$12+('Model coeffs'!$G$5*'Cost drivers'!D25)+('Model coeffs'!$G$6*'Cost drivers'!F25)+('Model coeffs'!$G$8*'Cost drivers'!I25)+('Model coeffs'!$G$9*'Cost drivers'!J25)+('Model coeffs'!$G$11*'Cost drivers'!H25))</f>
        <v>379.7429010884033</v>
      </c>
      <c r="H25" s="100">
        <f>EXP('Model coeffs'!$H$12+('Model coeffs'!$H$5*'Cost drivers'!D25)+('Model coeffs'!$H$7*'Cost drivers'!G25)+('Model coeffs'!$H$8*'Cost drivers'!I25)+('Model coeffs'!$H$9*'Cost drivers'!J25)+('Model coeffs'!$H$11*'Cost drivers'!H25))</f>
        <v>375.4149008183075</v>
      </c>
      <c r="I25" s="83"/>
      <c r="J25" s="151">
        <f t="shared" si="0"/>
        <v>165.54349371702932</v>
      </c>
      <c r="K25" s="100">
        <f t="shared" si="1"/>
        <v>205.69088344747252</v>
      </c>
      <c r="L25" s="150">
        <f t="shared" si="2"/>
        <v>377.5789009533554</v>
      </c>
      <c r="M25" s="83"/>
      <c r="N25" s="151">
        <f t="shared" si="3"/>
        <v>371.23437716450184</v>
      </c>
      <c r="O25" s="99">
        <f t="shared" si="4"/>
        <v>377.5789009533554</v>
      </c>
      <c r="P25" s="100">
        <f t="shared" si="5"/>
        <v>374.40663905892859</v>
      </c>
    </row>
    <row r="26" spans="1:16" x14ac:dyDescent="0.3">
      <c r="A26" s="98" t="str">
        <f>'Actual costs'!A27</f>
        <v>SRN</v>
      </c>
      <c r="B26" s="64">
        <f>'Actual costs'!B27</f>
        <v>2012</v>
      </c>
      <c r="C26" s="64" t="str">
        <f>'Actual costs'!C27</f>
        <v>SRN12</v>
      </c>
      <c r="D26" s="99">
        <f>EXP('Model coeffs'!$D$12+('Model coeffs'!$D$5*'Cost drivers'!D26)+('Model coeffs'!$D$6*'Cost drivers'!F26)+('Model coeffs'!$D$8*'Cost drivers'!I26)+('Model coeffs'!$D$9*'Cost drivers'!J26))</f>
        <v>45.205276189860825</v>
      </c>
      <c r="E26" s="99">
        <f>EXP('Model coeffs'!$E$12+('Model coeffs'!$E$5*'Cost drivers'!D26)+('Model coeffs'!$E$7*'Cost drivers'!G26)+('Model coeffs'!$E$8*'Cost drivers'!I26)+('Model coeffs'!$E$9*'Cost drivers'!J26))</f>
        <v>45.564951622719562</v>
      </c>
      <c r="F26" s="99">
        <f>EXP('Model coeffs'!$F$12+('Model coeffs'!$F$8*'Cost drivers'!I26)+('Model coeffs'!$F$9*'Cost drivers'!J26)+('Model coeffs'!$F$10*'Cost drivers'!E26)+('Model coeffs'!$F$11*'Cost drivers'!H26))</f>
        <v>63.817798239885299</v>
      </c>
      <c r="G26" s="99">
        <f>EXP('Model coeffs'!$G$12+('Model coeffs'!$G$5*'Cost drivers'!D26)+('Model coeffs'!$G$6*'Cost drivers'!F26)+('Model coeffs'!$G$8*'Cost drivers'!I26)+('Model coeffs'!$G$9*'Cost drivers'!J26)+('Model coeffs'!$G$11*'Cost drivers'!H26))</f>
        <v>111.06706252238051</v>
      </c>
      <c r="H26" s="100">
        <f>EXP('Model coeffs'!$H$12+('Model coeffs'!$H$5*'Cost drivers'!D26)+('Model coeffs'!$H$7*'Cost drivers'!G26)+('Model coeffs'!$H$8*'Cost drivers'!I26)+('Model coeffs'!$H$9*'Cost drivers'!J26)+('Model coeffs'!$H$11*'Cost drivers'!H26))</f>
        <v>109.6606097588048</v>
      </c>
      <c r="I26" s="83"/>
      <c r="J26" s="151">
        <f t="shared" si="0"/>
        <v>45.385113906290194</v>
      </c>
      <c r="K26" s="100">
        <f t="shared" si="1"/>
        <v>63.817798239885299</v>
      </c>
      <c r="L26" s="150">
        <f t="shared" si="2"/>
        <v>110.36383614059265</v>
      </c>
      <c r="M26" s="83"/>
      <c r="N26" s="151">
        <f t="shared" si="3"/>
        <v>109.20291214617549</v>
      </c>
      <c r="O26" s="99">
        <f t="shared" si="4"/>
        <v>110.36383614059265</v>
      </c>
      <c r="P26" s="100">
        <f t="shared" si="5"/>
        <v>109.78337414338407</v>
      </c>
    </row>
    <row r="27" spans="1:16" x14ac:dyDescent="0.3">
      <c r="A27" s="98" t="str">
        <f>'Actual costs'!A28</f>
        <v>SRN</v>
      </c>
      <c r="B27" s="64">
        <f>'Actual costs'!B28</f>
        <v>2013</v>
      </c>
      <c r="C27" s="64" t="str">
        <f>'Actual costs'!C28</f>
        <v>SRN13</v>
      </c>
      <c r="D27" s="99">
        <f>EXP('Model coeffs'!$D$12+('Model coeffs'!$D$5*'Cost drivers'!D27)+('Model coeffs'!$D$6*'Cost drivers'!F27)+('Model coeffs'!$D$8*'Cost drivers'!I27)+('Model coeffs'!$D$9*'Cost drivers'!J27))</f>
        <v>48.404058883116562</v>
      </c>
      <c r="E27" s="99">
        <f>EXP('Model coeffs'!$E$12+('Model coeffs'!$E$5*'Cost drivers'!D27)+('Model coeffs'!$E$7*'Cost drivers'!G27)+('Model coeffs'!$E$8*'Cost drivers'!I27)+('Model coeffs'!$E$9*'Cost drivers'!J27))</f>
        <v>48.469858330201241</v>
      </c>
      <c r="F27" s="99">
        <f>EXP('Model coeffs'!$F$12+('Model coeffs'!$F$8*'Cost drivers'!I27)+('Model coeffs'!$F$9*'Cost drivers'!J27)+('Model coeffs'!$F$10*'Cost drivers'!E27)+('Model coeffs'!$F$11*'Cost drivers'!H27))</f>
        <v>64.281434772786369</v>
      </c>
      <c r="G27" s="99">
        <f>EXP('Model coeffs'!$G$12+('Model coeffs'!$G$5*'Cost drivers'!D27)+('Model coeffs'!$G$6*'Cost drivers'!F27)+('Model coeffs'!$G$8*'Cost drivers'!I27)+('Model coeffs'!$G$9*'Cost drivers'!J27)+('Model coeffs'!$G$11*'Cost drivers'!H27))</f>
        <v>118.35748018066624</v>
      </c>
      <c r="H27" s="100">
        <f>EXP('Model coeffs'!$H$12+('Model coeffs'!$H$5*'Cost drivers'!D27)+('Model coeffs'!$H$7*'Cost drivers'!G27)+('Model coeffs'!$H$8*'Cost drivers'!I27)+('Model coeffs'!$H$9*'Cost drivers'!J27)+('Model coeffs'!$H$11*'Cost drivers'!H27))</f>
        <v>116.69478960379135</v>
      </c>
      <c r="I27" s="83"/>
      <c r="J27" s="151">
        <f t="shared" si="0"/>
        <v>48.436958606658905</v>
      </c>
      <c r="K27" s="100">
        <f t="shared" si="1"/>
        <v>64.281434772786369</v>
      </c>
      <c r="L27" s="150">
        <f t="shared" si="2"/>
        <v>117.5261348922288</v>
      </c>
      <c r="M27" s="83"/>
      <c r="N27" s="151">
        <f t="shared" si="3"/>
        <v>112.71839337944527</v>
      </c>
      <c r="O27" s="99">
        <f t="shared" si="4"/>
        <v>117.5261348922288</v>
      </c>
      <c r="P27" s="100">
        <f t="shared" si="5"/>
        <v>115.12226413583704</v>
      </c>
    </row>
    <row r="28" spans="1:16" x14ac:dyDescent="0.3">
      <c r="A28" s="98" t="str">
        <f>'Actual costs'!A29</f>
        <v>SRN</v>
      </c>
      <c r="B28" s="64">
        <f>'Actual costs'!B29</f>
        <v>2014</v>
      </c>
      <c r="C28" s="64" t="str">
        <f>'Actual costs'!C29</f>
        <v>SRN14</v>
      </c>
      <c r="D28" s="99">
        <f>EXP('Model coeffs'!$D$12+('Model coeffs'!$D$5*'Cost drivers'!D28)+('Model coeffs'!$D$6*'Cost drivers'!F28)+('Model coeffs'!$D$8*'Cost drivers'!I28)+('Model coeffs'!$D$9*'Cost drivers'!J28))</f>
        <v>49.37040251463408</v>
      </c>
      <c r="E28" s="99">
        <f>EXP('Model coeffs'!$E$12+('Model coeffs'!$E$5*'Cost drivers'!D28)+('Model coeffs'!$E$7*'Cost drivers'!G28)+('Model coeffs'!$E$8*'Cost drivers'!I28)+('Model coeffs'!$E$9*'Cost drivers'!J28))</f>
        <v>49.120844067125816</v>
      </c>
      <c r="F28" s="99">
        <f>EXP('Model coeffs'!$F$12+('Model coeffs'!$F$8*'Cost drivers'!I28)+('Model coeffs'!$F$9*'Cost drivers'!J28)+('Model coeffs'!$F$10*'Cost drivers'!E28)+('Model coeffs'!$F$11*'Cost drivers'!H28))</f>
        <v>64.591005228252612</v>
      </c>
      <c r="G28" s="99">
        <f>EXP('Model coeffs'!$G$12+('Model coeffs'!$G$5*'Cost drivers'!D28)+('Model coeffs'!$G$6*'Cost drivers'!F28)+('Model coeffs'!$G$8*'Cost drivers'!I28)+('Model coeffs'!$G$9*'Cost drivers'!J28)+('Model coeffs'!$G$11*'Cost drivers'!H28))</f>
        <v>119.93390645810361</v>
      </c>
      <c r="H28" s="100">
        <f>EXP('Model coeffs'!$H$12+('Model coeffs'!$H$5*'Cost drivers'!D28)+('Model coeffs'!$H$7*'Cost drivers'!G28)+('Model coeffs'!$H$8*'Cost drivers'!I28)+('Model coeffs'!$H$9*'Cost drivers'!J28)+('Model coeffs'!$H$11*'Cost drivers'!H28))</f>
        <v>118.28724739632705</v>
      </c>
      <c r="I28" s="83"/>
      <c r="J28" s="151">
        <f t="shared" si="0"/>
        <v>49.245623290879948</v>
      </c>
      <c r="K28" s="100">
        <f t="shared" si="1"/>
        <v>64.591005228252612</v>
      </c>
      <c r="L28" s="150">
        <f t="shared" si="2"/>
        <v>119.11057692721533</v>
      </c>
      <c r="M28" s="83"/>
      <c r="N28" s="151">
        <f t="shared" si="3"/>
        <v>113.83662851913256</v>
      </c>
      <c r="O28" s="99">
        <f t="shared" si="4"/>
        <v>119.11057692721533</v>
      </c>
      <c r="P28" s="100">
        <f t="shared" si="5"/>
        <v>116.47360272317394</v>
      </c>
    </row>
    <row r="29" spans="1:16" x14ac:dyDescent="0.3">
      <c r="A29" s="98" t="str">
        <f>'Actual costs'!A30</f>
        <v>SRN</v>
      </c>
      <c r="B29" s="64">
        <f>'Actual costs'!B30</f>
        <v>2015</v>
      </c>
      <c r="C29" s="64" t="str">
        <f>'Actual costs'!C30</f>
        <v>SRN15</v>
      </c>
      <c r="D29" s="99">
        <f>EXP('Model coeffs'!$D$12+('Model coeffs'!$D$5*'Cost drivers'!D29)+('Model coeffs'!$D$6*'Cost drivers'!F29)+('Model coeffs'!$D$8*'Cost drivers'!I29)+('Model coeffs'!$D$9*'Cost drivers'!J29))</f>
        <v>49.632222972004627</v>
      </c>
      <c r="E29" s="99">
        <f>EXP('Model coeffs'!$E$12+('Model coeffs'!$E$5*'Cost drivers'!D29)+('Model coeffs'!$E$7*'Cost drivers'!G29)+('Model coeffs'!$E$8*'Cost drivers'!I29)+('Model coeffs'!$E$9*'Cost drivers'!J29))</f>
        <v>49.385979495986071</v>
      </c>
      <c r="F29" s="99">
        <f>EXP('Model coeffs'!$F$12+('Model coeffs'!$F$8*'Cost drivers'!I29)+('Model coeffs'!$F$9*'Cost drivers'!J29)+('Model coeffs'!$F$10*'Cost drivers'!E29)+('Model coeffs'!$F$11*'Cost drivers'!H29))</f>
        <v>65.057893533650315</v>
      </c>
      <c r="G29" s="99">
        <f>EXP('Model coeffs'!$G$12+('Model coeffs'!$G$5*'Cost drivers'!D29)+('Model coeffs'!$G$6*'Cost drivers'!F29)+('Model coeffs'!$G$8*'Cost drivers'!I29)+('Model coeffs'!$G$9*'Cost drivers'!J29)+('Model coeffs'!$G$11*'Cost drivers'!H29))</f>
        <v>120.62577277760319</v>
      </c>
      <c r="H29" s="100">
        <f>EXP('Model coeffs'!$H$12+('Model coeffs'!$H$5*'Cost drivers'!D29)+('Model coeffs'!$H$7*'Cost drivers'!G29)+('Model coeffs'!$H$8*'Cost drivers'!I29)+('Model coeffs'!$H$9*'Cost drivers'!J29)+('Model coeffs'!$H$11*'Cost drivers'!H29))</f>
        <v>119.05822038697642</v>
      </c>
      <c r="I29" s="83"/>
      <c r="J29" s="151">
        <f t="shared" si="0"/>
        <v>49.509101233995352</v>
      </c>
      <c r="K29" s="100">
        <f t="shared" si="1"/>
        <v>65.057893533650315</v>
      </c>
      <c r="L29" s="150">
        <f t="shared" si="2"/>
        <v>119.8419965822898</v>
      </c>
      <c r="M29" s="83"/>
      <c r="N29" s="151">
        <f t="shared" si="3"/>
        <v>114.56699476764567</v>
      </c>
      <c r="O29" s="99">
        <f t="shared" si="4"/>
        <v>119.8419965822898</v>
      </c>
      <c r="P29" s="100">
        <f t="shared" si="5"/>
        <v>117.20449567496773</v>
      </c>
    </row>
    <row r="30" spans="1:16" x14ac:dyDescent="0.3">
      <c r="A30" s="98" t="str">
        <f>'Actual costs'!A31</f>
        <v>SRN</v>
      </c>
      <c r="B30" s="64">
        <f>'Actual costs'!B31</f>
        <v>2016</v>
      </c>
      <c r="C30" s="64" t="str">
        <f>'Actual costs'!C31</f>
        <v>SRN16</v>
      </c>
      <c r="D30" s="99">
        <f>EXP('Model coeffs'!$D$12+('Model coeffs'!$D$5*'Cost drivers'!D30)+('Model coeffs'!$D$6*'Cost drivers'!F30)+('Model coeffs'!$D$8*'Cost drivers'!I30)+('Model coeffs'!$D$9*'Cost drivers'!J30))</f>
        <v>49.68239954848454</v>
      </c>
      <c r="E30" s="99">
        <f>EXP('Model coeffs'!$E$12+('Model coeffs'!$E$5*'Cost drivers'!D30)+('Model coeffs'!$E$7*'Cost drivers'!G30)+('Model coeffs'!$E$8*'Cost drivers'!I30)+('Model coeffs'!$E$9*'Cost drivers'!J30))</f>
        <v>49.472737046870066</v>
      </c>
      <c r="F30" s="99">
        <f>EXP('Model coeffs'!$F$12+('Model coeffs'!$F$8*'Cost drivers'!I30)+('Model coeffs'!$F$9*'Cost drivers'!J30)+('Model coeffs'!$F$10*'Cost drivers'!E30)+('Model coeffs'!$F$11*'Cost drivers'!H30))</f>
        <v>65.67086470023493</v>
      </c>
      <c r="G30" s="99">
        <f>EXP('Model coeffs'!$G$12+('Model coeffs'!$G$5*'Cost drivers'!D30)+('Model coeffs'!$G$6*'Cost drivers'!F30)+('Model coeffs'!$G$8*'Cost drivers'!I30)+('Model coeffs'!$G$9*'Cost drivers'!J30)+('Model coeffs'!$G$11*'Cost drivers'!H30))</f>
        <v>121.2550448517524</v>
      </c>
      <c r="H30" s="100">
        <f>EXP('Model coeffs'!$H$12+('Model coeffs'!$H$5*'Cost drivers'!D30)+('Model coeffs'!$H$7*'Cost drivers'!G30)+('Model coeffs'!$H$8*'Cost drivers'!I30)+('Model coeffs'!$H$9*'Cost drivers'!J30)+('Model coeffs'!$H$11*'Cost drivers'!H30))</f>
        <v>119.58056479155108</v>
      </c>
      <c r="I30" s="83"/>
      <c r="J30" s="151">
        <f t="shared" si="0"/>
        <v>49.577568297677303</v>
      </c>
      <c r="K30" s="100">
        <f t="shared" si="1"/>
        <v>65.67086470023493</v>
      </c>
      <c r="L30" s="150">
        <f t="shared" si="2"/>
        <v>120.41780482165174</v>
      </c>
      <c r="M30" s="83"/>
      <c r="N30" s="151">
        <f t="shared" si="3"/>
        <v>115.24843299791223</v>
      </c>
      <c r="O30" s="99">
        <f t="shared" si="4"/>
        <v>120.41780482165174</v>
      </c>
      <c r="P30" s="100">
        <f t="shared" si="5"/>
        <v>117.83311890978199</v>
      </c>
    </row>
    <row r="31" spans="1:16" x14ac:dyDescent="0.3">
      <c r="A31" s="98" t="str">
        <f>'Actual costs'!A32</f>
        <v>SRN</v>
      </c>
      <c r="B31" s="64">
        <f>'Actual costs'!B32</f>
        <v>2017</v>
      </c>
      <c r="C31" s="64" t="str">
        <f>'Actual costs'!C32</f>
        <v>SRN17</v>
      </c>
      <c r="D31" s="99">
        <f>EXP('Model coeffs'!$D$12+('Model coeffs'!$D$5*'Cost drivers'!D31)+('Model coeffs'!$D$6*'Cost drivers'!F31)+('Model coeffs'!$D$8*'Cost drivers'!I31)+('Model coeffs'!$D$9*'Cost drivers'!J31))</f>
        <v>50.33261315764797</v>
      </c>
      <c r="E31" s="99">
        <f>EXP('Model coeffs'!$E$12+('Model coeffs'!$E$5*'Cost drivers'!D31)+('Model coeffs'!$E$7*'Cost drivers'!G31)+('Model coeffs'!$E$8*'Cost drivers'!I31)+('Model coeffs'!$E$9*'Cost drivers'!J31))</f>
        <v>50.014952427129117</v>
      </c>
      <c r="F31" s="99">
        <f>EXP('Model coeffs'!$F$12+('Model coeffs'!$F$8*'Cost drivers'!I31)+('Model coeffs'!$F$9*'Cost drivers'!J31)+('Model coeffs'!$F$10*'Cost drivers'!E31)+('Model coeffs'!$F$11*'Cost drivers'!H31))</f>
        <v>66.275064060993913</v>
      </c>
      <c r="G31" s="99">
        <f>EXP('Model coeffs'!$G$12+('Model coeffs'!$G$5*'Cost drivers'!D31)+('Model coeffs'!$G$6*'Cost drivers'!F31)+('Model coeffs'!$G$8*'Cost drivers'!I31)+('Model coeffs'!$G$9*'Cost drivers'!J31)+('Model coeffs'!$G$11*'Cost drivers'!H31))</f>
        <v>122.76450332643486</v>
      </c>
      <c r="H31" s="100">
        <f>EXP('Model coeffs'!$H$12+('Model coeffs'!$H$5*'Cost drivers'!D31)+('Model coeffs'!$H$7*'Cost drivers'!G31)+('Model coeffs'!$H$8*'Cost drivers'!I31)+('Model coeffs'!$H$9*'Cost drivers'!J31)+('Model coeffs'!$H$11*'Cost drivers'!H31))</f>
        <v>121.14771487741233</v>
      </c>
      <c r="I31" s="83"/>
      <c r="J31" s="151">
        <f t="shared" si="0"/>
        <v>50.173782792388543</v>
      </c>
      <c r="K31" s="100">
        <f t="shared" si="1"/>
        <v>66.275064060993913</v>
      </c>
      <c r="L31" s="150">
        <f t="shared" si="2"/>
        <v>121.9561091019236</v>
      </c>
      <c r="M31" s="83"/>
      <c r="N31" s="151">
        <f t="shared" si="3"/>
        <v>116.44884685338246</v>
      </c>
      <c r="O31" s="99">
        <f t="shared" si="4"/>
        <v>121.9561091019236</v>
      </c>
      <c r="P31" s="100">
        <f t="shared" si="5"/>
        <v>119.20247797765303</v>
      </c>
    </row>
    <row r="32" spans="1:16" x14ac:dyDescent="0.3">
      <c r="A32" s="98" t="str">
        <f>'Actual costs'!A33</f>
        <v>SRN</v>
      </c>
      <c r="B32" s="64">
        <f>'Actual costs'!B33</f>
        <v>2018</v>
      </c>
      <c r="C32" s="64" t="str">
        <f>'Actual costs'!C33</f>
        <v>SRN18</v>
      </c>
      <c r="D32" s="99">
        <f>EXP('Model coeffs'!$D$12+('Model coeffs'!$D$5*'Cost drivers'!D32)+('Model coeffs'!$D$6*'Cost drivers'!F32)+('Model coeffs'!$D$8*'Cost drivers'!I32)+('Model coeffs'!$D$9*'Cost drivers'!J32))</f>
        <v>51.98225959155851</v>
      </c>
      <c r="E32" s="99">
        <f>EXP('Model coeffs'!$E$12+('Model coeffs'!$E$5*'Cost drivers'!D32)+('Model coeffs'!$E$7*'Cost drivers'!G32)+('Model coeffs'!$E$8*'Cost drivers'!I32)+('Model coeffs'!$E$9*'Cost drivers'!J32))</f>
        <v>52.499066998069935</v>
      </c>
      <c r="F32" s="99">
        <f>EXP('Model coeffs'!$F$12+('Model coeffs'!$F$8*'Cost drivers'!I32)+('Model coeffs'!$F$9*'Cost drivers'!J32)+('Model coeffs'!$F$10*'Cost drivers'!E32)+('Model coeffs'!$F$11*'Cost drivers'!H32))</f>
        <v>67.254852270631531</v>
      </c>
      <c r="G32" s="99">
        <f>EXP('Model coeffs'!$G$12+('Model coeffs'!$G$5*'Cost drivers'!D32)+('Model coeffs'!$G$6*'Cost drivers'!F32)+('Model coeffs'!$G$8*'Cost drivers'!I32)+('Model coeffs'!$G$9*'Cost drivers'!J32)+('Model coeffs'!$G$11*'Cost drivers'!H32))</f>
        <v>126.48641841118661</v>
      </c>
      <c r="H32" s="100">
        <f>EXP('Model coeffs'!$H$12+('Model coeffs'!$H$5*'Cost drivers'!D32)+('Model coeffs'!$H$7*'Cost drivers'!G32)+('Model coeffs'!$H$8*'Cost drivers'!I32)+('Model coeffs'!$H$9*'Cost drivers'!J32)+('Model coeffs'!$H$11*'Cost drivers'!H32))</f>
        <v>127.85143938204104</v>
      </c>
      <c r="I32" s="83"/>
      <c r="J32" s="151">
        <f t="shared" si="0"/>
        <v>52.240663294814226</v>
      </c>
      <c r="K32" s="100">
        <f t="shared" si="1"/>
        <v>67.254852270631531</v>
      </c>
      <c r="L32" s="150">
        <f t="shared" si="2"/>
        <v>127.16892889661382</v>
      </c>
      <c r="M32" s="83"/>
      <c r="N32" s="151">
        <f t="shared" si="3"/>
        <v>119.49551556544576</v>
      </c>
      <c r="O32" s="99">
        <f t="shared" si="4"/>
        <v>127.16892889661382</v>
      </c>
      <c r="P32" s="100">
        <f t="shared" si="5"/>
        <v>123.33222223102979</v>
      </c>
    </row>
    <row r="33" spans="1:16" x14ac:dyDescent="0.3">
      <c r="A33" s="98" t="str">
        <f>'Actual costs'!A34</f>
        <v>SVT</v>
      </c>
      <c r="B33" s="64">
        <f>'Actual costs'!B34</f>
        <v>2012</v>
      </c>
      <c r="C33" s="64" t="str">
        <f>'Actual costs'!C34</f>
        <v>SVT12</v>
      </c>
      <c r="D33" s="99">
        <f>EXP('Model coeffs'!$D$12+('Model coeffs'!$D$5*'Cost drivers'!D33)+('Model coeffs'!$D$6*'Cost drivers'!F33)+('Model coeffs'!$D$8*'Cost drivers'!I33)+('Model coeffs'!$D$9*'Cost drivers'!J33))</f>
        <v>157.67224143834534</v>
      </c>
      <c r="E33" s="99">
        <f>EXP('Model coeffs'!$E$12+('Model coeffs'!$E$5*'Cost drivers'!D33)+('Model coeffs'!$E$7*'Cost drivers'!G33)+('Model coeffs'!$E$8*'Cost drivers'!I33)+('Model coeffs'!$E$9*'Cost drivers'!J33))</f>
        <v>157.86445554334989</v>
      </c>
      <c r="F33" s="99">
        <f>EXP('Model coeffs'!$F$12+('Model coeffs'!$F$8*'Cost drivers'!I33)+('Model coeffs'!$F$9*'Cost drivers'!J33)+('Model coeffs'!$F$10*'Cost drivers'!E33)+('Model coeffs'!$F$11*'Cost drivers'!H33))</f>
        <v>240.23262736037151</v>
      </c>
      <c r="G33" s="99">
        <f>EXP('Model coeffs'!$G$12+('Model coeffs'!$G$5*'Cost drivers'!D33)+('Model coeffs'!$G$6*'Cost drivers'!F33)+('Model coeffs'!$G$8*'Cost drivers'!I33)+('Model coeffs'!$G$9*'Cost drivers'!J33)+('Model coeffs'!$G$11*'Cost drivers'!H33))</f>
        <v>410.03200064640714</v>
      </c>
      <c r="H33" s="100">
        <f>EXP('Model coeffs'!$H$12+('Model coeffs'!$H$5*'Cost drivers'!D33)+('Model coeffs'!$H$7*'Cost drivers'!G33)+('Model coeffs'!$H$8*'Cost drivers'!I33)+('Model coeffs'!$H$9*'Cost drivers'!J33)+('Model coeffs'!$H$11*'Cost drivers'!H33))</f>
        <v>400.35428978736019</v>
      </c>
      <c r="I33" s="83"/>
      <c r="J33" s="151">
        <f t="shared" si="0"/>
        <v>157.76834849084761</v>
      </c>
      <c r="K33" s="100">
        <f t="shared" si="1"/>
        <v>240.23262736037151</v>
      </c>
      <c r="L33" s="150">
        <f t="shared" si="2"/>
        <v>405.19314521688364</v>
      </c>
      <c r="M33" s="83"/>
      <c r="N33" s="151">
        <f t="shared" si="3"/>
        <v>398.0009758512191</v>
      </c>
      <c r="O33" s="99">
        <f t="shared" si="4"/>
        <v>405.19314521688364</v>
      </c>
      <c r="P33" s="100">
        <f t="shared" si="5"/>
        <v>401.59706053405137</v>
      </c>
    </row>
    <row r="34" spans="1:16" x14ac:dyDescent="0.3">
      <c r="A34" s="98" t="str">
        <f>'Actual costs'!A35</f>
        <v>SVT</v>
      </c>
      <c r="B34" s="64">
        <f>'Actual costs'!B35</f>
        <v>2013</v>
      </c>
      <c r="C34" s="64" t="str">
        <f>'Actual costs'!C35</f>
        <v>SVT13</v>
      </c>
      <c r="D34" s="99">
        <f>EXP('Model coeffs'!$D$12+('Model coeffs'!$D$5*'Cost drivers'!D34)+('Model coeffs'!$D$6*'Cost drivers'!F34)+('Model coeffs'!$D$8*'Cost drivers'!I34)+('Model coeffs'!$D$9*'Cost drivers'!J34))</f>
        <v>158.57356950583736</v>
      </c>
      <c r="E34" s="99">
        <f>EXP('Model coeffs'!$E$12+('Model coeffs'!$E$5*'Cost drivers'!D34)+('Model coeffs'!$E$7*'Cost drivers'!G34)+('Model coeffs'!$E$8*'Cost drivers'!I34)+('Model coeffs'!$E$9*'Cost drivers'!J34))</f>
        <v>158.30320808927817</v>
      </c>
      <c r="F34" s="99">
        <f>EXP('Model coeffs'!$F$12+('Model coeffs'!$F$8*'Cost drivers'!I34)+('Model coeffs'!$F$9*'Cost drivers'!J34)+('Model coeffs'!$F$10*'Cost drivers'!E34)+('Model coeffs'!$F$11*'Cost drivers'!H34))</f>
        <v>242.48307629163816</v>
      </c>
      <c r="G34" s="99">
        <f>EXP('Model coeffs'!$G$12+('Model coeffs'!$G$5*'Cost drivers'!D34)+('Model coeffs'!$G$6*'Cost drivers'!F34)+('Model coeffs'!$G$8*'Cost drivers'!I34)+('Model coeffs'!$G$9*'Cost drivers'!J34)+('Model coeffs'!$G$11*'Cost drivers'!H34))</f>
        <v>413.40094943181487</v>
      </c>
      <c r="H34" s="100">
        <f>EXP('Model coeffs'!$H$12+('Model coeffs'!$H$5*'Cost drivers'!D34)+('Model coeffs'!$H$7*'Cost drivers'!G34)+('Model coeffs'!$H$8*'Cost drivers'!I34)+('Model coeffs'!$H$9*'Cost drivers'!J34)+('Model coeffs'!$H$11*'Cost drivers'!H34))</f>
        <v>403.02772674220859</v>
      </c>
      <c r="I34" s="83"/>
      <c r="J34" s="151">
        <f t="shared" si="0"/>
        <v>158.43838879755776</v>
      </c>
      <c r="K34" s="100">
        <f t="shared" si="1"/>
        <v>242.48307629163816</v>
      </c>
      <c r="L34" s="150">
        <f t="shared" si="2"/>
        <v>408.2143380870117</v>
      </c>
      <c r="M34" s="83"/>
      <c r="N34" s="151">
        <f t="shared" si="3"/>
        <v>400.92146508919592</v>
      </c>
      <c r="O34" s="99">
        <f t="shared" si="4"/>
        <v>408.2143380870117</v>
      </c>
      <c r="P34" s="100">
        <f t="shared" si="5"/>
        <v>404.56790158810384</v>
      </c>
    </row>
    <row r="35" spans="1:16" x14ac:dyDescent="0.3">
      <c r="A35" s="98" t="str">
        <f>'Actual costs'!A36</f>
        <v>SVT</v>
      </c>
      <c r="B35" s="64">
        <f>'Actual costs'!B36</f>
        <v>2014</v>
      </c>
      <c r="C35" s="64" t="str">
        <f>'Actual costs'!C36</f>
        <v>SVT14</v>
      </c>
      <c r="D35" s="99">
        <f>EXP('Model coeffs'!$D$12+('Model coeffs'!$D$5*'Cost drivers'!D35)+('Model coeffs'!$D$6*'Cost drivers'!F35)+('Model coeffs'!$D$8*'Cost drivers'!I35)+('Model coeffs'!$D$9*'Cost drivers'!J35))</f>
        <v>160.07530489807519</v>
      </c>
      <c r="E35" s="99">
        <f>EXP('Model coeffs'!$E$12+('Model coeffs'!$E$5*'Cost drivers'!D35)+('Model coeffs'!$E$7*'Cost drivers'!G35)+('Model coeffs'!$E$8*'Cost drivers'!I35)+('Model coeffs'!$E$9*'Cost drivers'!J35))</f>
        <v>159.33238576842646</v>
      </c>
      <c r="F35" s="99">
        <f>EXP('Model coeffs'!$F$12+('Model coeffs'!$F$8*'Cost drivers'!I35)+('Model coeffs'!$F$9*'Cost drivers'!J35)+('Model coeffs'!$F$10*'Cost drivers'!E35)+('Model coeffs'!$F$11*'Cost drivers'!H35))</f>
        <v>244.26691687179169</v>
      </c>
      <c r="G35" s="99">
        <f>EXP('Model coeffs'!$G$12+('Model coeffs'!$G$5*'Cost drivers'!D35)+('Model coeffs'!$G$6*'Cost drivers'!F35)+('Model coeffs'!$G$8*'Cost drivers'!I35)+('Model coeffs'!$G$9*'Cost drivers'!J35)+('Model coeffs'!$G$11*'Cost drivers'!H35))</f>
        <v>417.56672237376762</v>
      </c>
      <c r="H35" s="100">
        <f>EXP('Model coeffs'!$H$12+('Model coeffs'!$H$5*'Cost drivers'!D35)+('Model coeffs'!$H$7*'Cost drivers'!G35)+('Model coeffs'!$H$8*'Cost drivers'!I35)+('Model coeffs'!$H$9*'Cost drivers'!J35)+('Model coeffs'!$H$11*'Cost drivers'!H35))</f>
        <v>406.93849355820851</v>
      </c>
      <c r="I35" s="83"/>
      <c r="J35" s="151">
        <f t="shared" si="0"/>
        <v>159.70384533325083</v>
      </c>
      <c r="K35" s="100">
        <f t="shared" si="1"/>
        <v>244.26691687179169</v>
      </c>
      <c r="L35" s="150">
        <f t="shared" si="2"/>
        <v>412.25260796598809</v>
      </c>
      <c r="M35" s="83"/>
      <c r="N35" s="151">
        <f t="shared" si="3"/>
        <v>403.97076220504255</v>
      </c>
      <c r="O35" s="99">
        <f t="shared" si="4"/>
        <v>412.25260796598809</v>
      </c>
      <c r="P35" s="100">
        <f t="shared" si="5"/>
        <v>408.11168508551532</v>
      </c>
    </row>
    <row r="36" spans="1:16" x14ac:dyDescent="0.3">
      <c r="A36" s="98" t="str">
        <f>'Actual costs'!A37</f>
        <v>SVT</v>
      </c>
      <c r="B36" s="64">
        <f>'Actual costs'!B37</f>
        <v>2015</v>
      </c>
      <c r="C36" s="64" t="str">
        <f>'Actual costs'!C37</f>
        <v>SVT15</v>
      </c>
      <c r="D36" s="99">
        <f>EXP('Model coeffs'!$D$12+('Model coeffs'!$D$5*'Cost drivers'!D36)+('Model coeffs'!$D$6*'Cost drivers'!F36)+('Model coeffs'!$D$8*'Cost drivers'!I36)+('Model coeffs'!$D$9*'Cost drivers'!J36))</f>
        <v>161.53801337289804</v>
      </c>
      <c r="E36" s="99">
        <f>EXP('Model coeffs'!$E$12+('Model coeffs'!$E$5*'Cost drivers'!D36)+('Model coeffs'!$E$7*'Cost drivers'!G36)+('Model coeffs'!$E$8*'Cost drivers'!I36)+('Model coeffs'!$E$9*'Cost drivers'!J36))</f>
        <v>160.45352886336843</v>
      </c>
      <c r="F36" s="99">
        <f>EXP('Model coeffs'!$F$12+('Model coeffs'!$F$8*'Cost drivers'!I36)+('Model coeffs'!$F$9*'Cost drivers'!J36)+('Model coeffs'!$F$10*'Cost drivers'!E36)+('Model coeffs'!$F$11*'Cost drivers'!H36))</f>
        <v>245.74355445943215</v>
      </c>
      <c r="G36" s="99">
        <f>EXP('Model coeffs'!$G$12+('Model coeffs'!$G$5*'Cost drivers'!D36)+('Model coeffs'!$G$6*'Cost drivers'!F36)+('Model coeffs'!$G$8*'Cost drivers'!I36)+('Model coeffs'!$G$9*'Cost drivers'!J36)+('Model coeffs'!$G$11*'Cost drivers'!H36))</f>
        <v>420.63966830688196</v>
      </c>
      <c r="H36" s="100">
        <f>EXP('Model coeffs'!$H$12+('Model coeffs'!$H$5*'Cost drivers'!D36)+('Model coeffs'!$H$7*'Cost drivers'!G36)+('Model coeffs'!$H$8*'Cost drivers'!I36)+('Model coeffs'!$H$9*'Cost drivers'!J36)+('Model coeffs'!$H$11*'Cost drivers'!H36))</f>
        <v>410.1913939154577</v>
      </c>
      <c r="I36" s="83"/>
      <c r="J36" s="151">
        <f t="shared" si="0"/>
        <v>160.99577111813323</v>
      </c>
      <c r="K36" s="100">
        <f t="shared" si="1"/>
        <v>245.74355445943215</v>
      </c>
      <c r="L36" s="150">
        <f t="shared" si="2"/>
        <v>415.4155311111698</v>
      </c>
      <c r="M36" s="83"/>
      <c r="N36" s="151">
        <f t="shared" si="3"/>
        <v>406.73932557756541</v>
      </c>
      <c r="O36" s="99">
        <f t="shared" si="4"/>
        <v>415.4155311111698</v>
      </c>
      <c r="P36" s="100">
        <f t="shared" si="5"/>
        <v>411.0774283443676</v>
      </c>
    </row>
    <row r="37" spans="1:16" x14ac:dyDescent="0.3">
      <c r="A37" s="98" t="str">
        <f>'Actual costs'!A38</f>
        <v>SVT</v>
      </c>
      <c r="B37" s="64">
        <f>'Actual costs'!B38</f>
        <v>2016</v>
      </c>
      <c r="C37" s="64" t="str">
        <f>'Actual costs'!C38</f>
        <v>SVT16</v>
      </c>
      <c r="D37" s="99">
        <f>EXP('Model coeffs'!$D$12+('Model coeffs'!$D$5*'Cost drivers'!D37)+('Model coeffs'!$D$6*'Cost drivers'!F37)+('Model coeffs'!$D$8*'Cost drivers'!I37)+('Model coeffs'!$D$9*'Cost drivers'!J37))</f>
        <v>164.09161737339386</v>
      </c>
      <c r="E37" s="99">
        <f>EXP('Model coeffs'!$E$12+('Model coeffs'!$E$5*'Cost drivers'!D37)+('Model coeffs'!$E$7*'Cost drivers'!G37)+('Model coeffs'!$E$8*'Cost drivers'!I37)+('Model coeffs'!$E$9*'Cost drivers'!J37))</f>
        <v>162.13411143098628</v>
      </c>
      <c r="F37" s="99">
        <f>EXP('Model coeffs'!$F$12+('Model coeffs'!$F$8*'Cost drivers'!I37)+('Model coeffs'!$F$9*'Cost drivers'!J37)+('Model coeffs'!$F$10*'Cost drivers'!E37)+('Model coeffs'!$F$11*'Cost drivers'!H37))</f>
        <v>247.94449209720574</v>
      </c>
      <c r="G37" s="99">
        <f>EXP('Model coeffs'!$G$12+('Model coeffs'!$G$5*'Cost drivers'!D37)+('Model coeffs'!$G$6*'Cost drivers'!F37)+('Model coeffs'!$G$8*'Cost drivers'!I37)+('Model coeffs'!$G$9*'Cost drivers'!J37)+('Model coeffs'!$G$11*'Cost drivers'!H37))</f>
        <v>425.70199869914001</v>
      </c>
      <c r="H37" s="100">
        <f>EXP('Model coeffs'!$H$12+('Model coeffs'!$H$5*'Cost drivers'!D37)+('Model coeffs'!$H$7*'Cost drivers'!G37)+('Model coeffs'!$H$8*'Cost drivers'!I37)+('Model coeffs'!$H$9*'Cost drivers'!J37)+('Model coeffs'!$H$11*'Cost drivers'!H37))</f>
        <v>414.98575051905834</v>
      </c>
      <c r="I37" s="83"/>
      <c r="J37" s="151">
        <f t="shared" si="0"/>
        <v>163.11286440219007</v>
      </c>
      <c r="K37" s="100">
        <f t="shared" si="1"/>
        <v>247.94449209720574</v>
      </c>
      <c r="L37" s="150">
        <f t="shared" si="2"/>
        <v>420.3438746090992</v>
      </c>
      <c r="M37" s="83"/>
      <c r="N37" s="151">
        <f t="shared" si="3"/>
        <v>411.05735649939584</v>
      </c>
      <c r="O37" s="99">
        <f t="shared" si="4"/>
        <v>420.3438746090992</v>
      </c>
      <c r="P37" s="100">
        <f t="shared" si="5"/>
        <v>415.70061555424752</v>
      </c>
    </row>
    <row r="38" spans="1:16" x14ac:dyDescent="0.3">
      <c r="A38" s="98" t="str">
        <f>'Actual costs'!A39</f>
        <v>SVT</v>
      </c>
      <c r="B38" s="64">
        <f>'Actual costs'!B39</f>
        <v>2017</v>
      </c>
      <c r="C38" s="64" t="str">
        <f>'Actual costs'!C39</f>
        <v>SVT17</v>
      </c>
      <c r="D38" s="99">
        <f>EXP('Model coeffs'!$D$12+('Model coeffs'!$D$5*'Cost drivers'!D38)+('Model coeffs'!$D$6*'Cost drivers'!F38)+('Model coeffs'!$D$8*'Cost drivers'!I38)+('Model coeffs'!$D$9*'Cost drivers'!J38))</f>
        <v>167.62891015776398</v>
      </c>
      <c r="E38" s="99">
        <f>EXP('Model coeffs'!$E$12+('Model coeffs'!$E$5*'Cost drivers'!D38)+('Model coeffs'!$E$7*'Cost drivers'!G38)+('Model coeffs'!$E$8*'Cost drivers'!I38)+('Model coeffs'!$E$9*'Cost drivers'!J38))</f>
        <v>163.58627554910416</v>
      </c>
      <c r="F38" s="99">
        <f>EXP('Model coeffs'!$F$12+('Model coeffs'!$F$8*'Cost drivers'!I38)+('Model coeffs'!$F$9*'Cost drivers'!J38)+('Model coeffs'!$F$10*'Cost drivers'!E38)+('Model coeffs'!$F$11*'Cost drivers'!H38))</f>
        <v>249.61257319389694</v>
      </c>
      <c r="G38" s="99">
        <f>EXP('Model coeffs'!$G$12+('Model coeffs'!$G$5*'Cost drivers'!D38)+('Model coeffs'!$G$6*'Cost drivers'!F38)+('Model coeffs'!$G$8*'Cost drivers'!I38)+('Model coeffs'!$G$9*'Cost drivers'!J38)+('Model coeffs'!$G$11*'Cost drivers'!H38))</f>
        <v>428.1750040160768</v>
      </c>
      <c r="H38" s="100">
        <f>EXP('Model coeffs'!$H$12+('Model coeffs'!$H$5*'Cost drivers'!D38)+('Model coeffs'!$H$7*'Cost drivers'!G38)+('Model coeffs'!$H$8*'Cost drivers'!I38)+('Model coeffs'!$H$9*'Cost drivers'!J38)+('Model coeffs'!$H$11*'Cost drivers'!H38))</f>
        <v>417.23810539621098</v>
      </c>
      <c r="I38" s="83"/>
      <c r="J38" s="151">
        <f t="shared" si="0"/>
        <v>165.60759285343408</v>
      </c>
      <c r="K38" s="100">
        <f t="shared" si="1"/>
        <v>249.61257319389694</v>
      </c>
      <c r="L38" s="150">
        <f t="shared" si="2"/>
        <v>422.70655470614389</v>
      </c>
      <c r="M38" s="83"/>
      <c r="N38" s="151">
        <f t="shared" si="3"/>
        <v>415.22016604733102</v>
      </c>
      <c r="O38" s="99">
        <f t="shared" si="4"/>
        <v>422.70655470614389</v>
      </c>
      <c r="P38" s="100">
        <f t="shared" si="5"/>
        <v>418.96336037673746</v>
      </c>
    </row>
    <row r="39" spans="1:16" x14ac:dyDescent="0.3">
      <c r="A39" s="98" t="str">
        <f>'Actual costs'!A40</f>
        <v>SVT</v>
      </c>
      <c r="B39" s="64">
        <f>'Actual costs'!B40</f>
        <v>2018</v>
      </c>
      <c r="C39" s="64" t="str">
        <f>'Actual costs'!C40</f>
        <v>SVT18</v>
      </c>
      <c r="D39" s="99">
        <f>EXP('Model coeffs'!$D$12+('Model coeffs'!$D$5*'Cost drivers'!D39)+('Model coeffs'!$D$6*'Cost drivers'!F39)+('Model coeffs'!$D$8*'Cost drivers'!I39)+('Model coeffs'!$D$9*'Cost drivers'!J39))</f>
        <v>171.62030930721809</v>
      </c>
      <c r="E39" s="99">
        <f>EXP('Model coeffs'!$E$12+('Model coeffs'!$E$5*'Cost drivers'!D39)+('Model coeffs'!$E$7*'Cost drivers'!G39)+('Model coeffs'!$E$8*'Cost drivers'!I39)+('Model coeffs'!$E$9*'Cost drivers'!J39))</f>
        <v>167.2311202962924</v>
      </c>
      <c r="F39" s="99">
        <f>EXP('Model coeffs'!$F$12+('Model coeffs'!$F$8*'Cost drivers'!I39)+('Model coeffs'!$F$9*'Cost drivers'!J39)+('Model coeffs'!$F$10*'Cost drivers'!E39)+('Model coeffs'!$F$11*'Cost drivers'!H39))</f>
        <v>265.87083321528939</v>
      </c>
      <c r="G39" s="99">
        <f>EXP('Model coeffs'!$G$12+('Model coeffs'!$G$5*'Cost drivers'!D39)+('Model coeffs'!$G$6*'Cost drivers'!F39)+('Model coeffs'!$G$8*'Cost drivers'!I39)+('Model coeffs'!$G$9*'Cost drivers'!J39)+('Model coeffs'!$G$11*'Cost drivers'!H39))</f>
        <v>466.09986464368006</v>
      </c>
      <c r="H39" s="100">
        <f>EXP('Model coeffs'!$H$12+('Model coeffs'!$H$5*'Cost drivers'!D39)+('Model coeffs'!$H$7*'Cost drivers'!G39)+('Model coeffs'!$H$8*'Cost drivers'!I39)+('Model coeffs'!$H$9*'Cost drivers'!J39)+('Model coeffs'!$H$11*'Cost drivers'!H39))</f>
        <v>455.48775450544684</v>
      </c>
      <c r="I39" s="83"/>
      <c r="J39" s="151">
        <f t="shared" si="0"/>
        <v>169.42571480175525</v>
      </c>
      <c r="K39" s="100">
        <f t="shared" si="1"/>
        <v>265.87083321528939</v>
      </c>
      <c r="L39" s="150">
        <f t="shared" si="2"/>
        <v>460.79380957456345</v>
      </c>
      <c r="M39" s="83"/>
      <c r="N39" s="151">
        <f t="shared" si="3"/>
        <v>435.29654801704464</v>
      </c>
      <c r="O39" s="99">
        <f t="shared" si="4"/>
        <v>460.79380957456345</v>
      </c>
      <c r="P39" s="100">
        <f t="shared" si="5"/>
        <v>448.04517879580408</v>
      </c>
    </row>
    <row r="40" spans="1:16" x14ac:dyDescent="0.3">
      <c r="A40" s="98" t="str">
        <f>'Actual costs'!A41</f>
        <v>SWT</v>
      </c>
      <c r="B40" s="64">
        <f>'Actual costs'!B41</f>
        <v>2012</v>
      </c>
      <c r="C40" s="64" t="str">
        <f>'Actual costs'!C41</f>
        <v>SWT12</v>
      </c>
      <c r="D40" s="99">
        <f>EXP('Model coeffs'!$D$12+('Model coeffs'!$D$5*'Cost drivers'!D40)+('Model coeffs'!$D$6*'Cost drivers'!F40)+('Model coeffs'!$D$8*'Cost drivers'!I40)+('Model coeffs'!$D$9*'Cost drivers'!J40))</f>
        <v>44.574755831323657</v>
      </c>
      <c r="E40" s="99">
        <f>EXP('Model coeffs'!$E$12+('Model coeffs'!$E$5*'Cost drivers'!D40)+('Model coeffs'!$E$7*'Cost drivers'!G40)+('Model coeffs'!$E$8*'Cost drivers'!I40)+('Model coeffs'!$E$9*'Cost drivers'!J40))</f>
        <v>39.872741056025312</v>
      </c>
      <c r="F40" s="99">
        <f>EXP('Model coeffs'!$F$12+('Model coeffs'!$F$8*'Cost drivers'!I40)+('Model coeffs'!$F$9*'Cost drivers'!J40)+('Model coeffs'!$F$10*'Cost drivers'!E40)+('Model coeffs'!$F$11*'Cost drivers'!H40))</f>
        <v>58.656529234047575</v>
      </c>
      <c r="G40" s="99">
        <f>EXP('Model coeffs'!$G$12+('Model coeffs'!$G$5*'Cost drivers'!D40)+('Model coeffs'!$G$6*'Cost drivers'!F40)+('Model coeffs'!$G$8*'Cost drivers'!I40)+('Model coeffs'!$G$9*'Cost drivers'!J40)+('Model coeffs'!$G$11*'Cost drivers'!H40))</f>
        <v>96.227534114077997</v>
      </c>
      <c r="H40" s="100">
        <f>EXP('Model coeffs'!$H$12+('Model coeffs'!$H$5*'Cost drivers'!D40)+('Model coeffs'!$H$7*'Cost drivers'!G40)+('Model coeffs'!$H$8*'Cost drivers'!I40)+('Model coeffs'!$H$9*'Cost drivers'!J40)+('Model coeffs'!$H$11*'Cost drivers'!H40))</f>
        <v>90.630661316134123</v>
      </c>
      <c r="I40" s="83"/>
      <c r="J40" s="151">
        <f t="shared" si="0"/>
        <v>42.223748443674481</v>
      </c>
      <c r="K40" s="100">
        <f t="shared" si="1"/>
        <v>58.656529234047575</v>
      </c>
      <c r="L40" s="150">
        <f t="shared" si="2"/>
        <v>93.429097715106053</v>
      </c>
      <c r="M40" s="83"/>
      <c r="N40" s="151">
        <f t="shared" si="3"/>
        <v>100.88027767772206</v>
      </c>
      <c r="O40" s="99">
        <f t="shared" si="4"/>
        <v>93.429097715106053</v>
      </c>
      <c r="P40" s="100">
        <f t="shared" si="5"/>
        <v>97.154687696414058</v>
      </c>
    </row>
    <row r="41" spans="1:16" x14ac:dyDescent="0.3">
      <c r="A41" s="98" t="str">
        <f>'Actual costs'!A42</f>
        <v>SWT</v>
      </c>
      <c r="B41" s="64">
        <f>'Actual costs'!B42</f>
        <v>2013</v>
      </c>
      <c r="C41" s="64" t="str">
        <f>'Actual costs'!C42</f>
        <v>SWT13</v>
      </c>
      <c r="D41" s="99">
        <f>EXP('Model coeffs'!$D$12+('Model coeffs'!$D$5*'Cost drivers'!D41)+('Model coeffs'!$D$6*'Cost drivers'!F41)+('Model coeffs'!$D$8*'Cost drivers'!I41)+('Model coeffs'!$D$9*'Cost drivers'!J41))</f>
        <v>44.773900303248979</v>
      </c>
      <c r="E41" s="99">
        <f>EXP('Model coeffs'!$E$12+('Model coeffs'!$E$5*'Cost drivers'!D41)+('Model coeffs'!$E$7*'Cost drivers'!G41)+('Model coeffs'!$E$8*'Cost drivers'!I41)+('Model coeffs'!$E$9*'Cost drivers'!J41))</f>
        <v>40.188574958054225</v>
      </c>
      <c r="F41" s="99">
        <f>EXP('Model coeffs'!$F$12+('Model coeffs'!$F$8*'Cost drivers'!I41)+('Model coeffs'!$F$9*'Cost drivers'!J41)+('Model coeffs'!$F$10*'Cost drivers'!E41)+('Model coeffs'!$F$11*'Cost drivers'!H41))</f>
        <v>58.869786749899674</v>
      </c>
      <c r="G41" s="99">
        <f>EXP('Model coeffs'!$G$12+('Model coeffs'!$G$5*'Cost drivers'!D41)+('Model coeffs'!$G$6*'Cost drivers'!F41)+('Model coeffs'!$G$8*'Cost drivers'!I41)+('Model coeffs'!$G$9*'Cost drivers'!J41)+('Model coeffs'!$G$11*'Cost drivers'!H41))</f>
        <v>96.731684399032474</v>
      </c>
      <c r="H41" s="100">
        <f>EXP('Model coeffs'!$H$12+('Model coeffs'!$H$5*'Cost drivers'!D41)+('Model coeffs'!$H$7*'Cost drivers'!G41)+('Model coeffs'!$H$8*'Cost drivers'!I41)+('Model coeffs'!$H$9*'Cost drivers'!J41)+('Model coeffs'!$H$11*'Cost drivers'!H41))</f>
        <v>91.333983947840224</v>
      </c>
      <c r="I41" s="83"/>
      <c r="J41" s="151">
        <f t="shared" si="0"/>
        <v>42.481237630651606</v>
      </c>
      <c r="K41" s="100">
        <f t="shared" si="1"/>
        <v>58.869786749899674</v>
      </c>
      <c r="L41" s="150">
        <f t="shared" si="2"/>
        <v>94.032834173436356</v>
      </c>
      <c r="M41" s="83"/>
      <c r="N41" s="151">
        <f t="shared" si="3"/>
        <v>101.35102438055128</v>
      </c>
      <c r="O41" s="99">
        <f t="shared" si="4"/>
        <v>94.032834173436356</v>
      </c>
      <c r="P41" s="100">
        <f t="shared" si="5"/>
        <v>97.691929276993818</v>
      </c>
    </row>
    <row r="42" spans="1:16" x14ac:dyDescent="0.3">
      <c r="A42" s="98" t="str">
        <f>'Actual costs'!A43</f>
        <v>SWT</v>
      </c>
      <c r="B42" s="64">
        <f>'Actual costs'!B43</f>
        <v>2014</v>
      </c>
      <c r="C42" s="64" t="str">
        <f>'Actual costs'!C43</f>
        <v>SWT14</v>
      </c>
      <c r="D42" s="99">
        <f>EXP('Model coeffs'!$D$12+('Model coeffs'!$D$5*'Cost drivers'!D42)+('Model coeffs'!$D$6*'Cost drivers'!F42)+('Model coeffs'!$D$8*'Cost drivers'!I42)+('Model coeffs'!$D$9*'Cost drivers'!J42))</f>
        <v>44.969518931419273</v>
      </c>
      <c r="E42" s="99">
        <f>EXP('Model coeffs'!$E$12+('Model coeffs'!$E$5*'Cost drivers'!D42)+('Model coeffs'!$E$7*'Cost drivers'!G42)+('Model coeffs'!$E$8*'Cost drivers'!I42)+('Model coeffs'!$E$9*'Cost drivers'!J42))</f>
        <v>40.578179193924406</v>
      </c>
      <c r="F42" s="99">
        <f>EXP('Model coeffs'!$F$12+('Model coeffs'!$F$8*'Cost drivers'!I42)+('Model coeffs'!$F$9*'Cost drivers'!J42)+('Model coeffs'!$F$10*'Cost drivers'!E42)+('Model coeffs'!$F$11*'Cost drivers'!H42))</f>
        <v>59.038426040518495</v>
      </c>
      <c r="G42" s="99">
        <f>EXP('Model coeffs'!$G$12+('Model coeffs'!$G$5*'Cost drivers'!D42)+('Model coeffs'!$G$6*'Cost drivers'!F42)+('Model coeffs'!$G$8*'Cost drivers'!I42)+('Model coeffs'!$G$9*'Cost drivers'!J42)+('Model coeffs'!$G$11*'Cost drivers'!H42))</f>
        <v>97.283064498033298</v>
      </c>
      <c r="H42" s="100">
        <f>EXP('Model coeffs'!$H$12+('Model coeffs'!$H$5*'Cost drivers'!D42)+('Model coeffs'!$H$7*'Cost drivers'!G42)+('Model coeffs'!$H$8*'Cost drivers'!I42)+('Model coeffs'!$H$9*'Cost drivers'!J42)+('Model coeffs'!$H$11*'Cost drivers'!H42))</f>
        <v>92.213749082214193</v>
      </c>
      <c r="I42" s="83"/>
      <c r="J42" s="151">
        <f t="shared" si="0"/>
        <v>42.773849062671843</v>
      </c>
      <c r="K42" s="100">
        <f t="shared" si="1"/>
        <v>59.038426040518495</v>
      </c>
      <c r="L42" s="150">
        <f t="shared" si="2"/>
        <v>94.748406790123738</v>
      </c>
      <c r="M42" s="83"/>
      <c r="N42" s="151">
        <f t="shared" si="3"/>
        <v>101.81227510319033</v>
      </c>
      <c r="O42" s="99">
        <f t="shared" si="4"/>
        <v>94.748406790123738</v>
      </c>
      <c r="P42" s="100">
        <f t="shared" si="5"/>
        <v>98.280340946657034</v>
      </c>
    </row>
    <row r="43" spans="1:16" x14ac:dyDescent="0.3">
      <c r="A43" s="98" t="str">
        <f>'Actual costs'!A44</f>
        <v>SWT</v>
      </c>
      <c r="B43" s="64">
        <f>'Actual costs'!B44</f>
        <v>2015</v>
      </c>
      <c r="C43" s="64" t="str">
        <f>'Actual costs'!C44</f>
        <v>SWT15</v>
      </c>
      <c r="D43" s="99">
        <f>EXP('Model coeffs'!$D$12+('Model coeffs'!$D$5*'Cost drivers'!D43)+('Model coeffs'!$D$6*'Cost drivers'!F43)+('Model coeffs'!$D$8*'Cost drivers'!I43)+('Model coeffs'!$D$9*'Cost drivers'!J43))</f>
        <v>45.185902448106319</v>
      </c>
      <c r="E43" s="99">
        <f>EXP('Model coeffs'!$E$12+('Model coeffs'!$E$5*'Cost drivers'!D43)+('Model coeffs'!$E$7*'Cost drivers'!G43)+('Model coeffs'!$E$8*'Cost drivers'!I43)+('Model coeffs'!$E$9*'Cost drivers'!J43))</f>
        <v>42.115732174502909</v>
      </c>
      <c r="F43" s="99">
        <f>EXP('Model coeffs'!$F$12+('Model coeffs'!$F$8*'Cost drivers'!I43)+('Model coeffs'!$F$9*'Cost drivers'!J43)+('Model coeffs'!$F$10*'Cost drivers'!E43)+('Model coeffs'!$F$11*'Cost drivers'!H43))</f>
        <v>59.320905052785577</v>
      </c>
      <c r="G43" s="99">
        <f>EXP('Model coeffs'!$G$12+('Model coeffs'!$G$5*'Cost drivers'!D43)+('Model coeffs'!$G$6*'Cost drivers'!F43)+('Model coeffs'!$G$8*'Cost drivers'!I43)+('Model coeffs'!$G$9*'Cost drivers'!J43)+('Model coeffs'!$G$11*'Cost drivers'!H43))</f>
        <v>97.824076458559134</v>
      </c>
      <c r="H43" s="100">
        <f>EXP('Model coeffs'!$H$12+('Model coeffs'!$H$5*'Cost drivers'!D43)+('Model coeffs'!$H$7*'Cost drivers'!G43)+('Model coeffs'!$H$8*'Cost drivers'!I43)+('Model coeffs'!$H$9*'Cost drivers'!J43)+('Model coeffs'!$H$11*'Cost drivers'!H43))</f>
        <v>95.26413153609667</v>
      </c>
      <c r="I43" s="83"/>
      <c r="J43" s="151">
        <f t="shared" si="0"/>
        <v>43.650817311304614</v>
      </c>
      <c r="K43" s="100">
        <f t="shared" si="1"/>
        <v>59.320905052785577</v>
      </c>
      <c r="L43" s="150">
        <f t="shared" si="2"/>
        <v>96.544103997327909</v>
      </c>
      <c r="M43" s="83"/>
      <c r="N43" s="151">
        <f t="shared" si="3"/>
        <v>102.9717223640902</v>
      </c>
      <c r="O43" s="99">
        <f t="shared" si="4"/>
        <v>96.544103997327909</v>
      </c>
      <c r="P43" s="100">
        <f t="shared" si="5"/>
        <v>99.757913180709053</v>
      </c>
    </row>
    <row r="44" spans="1:16" x14ac:dyDescent="0.3">
      <c r="A44" s="98" t="str">
        <f>'Actual costs'!A45</f>
        <v>SWT</v>
      </c>
      <c r="B44" s="64">
        <f>'Actual costs'!B45</f>
        <v>2016</v>
      </c>
      <c r="C44" s="64" t="str">
        <f>'Actual costs'!C45</f>
        <v>SWT16</v>
      </c>
      <c r="D44" s="99">
        <f>EXP('Model coeffs'!$D$12+('Model coeffs'!$D$5*'Cost drivers'!D44)+('Model coeffs'!$D$6*'Cost drivers'!F44)+('Model coeffs'!$D$8*'Cost drivers'!I44)+('Model coeffs'!$D$9*'Cost drivers'!J44))</f>
        <v>45.528882344461259</v>
      </c>
      <c r="E44" s="99">
        <f>EXP('Model coeffs'!$E$12+('Model coeffs'!$E$5*'Cost drivers'!D44)+('Model coeffs'!$E$7*'Cost drivers'!G44)+('Model coeffs'!$E$8*'Cost drivers'!I44)+('Model coeffs'!$E$9*'Cost drivers'!J44))</f>
        <v>42.408727136209393</v>
      </c>
      <c r="F44" s="99">
        <f>EXP('Model coeffs'!$F$12+('Model coeffs'!$F$8*'Cost drivers'!I44)+('Model coeffs'!$F$9*'Cost drivers'!J44)+('Model coeffs'!$F$10*'Cost drivers'!E44)+('Model coeffs'!$F$11*'Cost drivers'!H44))</f>
        <v>59.507378774561808</v>
      </c>
      <c r="G44" s="99">
        <f>EXP('Model coeffs'!$G$12+('Model coeffs'!$G$5*'Cost drivers'!D44)+('Model coeffs'!$G$6*'Cost drivers'!F44)+('Model coeffs'!$G$8*'Cost drivers'!I44)+('Model coeffs'!$G$9*'Cost drivers'!J44)+('Model coeffs'!$G$11*'Cost drivers'!H44))</f>
        <v>98.69654228135137</v>
      </c>
      <c r="H44" s="100">
        <f>EXP('Model coeffs'!$H$12+('Model coeffs'!$H$5*'Cost drivers'!D44)+('Model coeffs'!$H$7*'Cost drivers'!G44)+('Model coeffs'!$H$8*'Cost drivers'!I44)+('Model coeffs'!$H$9*'Cost drivers'!J44)+('Model coeffs'!$H$11*'Cost drivers'!H44))</f>
        <v>95.998056632676878</v>
      </c>
      <c r="I44" s="83"/>
      <c r="J44" s="151">
        <f t="shared" si="0"/>
        <v>43.968804740335329</v>
      </c>
      <c r="K44" s="100">
        <f t="shared" si="1"/>
        <v>59.507378774561808</v>
      </c>
      <c r="L44" s="150">
        <f t="shared" si="2"/>
        <v>97.347299457014117</v>
      </c>
      <c r="M44" s="83"/>
      <c r="N44" s="151">
        <f t="shared" si="3"/>
        <v>103.47618351489714</v>
      </c>
      <c r="O44" s="99">
        <f t="shared" si="4"/>
        <v>97.347299457014117</v>
      </c>
      <c r="P44" s="100">
        <f t="shared" si="5"/>
        <v>100.41174148595563</v>
      </c>
    </row>
    <row r="45" spans="1:16" x14ac:dyDescent="0.3">
      <c r="A45" s="98" t="str">
        <f>'Actual costs'!A46</f>
        <v>SWB</v>
      </c>
      <c r="B45" s="64">
        <f>'Actual costs'!B46</f>
        <v>2017</v>
      </c>
      <c r="C45" s="64" t="str">
        <f>'Actual costs'!C46</f>
        <v>SWB17</v>
      </c>
      <c r="D45" s="99">
        <f>EXP('Model coeffs'!$D$12+('Model coeffs'!$D$5*'Cost drivers'!D45)+('Model coeffs'!$D$6*'Cost drivers'!F45)+('Model coeffs'!$D$8*'Cost drivers'!I45)+('Model coeffs'!$D$9*'Cost drivers'!J45))</f>
        <v>55.085226484547334</v>
      </c>
      <c r="E45" s="99">
        <f>EXP('Model coeffs'!$E$12+('Model coeffs'!$E$5*'Cost drivers'!D45)+('Model coeffs'!$E$7*'Cost drivers'!G45)+('Model coeffs'!$E$8*'Cost drivers'!I45)+('Model coeffs'!$E$9*'Cost drivers'!J45))</f>
        <v>53.415337638660993</v>
      </c>
      <c r="F45" s="99">
        <f>EXP('Model coeffs'!$F$12+('Model coeffs'!$F$8*'Cost drivers'!I45)+('Model coeffs'!$F$9*'Cost drivers'!J45)+('Model coeffs'!$F$10*'Cost drivers'!E45)+('Model coeffs'!$F$11*'Cost drivers'!H45))</f>
        <v>70.727628962221502</v>
      </c>
      <c r="G45" s="99">
        <f>EXP('Model coeffs'!$G$12+('Model coeffs'!$G$5*'Cost drivers'!D45)+('Model coeffs'!$G$6*'Cost drivers'!F45)+('Model coeffs'!$G$8*'Cost drivers'!I45)+('Model coeffs'!$G$9*'Cost drivers'!J45)+('Model coeffs'!$G$11*'Cost drivers'!H45))</f>
        <v>116.59040705037974</v>
      </c>
      <c r="H45" s="100">
        <f>EXP('Model coeffs'!$H$12+('Model coeffs'!$H$5*'Cost drivers'!D45)+('Model coeffs'!$H$7*'Cost drivers'!G45)+('Model coeffs'!$H$8*'Cost drivers'!I45)+('Model coeffs'!$H$9*'Cost drivers'!J45)+('Model coeffs'!$H$11*'Cost drivers'!H45))</f>
        <v>116.28355940481171</v>
      </c>
      <c r="I45" s="83"/>
      <c r="J45" s="151">
        <f t="shared" si="0"/>
        <v>54.250282061604167</v>
      </c>
      <c r="K45" s="100">
        <f t="shared" si="1"/>
        <v>70.727628962221502</v>
      </c>
      <c r="L45" s="150">
        <f t="shared" si="2"/>
        <v>116.43698322759573</v>
      </c>
      <c r="M45" s="83"/>
      <c r="N45" s="151">
        <f t="shared" si="3"/>
        <v>124.97791102382567</v>
      </c>
      <c r="O45" s="99">
        <f t="shared" si="4"/>
        <v>116.43698322759573</v>
      </c>
      <c r="P45" s="100">
        <f t="shared" si="5"/>
        <v>120.7074471257107</v>
      </c>
    </row>
    <row r="46" spans="1:16" x14ac:dyDescent="0.3">
      <c r="A46" s="98" t="str">
        <f>'Actual costs'!A47</f>
        <v>SWB</v>
      </c>
      <c r="B46" s="64">
        <f>'Actual costs'!B47</f>
        <v>2018</v>
      </c>
      <c r="C46" s="64" t="str">
        <f>'Actual costs'!C47</f>
        <v>SWB18</v>
      </c>
      <c r="D46" s="99">
        <f>EXP('Model coeffs'!$D$12+('Model coeffs'!$D$5*'Cost drivers'!D46)+('Model coeffs'!$D$6*'Cost drivers'!F46)+('Model coeffs'!$D$8*'Cost drivers'!I46)+('Model coeffs'!$D$9*'Cost drivers'!J46))</f>
        <v>55.630662422869143</v>
      </c>
      <c r="E46" s="99">
        <f>EXP('Model coeffs'!$E$12+('Model coeffs'!$E$5*'Cost drivers'!D46)+('Model coeffs'!$E$7*'Cost drivers'!G46)+('Model coeffs'!$E$8*'Cost drivers'!I46)+('Model coeffs'!$E$9*'Cost drivers'!J46))</f>
        <v>54.332179076199481</v>
      </c>
      <c r="F46" s="99">
        <f>EXP('Model coeffs'!$F$12+('Model coeffs'!$F$8*'Cost drivers'!I46)+('Model coeffs'!$F$9*'Cost drivers'!J46)+('Model coeffs'!$F$10*'Cost drivers'!E46)+('Model coeffs'!$F$11*'Cost drivers'!H46))</f>
        <v>74.898772552603219</v>
      </c>
      <c r="G46" s="99">
        <f>EXP('Model coeffs'!$G$12+('Model coeffs'!$G$5*'Cost drivers'!D46)+('Model coeffs'!$G$6*'Cost drivers'!F46)+('Model coeffs'!$G$8*'Cost drivers'!I46)+('Model coeffs'!$G$9*'Cost drivers'!J46)+('Model coeffs'!$G$11*'Cost drivers'!H46))</f>
        <v>123.15835099386264</v>
      </c>
      <c r="H46" s="100">
        <f>EXP('Model coeffs'!$H$12+('Model coeffs'!$H$5*'Cost drivers'!D46)+('Model coeffs'!$H$7*'Cost drivers'!G46)+('Model coeffs'!$H$8*'Cost drivers'!I46)+('Model coeffs'!$H$9*'Cost drivers'!J46)+('Model coeffs'!$H$11*'Cost drivers'!H46))</f>
        <v>123.59482197727154</v>
      </c>
      <c r="I46" s="83"/>
      <c r="J46" s="151">
        <f t="shared" si="0"/>
        <v>54.981420749534308</v>
      </c>
      <c r="K46" s="100">
        <f t="shared" si="1"/>
        <v>74.898772552603219</v>
      </c>
      <c r="L46" s="150">
        <f t="shared" si="2"/>
        <v>123.37658648556709</v>
      </c>
      <c r="M46" s="83"/>
      <c r="N46" s="151">
        <f t="shared" si="3"/>
        <v>129.88019330213751</v>
      </c>
      <c r="O46" s="99">
        <f t="shared" si="4"/>
        <v>123.37658648556709</v>
      </c>
      <c r="P46" s="100">
        <f t="shared" si="5"/>
        <v>126.6283898938523</v>
      </c>
    </row>
    <row r="47" spans="1:16" x14ac:dyDescent="0.3">
      <c r="A47" s="98" t="str">
        <f>'Actual costs'!A48</f>
        <v>TMS</v>
      </c>
      <c r="B47" s="64">
        <f>'Actual costs'!B48</f>
        <v>2012</v>
      </c>
      <c r="C47" s="64" t="str">
        <f>'Actual costs'!C48</f>
        <v>TMS12</v>
      </c>
      <c r="D47" s="99">
        <f>EXP('Model coeffs'!$D$12+('Model coeffs'!$D$5*'Cost drivers'!D47)+('Model coeffs'!$D$6*'Cost drivers'!F47)+('Model coeffs'!$D$8*'Cost drivers'!I47)+('Model coeffs'!$D$9*'Cost drivers'!J47))</f>
        <v>170.30580276891453</v>
      </c>
      <c r="E47" s="99">
        <f>EXP('Model coeffs'!$E$12+('Model coeffs'!$E$5*'Cost drivers'!D47)+('Model coeffs'!$E$7*'Cost drivers'!G47)+('Model coeffs'!$E$8*'Cost drivers'!I47)+('Model coeffs'!$E$9*'Cost drivers'!J47))</f>
        <v>161.63611585971603</v>
      </c>
      <c r="F47" s="99">
        <f>EXP('Model coeffs'!$F$12+('Model coeffs'!$F$8*'Cost drivers'!I47)+('Model coeffs'!$F$9*'Cost drivers'!J47)+('Model coeffs'!$F$10*'Cost drivers'!E47)+('Model coeffs'!$F$11*'Cost drivers'!H47))</f>
        <v>372.0050858846717</v>
      </c>
      <c r="G47" s="99">
        <f>EXP('Model coeffs'!$G$12+('Model coeffs'!$G$5*'Cost drivers'!D47)+('Model coeffs'!$G$6*'Cost drivers'!F47)+('Model coeffs'!$G$8*'Cost drivers'!I47)+('Model coeffs'!$G$9*'Cost drivers'!J47)+('Model coeffs'!$G$11*'Cost drivers'!H47))</f>
        <v>529.92334942534876</v>
      </c>
      <c r="H47" s="100">
        <f>EXP('Model coeffs'!$H$12+('Model coeffs'!$H$5*'Cost drivers'!D47)+('Model coeffs'!$H$7*'Cost drivers'!G47)+('Model coeffs'!$H$8*'Cost drivers'!I47)+('Model coeffs'!$H$9*'Cost drivers'!J47)+('Model coeffs'!$H$11*'Cost drivers'!H47))</f>
        <v>531.40406801502775</v>
      </c>
      <c r="I47" s="83"/>
      <c r="J47" s="151">
        <f t="shared" si="0"/>
        <v>165.97095931431528</v>
      </c>
      <c r="K47" s="100">
        <f t="shared" si="1"/>
        <v>372.0050858846717</v>
      </c>
      <c r="L47" s="150">
        <f t="shared" si="2"/>
        <v>530.6637087201882</v>
      </c>
      <c r="M47" s="83"/>
      <c r="N47" s="151">
        <f t="shared" si="3"/>
        <v>537.97604519898698</v>
      </c>
      <c r="O47" s="99">
        <f t="shared" si="4"/>
        <v>530.6637087201882</v>
      </c>
      <c r="P47" s="100">
        <f t="shared" si="5"/>
        <v>534.31987695958765</v>
      </c>
    </row>
    <row r="48" spans="1:16" x14ac:dyDescent="0.3">
      <c r="A48" s="98" t="str">
        <f>'Actual costs'!A49</f>
        <v>TMS</v>
      </c>
      <c r="B48" s="64">
        <f>'Actual costs'!B49</f>
        <v>2013</v>
      </c>
      <c r="C48" s="64" t="str">
        <f>'Actual costs'!C49</f>
        <v>TMS13</v>
      </c>
      <c r="D48" s="99">
        <f>EXP('Model coeffs'!$D$12+('Model coeffs'!$D$5*'Cost drivers'!D48)+('Model coeffs'!$D$6*'Cost drivers'!F48)+('Model coeffs'!$D$8*'Cost drivers'!I48)+('Model coeffs'!$D$9*'Cost drivers'!J48))</f>
        <v>171.60023374187855</v>
      </c>
      <c r="E48" s="99">
        <f>EXP('Model coeffs'!$E$12+('Model coeffs'!$E$5*'Cost drivers'!D48)+('Model coeffs'!$E$7*'Cost drivers'!G48)+('Model coeffs'!$E$8*'Cost drivers'!I48)+('Model coeffs'!$E$9*'Cost drivers'!J48))</f>
        <v>162.69413102456613</v>
      </c>
      <c r="F48" s="99">
        <f>EXP('Model coeffs'!$F$12+('Model coeffs'!$F$8*'Cost drivers'!I48)+('Model coeffs'!$F$9*'Cost drivers'!J48)+('Model coeffs'!$F$10*'Cost drivers'!E48)+('Model coeffs'!$F$11*'Cost drivers'!H48))</f>
        <v>378.87939247353597</v>
      </c>
      <c r="G48" s="99">
        <f>EXP('Model coeffs'!$G$12+('Model coeffs'!$G$5*'Cost drivers'!D48)+('Model coeffs'!$G$6*'Cost drivers'!F48)+('Model coeffs'!$G$8*'Cost drivers'!I48)+('Model coeffs'!$G$9*'Cost drivers'!J48)+('Model coeffs'!$G$11*'Cost drivers'!H48))</f>
        <v>536.75197911538692</v>
      </c>
      <c r="H48" s="100">
        <f>EXP('Model coeffs'!$H$12+('Model coeffs'!$H$5*'Cost drivers'!D48)+('Model coeffs'!$H$7*'Cost drivers'!G48)+('Model coeffs'!$H$8*'Cost drivers'!I48)+('Model coeffs'!$H$9*'Cost drivers'!J48)+('Model coeffs'!$H$11*'Cost drivers'!H48))</f>
        <v>538.48388160164711</v>
      </c>
      <c r="I48" s="83"/>
      <c r="J48" s="151">
        <f t="shared" si="0"/>
        <v>167.14718238322234</v>
      </c>
      <c r="K48" s="100">
        <f t="shared" si="1"/>
        <v>378.87939247353597</v>
      </c>
      <c r="L48" s="150">
        <f t="shared" si="2"/>
        <v>537.61793035851701</v>
      </c>
      <c r="M48" s="83"/>
      <c r="N48" s="151">
        <f t="shared" si="3"/>
        <v>546.02657485675832</v>
      </c>
      <c r="O48" s="99">
        <f t="shared" si="4"/>
        <v>537.61793035851701</v>
      </c>
      <c r="P48" s="100">
        <f t="shared" si="5"/>
        <v>541.82225260763767</v>
      </c>
    </row>
    <row r="49" spans="1:16" x14ac:dyDescent="0.3">
      <c r="A49" s="98" t="str">
        <f>'Actual costs'!A50</f>
        <v>TMS</v>
      </c>
      <c r="B49" s="64">
        <f>'Actual costs'!B50</f>
        <v>2014</v>
      </c>
      <c r="C49" s="64" t="str">
        <f>'Actual costs'!C50</f>
        <v>TMS14</v>
      </c>
      <c r="D49" s="99">
        <f>EXP('Model coeffs'!$D$12+('Model coeffs'!$D$5*'Cost drivers'!D49)+('Model coeffs'!$D$6*'Cost drivers'!F49)+('Model coeffs'!$D$8*'Cost drivers'!I49)+('Model coeffs'!$D$9*'Cost drivers'!J49))</f>
        <v>172.58285292556849</v>
      </c>
      <c r="E49" s="99">
        <f>EXP('Model coeffs'!$E$12+('Model coeffs'!$E$5*'Cost drivers'!D49)+('Model coeffs'!$E$7*'Cost drivers'!G49)+('Model coeffs'!$E$8*'Cost drivers'!I49)+('Model coeffs'!$E$9*'Cost drivers'!J49))</f>
        <v>163.40532878476691</v>
      </c>
      <c r="F49" s="99">
        <f>EXP('Model coeffs'!$F$12+('Model coeffs'!$F$8*'Cost drivers'!I49)+('Model coeffs'!$F$9*'Cost drivers'!J49)+('Model coeffs'!$F$10*'Cost drivers'!E49)+('Model coeffs'!$F$11*'Cost drivers'!H49))</f>
        <v>385.94294781791928</v>
      </c>
      <c r="G49" s="99">
        <f>EXP('Model coeffs'!$G$12+('Model coeffs'!$G$5*'Cost drivers'!D49)+('Model coeffs'!$G$6*'Cost drivers'!F49)+('Model coeffs'!$G$8*'Cost drivers'!I49)+('Model coeffs'!$G$9*'Cost drivers'!J49)+('Model coeffs'!$G$11*'Cost drivers'!H49))</f>
        <v>544.38701198377714</v>
      </c>
      <c r="H49" s="100">
        <f>EXP('Model coeffs'!$H$12+('Model coeffs'!$H$5*'Cost drivers'!D49)+('Model coeffs'!$H$7*'Cost drivers'!G49)+('Model coeffs'!$H$8*'Cost drivers'!I49)+('Model coeffs'!$H$9*'Cost drivers'!J49)+('Model coeffs'!$H$11*'Cost drivers'!H49))</f>
        <v>545.91829968936361</v>
      </c>
      <c r="I49" s="83"/>
      <c r="J49" s="151">
        <f t="shared" si="0"/>
        <v>167.99409085516771</v>
      </c>
      <c r="K49" s="100">
        <f t="shared" si="1"/>
        <v>385.94294781791928</v>
      </c>
      <c r="L49" s="150">
        <f t="shared" si="2"/>
        <v>545.15265583657037</v>
      </c>
      <c r="M49" s="83"/>
      <c r="N49" s="151">
        <f t="shared" si="3"/>
        <v>553.93703867308705</v>
      </c>
      <c r="O49" s="99">
        <f t="shared" si="4"/>
        <v>545.15265583657037</v>
      </c>
      <c r="P49" s="100">
        <f t="shared" si="5"/>
        <v>549.54484725482871</v>
      </c>
    </row>
    <row r="50" spans="1:16" x14ac:dyDescent="0.3">
      <c r="A50" s="98" t="str">
        <f>'Actual costs'!A51</f>
        <v>TMS</v>
      </c>
      <c r="B50" s="64">
        <f>'Actual costs'!B51</f>
        <v>2015</v>
      </c>
      <c r="C50" s="64" t="str">
        <f>'Actual costs'!C51</f>
        <v>TMS15</v>
      </c>
      <c r="D50" s="99">
        <f>EXP('Model coeffs'!$D$12+('Model coeffs'!$D$5*'Cost drivers'!D50)+('Model coeffs'!$D$6*'Cost drivers'!F50)+('Model coeffs'!$D$8*'Cost drivers'!I50)+('Model coeffs'!$D$9*'Cost drivers'!J50))</f>
        <v>174.2520977438688</v>
      </c>
      <c r="E50" s="99">
        <f>EXP('Model coeffs'!$E$12+('Model coeffs'!$E$5*'Cost drivers'!D50)+('Model coeffs'!$E$7*'Cost drivers'!G50)+('Model coeffs'!$E$8*'Cost drivers'!I50)+('Model coeffs'!$E$9*'Cost drivers'!J50))</f>
        <v>164.32043149766781</v>
      </c>
      <c r="F50" s="99">
        <f>EXP('Model coeffs'!$F$12+('Model coeffs'!$F$8*'Cost drivers'!I50)+('Model coeffs'!$F$9*'Cost drivers'!J50)+('Model coeffs'!$F$10*'Cost drivers'!E50)+('Model coeffs'!$F$11*'Cost drivers'!H50))</f>
        <v>395.07701570739977</v>
      </c>
      <c r="G50" s="99">
        <f>EXP('Model coeffs'!$G$12+('Model coeffs'!$G$5*'Cost drivers'!D50)+('Model coeffs'!$G$6*'Cost drivers'!F50)+('Model coeffs'!$G$8*'Cost drivers'!I50)+('Model coeffs'!$G$9*'Cost drivers'!J50)+('Model coeffs'!$G$11*'Cost drivers'!H50))</f>
        <v>553.23695491381204</v>
      </c>
      <c r="H50" s="100">
        <f>EXP('Model coeffs'!$H$12+('Model coeffs'!$H$5*'Cost drivers'!D50)+('Model coeffs'!$H$7*'Cost drivers'!G50)+('Model coeffs'!$H$8*'Cost drivers'!I50)+('Model coeffs'!$H$9*'Cost drivers'!J50)+('Model coeffs'!$H$11*'Cost drivers'!H50))</f>
        <v>553.87403212404126</v>
      </c>
      <c r="I50" s="83"/>
      <c r="J50" s="151">
        <f t="shared" si="0"/>
        <v>169.28626462076829</v>
      </c>
      <c r="K50" s="100">
        <f t="shared" si="1"/>
        <v>395.07701570739977</v>
      </c>
      <c r="L50" s="150">
        <f t="shared" si="2"/>
        <v>553.5554935189266</v>
      </c>
      <c r="M50" s="83"/>
      <c r="N50" s="151">
        <f t="shared" si="3"/>
        <v>564.363280328168</v>
      </c>
      <c r="O50" s="99">
        <f t="shared" si="4"/>
        <v>553.5554935189266</v>
      </c>
      <c r="P50" s="100">
        <f t="shared" si="5"/>
        <v>558.9593869235473</v>
      </c>
    </row>
    <row r="51" spans="1:16" x14ac:dyDescent="0.3">
      <c r="A51" s="98" t="str">
        <f>'Actual costs'!A52</f>
        <v>TMS</v>
      </c>
      <c r="B51" s="64">
        <f>'Actual costs'!B52</f>
        <v>2016</v>
      </c>
      <c r="C51" s="64" t="str">
        <f>'Actual costs'!C52</f>
        <v>TMS16</v>
      </c>
      <c r="D51" s="99">
        <f>EXP('Model coeffs'!$D$12+('Model coeffs'!$D$5*'Cost drivers'!D51)+('Model coeffs'!$D$6*'Cost drivers'!F51)+('Model coeffs'!$D$8*'Cost drivers'!I51)+('Model coeffs'!$D$9*'Cost drivers'!J51))</f>
        <v>176.10396903049792</v>
      </c>
      <c r="E51" s="99">
        <f>EXP('Model coeffs'!$E$12+('Model coeffs'!$E$5*'Cost drivers'!D51)+('Model coeffs'!$E$7*'Cost drivers'!G51)+('Model coeffs'!$E$8*'Cost drivers'!I51)+('Model coeffs'!$E$9*'Cost drivers'!J51))</f>
        <v>165.15134115329457</v>
      </c>
      <c r="F51" s="99">
        <f>EXP('Model coeffs'!$F$12+('Model coeffs'!$F$8*'Cost drivers'!I51)+('Model coeffs'!$F$9*'Cost drivers'!J51)+('Model coeffs'!$F$10*'Cost drivers'!E51)+('Model coeffs'!$F$11*'Cost drivers'!H51))</f>
        <v>405.92713213697704</v>
      </c>
      <c r="G51" s="99">
        <f>EXP('Model coeffs'!$G$12+('Model coeffs'!$G$5*'Cost drivers'!D51)+('Model coeffs'!$G$6*'Cost drivers'!F51)+('Model coeffs'!$G$8*'Cost drivers'!I51)+('Model coeffs'!$G$9*'Cost drivers'!J51)+('Model coeffs'!$G$11*'Cost drivers'!H51))</f>
        <v>562.73670027408684</v>
      </c>
      <c r="H51" s="100">
        <f>EXP('Model coeffs'!$H$12+('Model coeffs'!$H$5*'Cost drivers'!D51)+('Model coeffs'!$H$7*'Cost drivers'!G51)+('Model coeffs'!$H$8*'Cost drivers'!I51)+('Model coeffs'!$H$9*'Cost drivers'!J51)+('Model coeffs'!$H$11*'Cost drivers'!H51))</f>
        <v>561.53058393021445</v>
      </c>
      <c r="I51" s="83"/>
      <c r="J51" s="151">
        <f t="shared" si="0"/>
        <v>170.62765509189626</v>
      </c>
      <c r="K51" s="100">
        <f t="shared" si="1"/>
        <v>405.92713213697704</v>
      </c>
      <c r="L51" s="150">
        <f t="shared" si="2"/>
        <v>562.13364210215059</v>
      </c>
      <c r="M51" s="83"/>
      <c r="N51" s="151">
        <f t="shared" si="3"/>
        <v>576.55478722887324</v>
      </c>
      <c r="O51" s="99">
        <f t="shared" si="4"/>
        <v>562.13364210215059</v>
      </c>
      <c r="P51" s="100">
        <f t="shared" si="5"/>
        <v>569.34421466551191</v>
      </c>
    </row>
    <row r="52" spans="1:16" x14ac:dyDescent="0.3">
      <c r="A52" s="98" t="str">
        <f>'Actual costs'!A53</f>
        <v>TMS</v>
      </c>
      <c r="B52" s="64">
        <f>'Actual costs'!B53</f>
        <v>2017</v>
      </c>
      <c r="C52" s="64" t="str">
        <f>'Actual costs'!C53</f>
        <v>TMS17</v>
      </c>
      <c r="D52" s="99">
        <f>EXP('Model coeffs'!$D$12+('Model coeffs'!$D$5*'Cost drivers'!D52)+('Model coeffs'!$D$6*'Cost drivers'!F52)+('Model coeffs'!$D$8*'Cost drivers'!I52)+('Model coeffs'!$D$9*'Cost drivers'!J52))</f>
        <v>177.72904713525523</v>
      </c>
      <c r="E52" s="99">
        <f>EXP('Model coeffs'!$E$12+('Model coeffs'!$E$5*'Cost drivers'!D52)+('Model coeffs'!$E$7*'Cost drivers'!G52)+('Model coeffs'!$E$8*'Cost drivers'!I52)+('Model coeffs'!$E$9*'Cost drivers'!J52))</f>
        <v>166.8672448053905</v>
      </c>
      <c r="F52" s="99">
        <f>EXP('Model coeffs'!$F$12+('Model coeffs'!$F$8*'Cost drivers'!I52)+('Model coeffs'!$F$9*'Cost drivers'!J52)+('Model coeffs'!$F$10*'Cost drivers'!E52)+('Model coeffs'!$F$11*'Cost drivers'!H52))</f>
        <v>413.6784807003848</v>
      </c>
      <c r="G52" s="99">
        <f>EXP('Model coeffs'!$G$12+('Model coeffs'!$G$5*'Cost drivers'!D52)+('Model coeffs'!$G$6*'Cost drivers'!F52)+('Model coeffs'!$G$8*'Cost drivers'!I52)+('Model coeffs'!$G$9*'Cost drivers'!J52)+('Model coeffs'!$G$11*'Cost drivers'!H52))</f>
        <v>570.21715490826637</v>
      </c>
      <c r="H52" s="100">
        <f>EXP('Model coeffs'!$H$12+('Model coeffs'!$H$5*'Cost drivers'!D52)+('Model coeffs'!$H$7*'Cost drivers'!G52)+('Model coeffs'!$H$8*'Cost drivers'!I52)+('Model coeffs'!$H$9*'Cost drivers'!J52)+('Model coeffs'!$H$11*'Cost drivers'!H52))</f>
        <v>570.00909652712801</v>
      </c>
      <c r="I52" s="83"/>
      <c r="J52" s="151">
        <f t="shared" si="0"/>
        <v>172.29814597032288</v>
      </c>
      <c r="K52" s="100">
        <f t="shared" si="1"/>
        <v>413.6784807003848</v>
      </c>
      <c r="L52" s="150">
        <f t="shared" si="2"/>
        <v>570.11312571769713</v>
      </c>
      <c r="M52" s="83"/>
      <c r="N52" s="151">
        <f t="shared" si="3"/>
        <v>585.97662667070767</v>
      </c>
      <c r="O52" s="99">
        <f t="shared" si="4"/>
        <v>570.11312571769713</v>
      </c>
      <c r="P52" s="100">
        <f t="shared" si="5"/>
        <v>578.0448761942024</v>
      </c>
    </row>
    <row r="53" spans="1:16" x14ac:dyDescent="0.3">
      <c r="A53" s="98" t="str">
        <f>'Actual costs'!A54</f>
        <v>TMS</v>
      </c>
      <c r="B53" s="64">
        <f>'Actual costs'!B54</f>
        <v>2018</v>
      </c>
      <c r="C53" s="64" t="str">
        <f>'Actual costs'!C54</f>
        <v>TMS18</v>
      </c>
      <c r="D53" s="99">
        <f>EXP('Model coeffs'!$D$12+('Model coeffs'!$D$5*'Cost drivers'!D53)+('Model coeffs'!$D$6*'Cost drivers'!F53)+('Model coeffs'!$D$8*'Cost drivers'!I53)+('Model coeffs'!$D$9*'Cost drivers'!J53))</f>
        <v>180.50618834939061</v>
      </c>
      <c r="E53" s="99">
        <f>EXP('Model coeffs'!$E$12+('Model coeffs'!$E$5*'Cost drivers'!D53)+('Model coeffs'!$E$7*'Cost drivers'!G53)+('Model coeffs'!$E$8*'Cost drivers'!I53)+('Model coeffs'!$E$9*'Cost drivers'!J53))</f>
        <v>168.76860379809727</v>
      </c>
      <c r="F53" s="99">
        <f>EXP('Model coeffs'!$F$12+('Model coeffs'!$F$8*'Cost drivers'!I53)+('Model coeffs'!$F$9*'Cost drivers'!J53)+('Model coeffs'!$F$10*'Cost drivers'!E53)+('Model coeffs'!$F$11*'Cost drivers'!H53))</f>
        <v>421.30949981156351</v>
      </c>
      <c r="G53" s="99">
        <f>EXP('Model coeffs'!$G$12+('Model coeffs'!$G$5*'Cost drivers'!D53)+('Model coeffs'!$G$6*'Cost drivers'!F53)+('Model coeffs'!$G$8*'Cost drivers'!I53)+('Model coeffs'!$G$9*'Cost drivers'!J53)+('Model coeffs'!$G$11*'Cost drivers'!H53))</f>
        <v>582.3854597300018</v>
      </c>
      <c r="H53" s="100">
        <f>EXP('Model coeffs'!$H$12+('Model coeffs'!$H$5*'Cost drivers'!D53)+('Model coeffs'!$H$7*'Cost drivers'!G53)+('Model coeffs'!$H$8*'Cost drivers'!I53)+('Model coeffs'!$H$9*'Cost drivers'!J53)+('Model coeffs'!$H$11*'Cost drivers'!H53))</f>
        <v>581.75908470416584</v>
      </c>
      <c r="I53" s="83"/>
      <c r="J53" s="151">
        <f t="shared" si="0"/>
        <v>174.63739607374396</v>
      </c>
      <c r="K53" s="100">
        <f t="shared" si="1"/>
        <v>421.30949981156351</v>
      </c>
      <c r="L53" s="150">
        <f t="shared" si="2"/>
        <v>582.07227221708376</v>
      </c>
      <c r="M53" s="83"/>
      <c r="N53" s="151">
        <f t="shared" si="3"/>
        <v>595.94689588530741</v>
      </c>
      <c r="O53" s="99">
        <f t="shared" si="4"/>
        <v>582.07227221708376</v>
      </c>
      <c r="P53" s="100">
        <f t="shared" si="5"/>
        <v>589.00958405119559</v>
      </c>
    </row>
    <row r="54" spans="1:16" x14ac:dyDescent="0.3">
      <c r="A54" s="98" t="str">
        <f>'Actual costs'!A55</f>
        <v>WSH</v>
      </c>
      <c r="B54" s="64">
        <f>'Actual costs'!B55</f>
        <v>2012</v>
      </c>
      <c r="C54" s="64" t="str">
        <f>'Actual costs'!C55</f>
        <v>WSH12</v>
      </c>
      <c r="D54" s="99">
        <f>EXP('Model coeffs'!$D$12+('Model coeffs'!$D$5*'Cost drivers'!D54)+('Model coeffs'!$D$6*'Cost drivers'!F54)+('Model coeffs'!$D$8*'Cost drivers'!I54)+('Model coeffs'!$D$9*'Cost drivers'!J54))</f>
        <v>89.194496747363829</v>
      </c>
      <c r="E54" s="99">
        <f>EXP('Model coeffs'!$E$12+('Model coeffs'!$E$5*'Cost drivers'!D54)+('Model coeffs'!$E$7*'Cost drivers'!G54)+('Model coeffs'!$E$8*'Cost drivers'!I54)+('Model coeffs'!$E$9*'Cost drivers'!J54))</f>
        <v>84.363070042257277</v>
      </c>
      <c r="F54" s="99">
        <f>EXP('Model coeffs'!$F$12+('Model coeffs'!$F$8*'Cost drivers'!I54)+('Model coeffs'!$F$9*'Cost drivers'!J54)+('Model coeffs'!$F$10*'Cost drivers'!E54)+('Model coeffs'!$F$11*'Cost drivers'!H54))</f>
        <v>119.3955043558412</v>
      </c>
      <c r="G54" s="99">
        <f>EXP('Model coeffs'!$G$12+('Model coeffs'!$G$5*'Cost drivers'!D54)+('Model coeffs'!$G$6*'Cost drivers'!F54)+('Model coeffs'!$G$8*'Cost drivers'!I54)+('Model coeffs'!$G$9*'Cost drivers'!J54)+('Model coeffs'!$G$11*'Cost drivers'!H54))</f>
        <v>210.78882354834039</v>
      </c>
      <c r="H54" s="100">
        <f>EXP('Model coeffs'!$H$12+('Model coeffs'!$H$5*'Cost drivers'!D54)+('Model coeffs'!$H$7*'Cost drivers'!G54)+('Model coeffs'!$H$8*'Cost drivers'!I54)+('Model coeffs'!$H$9*'Cost drivers'!J54)+('Model coeffs'!$H$11*'Cost drivers'!H54))</f>
        <v>208.93009888649854</v>
      </c>
      <c r="I54" s="83"/>
      <c r="J54" s="151">
        <f t="shared" si="0"/>
        <v>86.778783394810546</v>
      </c>
      <c r="K54" s="100">
        <f t="shared" si="1"/>
        <v>119.3955043558412</v>
      </c>
      <c r="L54" s="150">
        <f t="shared" si="2"/>
        <v>209.85946121741947</v>
      </c>
      <c r="M54" s="83"/>
      <c r="N54" s="151">
        <f t="shared" si="3"/>
        <v>206.17428775065173</v>
      </c>
      <c r="O54" s="99">
        <f t="shared" si="4"/>
        <v>209.85946121741947</v>
      </c>
      <c r="P54" s="100">
        <f t="shared" si="5"/>
        <v>208.01687448403561</v>
      </c>
    </row>
    <row r="55" spans="1:16" x14ac:dyDescent="0.3">
      <c r="A55" s="98" t="str">
        <f>'Actual costs'!A56</f>
        <v>WSH</v>
      </c>
      <c r="B55" s="64">
        <f>'Actual costs'!B56</f>
        <v>2013</v>
      </c>
      <c r="C55" s="64" t="str">
        <f>'Actual costs'!C56</f>
        <v>WSH13</v>
      </c>
      <c r="D55" s="99">
        <f>EXP('Model coeffs'!$D$12+('Model coeffs'!$D$5*'Cost drivers'!D55)+('Model coeffs'!$D$6*'Cost drivers'!F55)+('Model coeffs'!$D$8*'Cost drivers'!I55)+('Model coeffs'!$D$9*'Cost drivers'!J55))</f>
        <v>89.293591232418223</v>
      </c>
      <c r="E55" s="99">
        <f>EXP('Model coeffs'!$E$12+('Model coeffs'!$E$5*'Cost drivers'!D55)+('Model coeffs'!$E$7*'Cost drivers'!G55)+('Model coeffs'!$E$8*'Cost drivers'!I55)+('Model coeffs'!$E$9*'Cost drivers'!J55))</f>
        <v>84.326967604137735</v>
      </c>
      <c r="F55" s="99">
        <f>EXP('Model coeffs'!$F$12+('Model coeffs'!$F$8*'Cost drivers'!I55)+('Model coeffs'!$F$9*'Cost drivers'!J55)+('Model coeffs'!$F$10*'Cost drivers'!E55)+('Model coeffs'!$F$11*'Cost drivers'!H55))</f>
        <v>118.16070128778439</v>
      </c>
      <c r="G55" s="99">
        <f>EXP('Model coeffs'!$G$12+('Model coeffs'!$G$5*'Cost drivers'!D55)+('Model coeffs'!$G$6*'Cost drivers'!F55)+('Model coeffs'!$G$8*'Cost drivers'!I55)+('Model coeffs'!$G$9*'Cost drivers'!J55)+('Model coeffs'!$G$11*'Cost drivers'!H55))</f>
        <v>210.2976805165643</v>
      </c>
      <c r="H55" s="100">
        <f>EXP('Model coeffs'!$H$12+('Model coeffs'!$H$5*'Cost drivers'!D55)+('Model coeffs'!$H$7*'Cost drivers'!G55)+('Model coeffs'!$H$8*'Cost drivers'!I55)+('Model coeffs'!$H$9*'Cost drivers'!J55)+('Model coeffs'!$H$11*'Cost drivers'!H55))</f>
        <v>208.13509642030854</v>
      </c>
      <c r="I55" s="83"/>
      <c r="J55" s="151">
        <f t="shared" si="0"/>
        <v>86.810279418277986</v>
      </c>
      <c r="K55" s="100">
        <f t="shared" si="1"/>
        <v>118.16070128778439</v>
      </c>
      <c r="L55" s="150">
        <f t="shared" si="2"/>
        <v>209.21638846843643</v>
      </c>
      <c r="M55" s="83"/>
      <c r="N55" s="151">
        <f t="shared" si="3"/>
        <v>204.97098070606239</v>
      </c>
      <c r="O55" s="99">
        <f t="shared" si="4"/>
        <v>209.21638846843643</v>
      </c>
      <c r="P55" s="100">
        <f t="shared" si="5"/>
        <v>207.09368458724941</v>
      </c>
    </row>
    <row r="56" spans="1:16" x14ac:dyDescent="0.3">
      <c r="A56" s="98" t="str">
        <f>'Actual costs'!A57</f>
        <v>WSH</v>
      </c>
      <c r="B56" s="64">
        <f>'Actual costs'!B57</f>
        <v>2014</v>
      </c>
      <c r="C56" s="64" t="str">
        <f>'Actual costs'!C57</f>
        <v>WSH14</v>
      </c>
      <c r="D56" s="99">
        <f>EXP('Model coeffs'!$D$12+('Model coeffs'!$D$5*'Cost drivers'!D56)+('Model coeffs'!$D$6*'Cost drivers'!F56)+('Model coeffs'!$D$8*'Cost drivers'!I56)+('Model coeffs'!$D$9*'Cost drivers'!J56))</f>
        <v>89.402650506894972</v>
      </c>
      <c r="E56" s="99">
        <f>EXP('Model coeffs'!$E$12+('Model coeffs'!$E$5*'Cost drivers'!D56)+('Model coeffs'!$E$7*'Cost drivers'!G56)+('Model coeffs'!$E$8*'Cost drivers'!I56)+('Model coeffs'!$E$9*'Cost drivers'!J56))</f>
        <v>84.328980253662451</v>
      </c>
      <c r="F56" s="99">
        <f>EXP('Model coeffs'!$F$12+('Model coeffs'!$F$8*'Cost drivers'!I56)+('Model coeffs'!$F$9*'Cost drivers'!J56)+('Model coeffs'!$F$10*'Cost drivers'!E56)+('Model coeffs'!$F$11*'Cost drivers'!H56))</f>
        <v>118.83397930984083</v>
      </c>
      <c r="G56" s="99">
        <f>EXP('Model coeffs'!$G$12+('Model coeffs'!$G$5*'Cost drivers'!D56)+('Model coeffs'!$G$6*'Cost drivers'!F56)+('Model coeffs'!$G$8*'Cost drivers'!I56)+('Model coeffs'!$G$9*'Cost drivers'!J56)+('Model coeffs'!$G$11*'Cost drivers'!H56))</f>
        <v>212.1447973728979</v>
      </c>
      <c r="H56" s="100">
        <f>EXP('Model coeffs'!$H$12+('Model coeffs'!$H$5*'Cost drivers'!D56)+('Model coeffs'!$H$7*'Cost drivers'!G56)+('Model coeffs'!$H$8*'Cost drivers'!I56)+('Model coeffs'!$H$9*'Cost drivers'!J56)+('Model coeffs'!$H$11*'Cost drivers'!H56))</f>
        <v>209.71460735472419</v>
      </c>
      <c r="I56" s="83"/>
      <c r="J56" s="151">
        <f t="shared" si="0"/>
        <v>86.865815380278718</v>
      </c>
      <c r="K56" s="100">
        <f t="shared" si="1"/>
        <v>118.83397930984083</v>
      </c>
      <c r="L56" s="150">
        <f t="shared" si="2"/>
        <v>210.92970236381103</v>
      </c>
      <c r="M56" s="83"/>
      <c r="N56" s="151">
        <f t="shared" si="3"/>
        <v>205.69979469011955</v>
      </c>
      <c r="O56" s="99">
        <f t="shared" si="4"/>
        <v>210.92970236381103</v>
      </c>
      <c r="P56" s="100">
        <f t="shared" si="5"/>
        <v>208.31474852696527</v>
      </c>
    </row>
    <row r="57" spans="1:16" x14ac:dyDescent="0.3">
      <c r="A57" s="98" t="str">
        <f>'Actual costs'!A58</f>
        <v>WSH</v>
      </c>
      <c r="B57" s="64">
        <f>'Actual costs'!B58</f>
        <v>2015</v>
      </c>
      <c r="C57" s="64" t="str">
        <f>'Actual costs'!C58</f>
        <v>WSH15</v>
      </c>
      <c r="D57" s="99">
        <f>EXP('Model coeffs'!$D$12+('Model coeffs'!$D$5*'Cost drivers'!D57)+('Model coeffs'!$D$6*'Cost drivers'!F57)+('Model coeffs'!$D$8*'Cost drivers'!I57)+('Model coeffs'!$D$9*'Cost drivers'!J57))</f>
        <v>89.481236112991567</v>
      </c>
      <c r="E57" s="99">
        <f>EXP('Model coeffs'!$E$12+('Model coeffs'!$E$5*'Cost drivers'!D57)+('Model coeffs'!$E$7*'Cost drivers'!G57)+('Model coeffs'!$E$8*'Cost drivers'!I57)+('Model coeffs'!$E$9*'Cost drivers'!J57))</f>
        <v>84.646892652504619</v>
      </c>
      <c r="F57" s="99">
        <f>EXP('Model coeffs'!$F$12+('Model coeffs'!$F$8*'Cost drivers'!I57)+('Model coeffs'!$F$9*'Cost drivers'!J57)+('Model coeffs'!$F$10*'Cost drivers'!E57)+('Model coeffs'!$F$11*'Cost drivers'!H57))</f>
        <v>118.40878132143655</v>
      </c>
      <c r="G57" s="99">
        <f>EXP('Model coeffs'!$G$12+('Model coeffs'!$G$5*'Cost drivers'!D57)+('Model coeffs'!$G$6*'Cost drivers'!F57)+('Model coeffs'!$G$8*'Cost drivers'!I57)+('Model coeffs'!$G$9*'Cost drivers'!J57)+('Model coeffs'!$G$11*'Cost drivers'!H57))</f>
        <v>211.17642668135812</v>
      </c>
      <c r="H57" s="100">
        <f>EXP('Model coeffs'!$H$12+('Model coeffs'!$H$5*'Cost drivers'!D57)+('Model coeffs'!$H$7*'Cost drivers'!G57)+('Model coeffs'!$H$8*'Cost drivers'!I57)+('Model coeffs'!$H$9*'Cost drivers'!J57)+('Model coeffs'!$H$11*'Cost drivers'!H57))</f>
        <v>209.20455296488853</v>
      </c>
      <c r="I57" s="83"/>
      <c r="J57" s="151">
        <f t="shared" si="0"/>
        <v>87.064064382748086</v>
      </c>
      <c r="K57" s="100">
        <f t="shared" si="1"/>
        <v>118.40878132143655</v>
      </c>
      <c r="L57" s="150">
        <f t="shared" si="2"/>
        <v>210.19048982312333</v>
      </c>
      <c r="M57" s="83"/>
      <c r="N57" s="151">
        <f t="shared" si="3"/>
        <v>205.47284570418464</v>
      </c>
      <c r="O57" s="99">
        <f t="shared" si="4"/>
        <v>210.19048982312333</v>
      </c>
      <c r="P57" s="100">
        <f t="shared" si="5"/>
        <v>207.83166776365397</v>
      </c>
    </row>
    <row r="58" spans="1:16" x14ac:dyDescent="0.3">
      <c r="A58" s="98" t="str">
        <f>'Actual costs'!A59</f>
        <v>WSH</v>
      </c>
      <c r="B58" s="64">
        <f>'Actual costs'!B59</f>
        <v>2016</v>
      </c>
      <c r="C58" s="64" t="str">
        <f>'Actual costs'!C59</f>
        <v>WSH16</v>
      </c>
      <c r="D58" s="99">
        <f>EXP('Model coeffs'!$D$12+('Model coeffs'!$D$5*'Cost drivers'!D58)+('Model coeffs'!$D$6*'Cost drivers'!F58)+('Model coeffs'!$D$8*'Cost drivers'!I58)+('Model coeffs'!$D$9*'Cost drivers'!J58))</f>
        <v>90.20202037724134</v>
      </c>
      <c r="E58" s="99">
        <f>EXP('Model coeffs'!$E$12+('Model coeffs'!$E$5*'Cost drivers'!D58)+('Model coeffs'!$E$7*'Cost drivers'!G58)+('Model coeffs'!$E$8*'Cost drivers'!I58)+('Model coeffs'!$E$9*'Cost drivers'!J58))</f>
        <v>86.828874307477122</v>
      </c>
      <c r="F58" s="99">
        <f>EXP('Model coeffs'!$F$12+('Model coeffs'!$F$8*'Cost drivers'!I58)+('Model coeffs'!$F$9*'Cost drivers'!J58)+('Model coeffs'!$F$10*'Cost drivers'!E58)+('Model coeffs'!$F$11*'Cost drivers'!H58))</f>
        <v>118.41013147876646</v>
      </c>
      <c r="G58" s="99">
        <f>EXP('Model coeffs'!$G$12+('Model coeffs'!$G$5*'Cost drivers'!D58)+('Model coeffs'!$G$6*'Cost drivers'!F58)+('Model coeffs'!$G$8*'Cost drivers'!I58)+('Model coeffs'!$G$9*'Cost drivers'!J58)+('Model coeffs'!$G$11*'Cost drivers'!H58))</f>
        <v>211.8238191276489</v>
      </c>
      <c r="H58" s="100">
        <f>EXP('Model coeffs'!$H$12+('Model coeffs'!$H$5*'Cost drivers'!D58)+('Model coeffs'!$H$7*'Cost drivers'!G58)+('Model coeffs'!$H$8*'Cost drivers'!I58)+('Model coeffs'!$H$9*'Cost drivers'!J58)+('Model coeffs'!$H$11*'Cost drivers'!H58))</f>
        <v>213.23589218765659</v>
      </c>
      <c r="I58" s="83"/>
      <c r="J58" s="151">
        <f t="shared" si="0"/>
        <v>88.515447342359238</v>
      </c>
      <c r="K58" s="100">
        <f t="shared" si="1"/>
        <v>118.41013147876646</v>
      </c>
      <c r="L58" s="150">
        <f t="shared" si="2"/>
        <v>212.52985565765275</v>
      </c>
      <c r="M58" s="83"/>
      <c r="N58" s="151">
        <f t="shared" si="3"/>
        <v>206.9255788211257</v>
      </c>
      <c r="O58" s="99">
        <f t="shared" si="4"/>
        <v>212.52985565765275</v>
      </c>
      <c r="P58" s="100">
        <f t="shared" si="5"/>
        <v>209.72771723938922</v>
      </c>
    </row>
    <row r="59" spans="1:16" x14ac:dyDescent="0.3">
      <c r="A59" s="98" t="str">
        <f>'Actual costs'!A60</f>
        <v>WSH</v>
      </c>
      <c r="B59" s="64">
        <f>'Actual costs'!B60</f>
        <v>2017</v>
      </c>
      <c r="C59" s="64" t="str">
        <f>'Actual costs'!C60</f>
        <v>WSH17</v>
      </c>
      <c r="D59" s="99">
        <f>EXP('Model coeffs'!$D$12+('Model coeffs'!$D$5*'Cost drivers'!D59)+('Model coeffs'!$D$6*'Cost drivers'!F59)+('Model coeffs'!$D$8*'Cost drivers'!I59)+('Model coeffs'!$D$9*'Cost drivers'!J59))</f>
        <v>90.81430086723509</v>
      </c>
      <c r="E59" s="99">
        <f>EXP('Model coeffs'!$E$12+('Model coeffs'!$E$5*'Cost drivers'!D59)+('Model coeffs'!$E$7*'Cost drivers'!G59)+('Model coeffs'!$E$8*'Cost drivers'!I59)+('Model coeffs'!$E$9*'Cost drivers'!J59))</f>
        <v>87.273958289378328</v>
      </c>
      <c r="F59" s="99">
        <f>EXP('Model coeffs'!$F$12+('Model coeffs'!$F$8*'Cost drivers'!I59)+('Model coeffs'!$F$9*'Cost drivers'!J59)+('Model coeffs'!$F$10*'Cost drivers'!E59)+('Model coeffs'!$F$11*'Cost drivers'!H59))</f>
        <v>119.35301070895973</v>
      </c>
      <c r="G59" s="99">
        <f>EXP('Model coeffs'!$G$12+('Model coeffs'!$G$5*'Cost drivers'!D59)+('Model coeffs'!$G$6*'Cost drivers'!F59)+('Model coeffs'!$G$8*'Cost drivers'!I59)+('Model coeffs'!$G$9*'Cost drivers'!J59)+('Model coeffs'!$G$11*'Cost drivers'!H59))</f>
        <v>213.06139366569701</v>
      </c>
      <c r="H59" s="100">
        <f>EXP('Model coeffs'!$H$12+('Model coeffs'!$H$5*'Cost drivers'!D59)+('Model coeffs'!$H$7*'Cost drivers'!G59)+('Model coeffs'!$H$8*'Cost drivers'!I59)+('Model coeffs'!$H$9*'Cost drivers'!J59)+('Model coeffs'!$H$11*'Cost drivers'!H59))</f>
        <v>214.51413297158453</v>
      </c>
      <c r="I59" s="83"/>
      <c r="J59" s="151">
        <f t="shared" si="0"/>
        <v>89.044129578306709</v>
      </c>
      <c r="K59" s="100">
        <f t="shared" si="1"/>
        <v>119.35301070895973</v>
      </c>
      <c r="L59" s="150">
        <f t="shared" si="2"/>
        <v>213.78776331864077</v>
      </c>
      <c r="M59" s="83"/>
      <c r="N59" s="151">
        <f t="shared" si="3"/>
        <v>208.39714028726644</v>
      </c>
      <c r="O59" s="99">
        <f t="shared" si="4"/>
        <v>213.78776331864077</v>
      </c>
      <c r="P59" s="100">
        <f t="shared" si="5"/>
        <v>211.0924518029536</v>
      </c>
    </row>
    <row r="60" spans="1:16" x14ac:dyDescent="0.3">
      <c r="A60" s="98" t="str">
        <f>'Actual costs'!A61</f>
        <v>WSH</v>
      </c>
      <c r="B60" s="64">
        <f>'Actual costs'!B61</f>
        <v>2018</v>
      </c>
      <c r="C60" s="64" t="str">
        <f>'Actual costs'!C61</f>
        <v>WSH18</v>
      </c>
      <c r="D60" s="99">
        <f>EXP('Model coeffs'!$D$12+('Model coeffs'!$D$5*'Cost drivers'!D60)+('Model coeffs'!$D$6*'Cost drivers'!F60)+('Model coeffs'!$D$8*'Cost drivers'!I60)+('Model coeffs'!$D$9*'Cost drivers'!J60))</f>
        <v>91.250067821469372</v>
      </c>
      <c r="E60" s="99">
        <f>EXP('Model coeffs'!$E$12+('Model coeffs'!$E$5*'Cost drivers'!D60)+('Model coeffs'!$E$7*'Cost drivers'!G60)+('Model coeffs'!$E$8*'Cost drivers'!I60)+('Model coeffs'!$E$9*'Cost drivers'!J60))</f>
        <v>89.490879645086522</v>
      </c>
      <c r="F60" s="99">
        <f>EXP('Model coeffs'!$F$12+('Model coeffs'!$F$8*'Cost drivers'!I60)+('Model coeffs'!$F$9*'Cost drivers'!J60)+('Model coeffs'!$F$10*'Cost drivers'!E60)+('Model coeffs'!$F$11*'Cost drivers'!H60))</f>
        <v>119.58273776517611</v>
      </c>
      <c r="G60" s="99">
        <f>EXP('Model coeffs'!$G$12+('Model coeffs'!$G$5*'Cost drivers'!D60)+('Model coeffs'!$G$6*'Cost drivers'!F60)+('Model coeffs'!$G$8*'Cost drivers'!I60)+('Model coeffs'!$G$9*'Cost drivers'!J60)+('Model coeffs'!$G$11*'Cost drivers'!H60))</f>
        <v>214.28929222863528</v>
      </c>
      <c r="H60" s="100">
        <f>EXP('Model coeffs'!$H$12+('Model coeffs'!$H$5*'Cost drivers'!D60)+('Model coeffs'!$H$7*'Cost drivers'!G60)+('Model coeffs'!$H$8*'Cost drivers'!I60)+('Model coeffs'!$H$9*'Cost drivers'!J60)+('Model coeffs'!$H$11*'Cost drivers'!H60))</f>
        <v>219.44702020075371</v>
      </c>
      <c r="I60" s="83"/>
      <c r="J60" s="151">
        <f t="shared" si="0"/>
        <v>90.370473733277947</v>
      </c>
      <c r="K60" s="100">
        <f t="shared" si="1"/>
        <v>119.58273776517611</v>
      </c>
      <c r="L60" s="150">
        <f t="shared" si="2"/>
        <v>216.86815621469449</v>
      </c>
      <c r="M60" s="83"/>
      <c r="N60" s="151">
        <f t="shared" si="3"/>
        <v>209.95321149845404</v>
      </c>
      <c r="O60" s="99">
        <f t="shared" si="4"/>
        <v>216.86815621469449</v>
      </c>
      <c r="P60" s="100">
        <f t="shared" si="5"/>
        <v>213.41068385657428</v>
      </c>
    </row>
    <row r="61" spans="1:16" x14ac:dyDescent="0.3">
      <c r="A61" s="98" t="str">
        <f>'Actual costs'!A62</f>
        <v>WSX</v>
      </c>
      <c r="B61" s="64">
        <f>'Actual costs'!B62</f>
        <v>2012</v>
      </c>
      <c r="C61" s="64" t="str">
        <f>'Actual costs'!C62</f>
        <v>WSX12</v>
      </c>
      <c r="D61" s="99">
        <f>EXP('Model coeffs'!$D$12+('Model coeffs'!$D$5*'Cost drivers'!D61)+('Model coeffs'!$D$6*'Cost drivers'!F61)+('Model coeffs'!$D$8*'Cost drivers'!I61)+('Model coeffs'!$D$9*'Cost drivers'!J61))</f>
        <v>33.709789613531839</v>
      </c>
      <c r="E61" s="99">
        <f>EXP('Model coeffs'!$E$12+('Model coeffs'!$E$5*'Cost drivers'!D61)+('Model coeffs'!$E$7*'Cost drivers'!G61)+('Model coeffs'!$E$8*'Cost drivers'!I61)+('Model coeffs'!$E$9*'Cost drivers'!J61))</f>
        <v>38.352140572413759</v>
      </c>
      <c r="F61" s="99">
        <f>EXP('Model coeffs'!$F$12+('Model coeffs'!$F$8*'Cost drivers'!I61)+('Model coeffs'!$F$9*'Cost drivers'!J61)+('Model coeffs'!$F$10*'Cost drivers'!E61)+('Model coeffs'!$F$11*'Cost drivers'!H61))</f>
        <v>53.042845685763076</v>
      </c>
      <c r="G61" s="99">
        <f>EXP('Model coeffs'!$G$12+('Model coeffs'!$G$5*'Cost drivers'!D61)+('Model coeffs'!$G$6*'Cost drivers'!F61)+('Model coeffs'!$G$8*'Cost drivers'!I61)+('Model coeffs'!$G$9*'Cost drivers'!J61)+('Model coeffs'!$G$11*'Cost drivers'!H61))</f>
        <v>84.946073785971336</v>
      </c>
      <c r="H61" s="100">
        <f>EXP('Model coeffs'!$H$12+('Model coeffs'!$H$5*'Cost drivers'!D61)+('Model coeffs'!$H$7*'Cost drivers'!G61)+('Model coeffs'!$H$8*'Cost drivers'!I61)+('Model coeffs'!$H$9*'Cost drivers'!J61)+('Model coeffs'!$H$11*'Cost drivers'!H61))</f>
        <v>85.90971370213461</v>
      </c>
      <c r="I61" s="83"/>
      <c r="J61" s="151">
        <f t="shared" si="0"/>
        <v>36.030965092972799</v>
      </c>
      <c r="K61" s="100">
        <f t="shared" si="1"/>
        <v>53.042845685763076</v>
      </c>
      <c r="L61" s="150">
        <f t="shared" si="2"/>
        <v>85.427893744052966</v>
      </c>
      <c r="M61" s="83"/>
      <c r="N61" s="151">
        <f t="shared" si="3"/>
        <v>89.073810778735876</v>
      </c>
      <c r="O61" s="99">
        <f t="shared" si="4"/>
        <v>85.427893744052966</v>
      </c>
      <c r="P61" s="100">
        <f t="shared" si="5"/>
        <v>87.250852261394414</v>
      </c>
    </row>
    <row r="62" spans="1:16" x14ac:dyDescent="0.3">
      <c r="A62" s="98" t="str">
        <f>'Actual costs'!A63</f>
        <v>WSX</v>
      </c>
      <c r="B62" s="64">
        <f>'Actual costs'!B63</f>
        <v>2013</v>
      </c>
      <c r="C62" s="64" t="str">
        <f>'Actual costs'!C63</f>
        <v>WSX13</v>
      </c>
      <c r="D62" s="99">
        <f>EXP('Model coeffs'!$D$12+('Model coeffs'!$D$5*'Cost drivers'!D62)+('Model coeffs'!$D$6*'Cost drivers'!F62)+('Model coeffs'!$D$8*'Cost drivers'!I62)+('Model coeffs'!$D$9*'Cost drivers'!J62))</f>
        <v>34.01570202181459</v>
      </c>
      <c r="E62" s="99">
        <f>EXP('Model coeffs'!$E$12+('Model coeffs'!$E$5*'Cost drivers'!D62)+('Model coeffs'!$E$7*'Cost drivers'!G62)+('Model coeffs'!$E$8*'Cost drivers'!I62)+('Model coeffs'!$E$9*'Cost drivers'!J62))</f>
        <v>38.532180756267621</v>
      </c>
      <c r="F62" s="99">
        <f>EXP('Model coeffs'!$F$12+('Model coeffs'!$F$8*'Cost drivers'!I62)+('Model coeffs'!$F$9*'Cost drivers'!J62)+('Model coeffs'!$F$10*'Cost drivers'!E62)+('Model coeffs'!$F$11*'Cost drivers'!H62))</f>
        <v>53.504727107327028</v>
      </c>
      <c r="G62" s="99">
        <f>EXP('Model coeffs'!$G$12+('Model coeffs'!$G$5*'Cost drivers'!D62)+('Model coeffs'!$G$6*'Cost drivers'!F62)+('Model coeffs'!$G$8*'Cost drivers'!I62)+('Model coeffs'!$G$9*'Cost drivers'!J62)+('Model coeffs'!$G$11*'Cost drivers'!H62))</f>
        <v>86.14627249646243</v>
      </c>
      <c r="H62" s="100">
        <f>EXP('Model coeffs'!$H$12+('Model coeffs'!$H$5*'Cost drivers'!D62)+('Model coeffs'!$H$7*'Cost drivers'!G62)+('Model coeffs'!$H$8*'Cost drivers'!I62)+('Model coeffs'!$H$9*'Cost drivers'!J62)+('Model coeffs'!$H$11*'Cost drivers'!H62))</f>
        <v>86.896693288280844</v>
      </c>
      <c r="I62" s="83"/>
      <c r="J62" s="151">
        <f t="shared" si="0"/>
        <v>36.273941389041106</v>
      </c>
      <c r="K62" s="100">
        <f t="shared" si="1"/>
        <v>53.504727107327028</v>
      </c>
      <c r="L62" s="150">
        <f t="shared" si="2"/>
        <v>86.521482892371637</v>
      </c>
      <c r="M62" s="83"/>
      <c r="N62" s="151">
        <f t="shared" si="3"/>
        <v>89.778668496368141</v>
      </c>
      <c r="O62" s="99">
        <f t="shared" si="4"/>
        <v>86.521482892371637</v>
      </c>
      <c r="P62" s="100">
        <f t="shared" si="5"/>
        <v>88.150075694369889</v>
      </c>
    </row>
    <row r="63" spans="1:16" x14ac:dyDescent="0.3">
      <c r="A63" s="98" t="str">
        <f>'Actual costs'!A64</f>
        <v>WSX</v>
      </c>
      <c r="B63" s="64">
        <f>'Actual costs'!B64</f>
        <v>2014</v>
      </c>
      <c r="C63" s="64" t="str">
        <f>'Actual costs'!C64</f>
        <v>WSX14</v>
      </c>
      <c r="D63" s="99">
        <f>EXP('Model coeffs'!$D$12+('Model coeffs'!$D$5*'Cost drivers'!D63)+('Model coeffs'!$D$6*'Cost drivers'!F63)+('Model coeffs'!$D$8*'Cost drivers'!I63)+('Model coeffs'!$D$9*'Cost drivers'!J63))</f>
        <v>34.4597357682647</v>
      </c>
      <c r="E63" s="99">
        <f>EXP('Model coeffs'!$E$12+('Model coeffs'!$E$5*'Cost drivers'!D63)+('Model coeffs'!$E$7*'Cost drivers'!G63)+('Model coeffs'!$E$8*'Cost drivers'!I63)+('Model coeffs'!$E$9*'Cost drivers'!J63))</f>
        <v>39.025929808925902</v>
      </c>
      <c r="F63" s="99">
        <f>EXP('Model coeffs'!$F$12+('Model coeffs'!$F$8*'Cost drivers'!I63)+('Model coeffs'!$F$9*'Cost drivers'!J63)+('Model coeffs'!$F$10*'Cost drivers'!E63)+('Model coeffs'!$F$11*'Cost drivers'!H63))</f>
        <v>53.828881769603903</v>
      </c>
      <c r="G63" s="99">
        <f>EXP('Model coeffs'!$G$12+('Model coeffs'!$G$5*'Cost drivers'!D63)+('Model coeffs'!$G$6*'Cost drivers'!F63)+('Model coeffs'!$G$8*'Cost drivers'!I63)+('Model coeffs'!$G$9*'Cost drivers'!J63)+('Model coeffs'!$G$11*'Cost drivers'!H63))</f>
        <v>87.344722879919757</v>
      </c>
      <c r="H63" s="100">
        <f>EXP('Model coeffs'!$H$12+('Model coeffs'!$H$5*'Cost drivers'!D63)+('Model coeffs'!$H$7*'Cost drivers'!G63)+('Model coeffs'!$H$8*'Cost drivers'!I63)+('Model coeffs'!$H$9*'Cost drivers'!J63)+('Model coeffs'!$H$11*'Cost drivers'!H63))</f>
        <v>88.346079008736211</v>
      </c>
      <c r="I63" s="83"/>
      <c r="J63" s="151">
        <f t="shared" si="0"/>
        <v>36.742832788595301</v>
      </c>
      <c r="K63" s="100">
        <f t="shared" si="1"/>
        <v>53.828881769603903</v>
      </c>
      <c r="L63" s="150">
        <f t="shared" si="2"/>
        <v>87.845400944327992</v>
      </c>
      <c r="M63" s="83"/>
      <c r="N63" s="151">
        <f t="shared" si="3"/>
        <v>90.571714558199204</v>
      </c>
      <c r="O63" s="99">
        <f t="shared" si="4"/>
        <v>87.845400944327992</v>
      </c>
      <c r="P63" s="100">
        <f t="shared" si="5"/>
        <v>89.208557751263598</v>
      </c>
    </row>
    <row r="64" spans="1:16" x14ac:dyDescent="0.3">
      <c r="A64" s="98" t="str">
        <f>'Actual costs'!A65</f>
        <v>WSX</v>
      </c>
      <c r="B64" s="64">
        <f>'Actual costs'!B65</f>
        <v>2015</v>
      </c>
      <c r="C64" s="64" t="str">
        <f>'Actual costs'!C65</f>
        <v>WSX15</v>
      </c>
      <c r="D64" s="99">
        <f>EXP('Model coeffs'!$D$12+('Model coeffs'!$D$5*'Cost drivers'!D64)+('Model coeffs'!$D$6*'Cost drivers'!F64)+('Model coeffs'!$D$8*'Cost drivers'!I64)+('Model coeffs'!$D$9*'Cost drivers'!J64))</f>
        <v>34.779671983557435</v>
      </c>
      <c r="E64" s="99">
        <f>EXP('Model coeffs'!$E$12+('Model coeffs'!$E$5*'Cost drivers'!D64)+('Model coeffs'!$E$7*'Cost drivers'!G64)+('Model coeffs'!$E$8*'Cost drivers'!I64)+('Model coeffs'!$E$9*'Cost drivers'!J64))</f>
        <v>39.349412711129823</v>
      </c>
      <c r="F64" s="99">
        <f>EXP('Model coeffs'!$F$12+('Model coeffs'!$F$8*'Cost drivers'!I64)+('Model coeffs'!$F$9*'Cost drivers'!J64)+('Model coeffs'!$F$10*'Cost drivers'!E64)+('Model coeffs'!$F$11*'Cost drivers'!H64))</f>
        <v>54.498959017642683</v>
      </c>
      <c r="G64" s="99">
        <f>EXP('Model coeffs'!$G$12+('Model coeffs'!$G$5*'Cost drivers'!D64)+('Model coeffs'!$G$6*'Cost drivers'!F64)+('Model coeffs'!$G$8*'Cost drivers'!I64)+('Model coeffs'!$G$9*'Cost drivers'!J64)+('Model coeffs'!$G$11*'Cost drivers'!H64))</f>
        <v>88.996843676062255</v>
      </c>
      <c r="H64" s="100">
        <f>EXP('Model coeffs'!$H$12+('Model coeffs'!$H$5*'Cost drivers'!D64)+('Model coeffs'!$H$7*'Cost drivers'!G64)+('Model coeffs'!$H$8*'Cost drivers'!I64)+('Model coeffs'!$H$9*'Cost drivers'!J64)+('Model coeffs'!$H$11*'Cost drivers'!H64))</f>
        <v>90.022994578520439</v>
      </c>
      <c r="I64" s="83"/>
      <c r="J64" s="151">
        <f t="shared" si="0"/>
        <v>37.064542347343632</v>
      </c>
      <c r="K64" s="100">
        <f t="shared" si="1"/>
        <v>54.498959017642683</v>
      </c>
      <c r="L64" s="150">
        <f t="shared" si="2"/>
        <v>89.50991912729134</v>
      </c>
      <c r="M64" s="83"/>
      <c r="N64" s="151">
        <f t="shared" si="3"/>
        <v>91.563501364986308</v>
      </c>
      <c r="O64" s="99">
        <f t="shared" si="4"/>
        <v>89.50991912729134</v>
      </c>
      <c r="P64" s="100">
        <f t="shared" si="5"/>
        <v>90.536710246138824</v>
      </c>
    </row>
    <row r="65" spans="1:16" x14ac:dyDescent="0.3">
      <c r="A65" s="98" t="str">
        <f>'Actual costs'!A66</f>
        <v>WSX</v>
      </c>
      <c r="B65" s="64">
        <f>'Actual costs'!B66</f>
        <v>2016</v>
      </c>
      <c r="C65" s="64" t="str">
        <f>'Actual costs'!C66</f>
        <v>WSX16</v>
      </c>
      <c r="D65" s="99">
        <f>EXP('Model coeffs'!$D$12+('Model coeffs'!$D$5*'Cost drivers'!D65)+('Model coeffs'!$D$6*'Cost drivers'!F65)+('Model coeffs'!$D$8*'Cost drivers'!I65)+('Model coeffs'!$D$9*'Cost drivers'!J65))</f>
        <v>35.171727406756339</v>
      </c>
      <c r="E65" s="99">
        <f>EXP('Model coeffs'!$E$12+('Model coeffs'!$E$5*'Cost drivers'!D65)+('Model coeffs'!$E$7*'Cost drivers'!G65)+('Model coeffs'!$E$8*'Cost drivers'!I65)+('Model coeffs'!$E$9*'Cost drivers'!J65))</f>
        <v>39.973695554971201</v>
      </c>
      <c r="F65" s="99">
        <f>EXP('Model coeffs'!$F$12+('Model coeffs'!$F$8*'Cost drivers'!I65)+('Model coeffs'!$F$9*'Cost drivers'!J65)+('Model coeffs'!$F$10*'Cost drivers'!E65)+('Model coeffs'!$F$11*'Cost drivers'!H65))</f>
        <v>54.768089634007396</v>
      </c>
      <c r="G65" s="99">
        <f>EXP('Model coeffs'!$G$12+('Model coeffs'!$G$5*'Cost drivers'!D65)+('Model coeffs'!$G$6*'Cost drivers'!F65)+('Model coeffs'!$G$8*'Cost drivers'!I65)+('Model coeffs'!$G$9*'Cost drivers'!J65)+('Model coeffs'!$G$11*'Cost drivers'!H65))</f>
        <v>89.837315676947469</v>
      </c>
      <c r="H65" s="100">
        <f>EXP('Model coeffs'!$H$12+('Model coeffs'!$H$5*'Cost drivers'!D65)+('Model coeffs'!$H$7*'Cost drivers'!G65)+('Model coeffs'!$H$8*'Cost drivers'!I65)+('Model coeffs'!$H$9*'Cost drivers'!J65)+('Model coeffs'!$H$11*'Cost drivers'!H65))</f>
        <v>91.400005295565137</v>
      </c>
      <c r="I65" s="83"/>
      <c r="J65" s="151">
        <f t="shared" si="0"/>
        <v>37.572711480863774</v>
      </c>
      <c r="K65" s="100">
        <f t="shared" si="1"/>
        <v>54.768089634007396</v>
      </c>
      <c r="L65" s="150">
        <f t="shared" si="2"/>
        <v>90.618660486256303</v>
      </c>
      <c r="M65" s="83"/>
      <c r="N65" s="151">
        <f t="shared" si="3"/>
        <v>92.340801114871169</v>
      </c>
      <c r="O65" s="99">
        <f t="shared" si="4"/>
        <v>90.618660486256303</v>
      </c>
      <c r="P65" s="100">
        <f t="shared" si="5"/>
        <v>91.479730800563743</v>
      </c>
    </row>
    <row r="66" spans="1:16" x14ac:dyDescent="0.3">
      <c r="A66" s="98" t="str">
        <f>'Actual costs'!A67</f>
        <v>WSX</v>
      </c>
      <c r="B66" s="64">
        <f>'Actual costs'!B67</f>
        <v>2017</v>
      </c>
      <c r="C66" s="64" t="str">
        <f>'Actual costs'!C67</f>
        <v>WSX17</v>
      </c>
      <c r="D66" s="99">
        <f>EXP('Model coeffs'!$D$12+('Model coeffs'!$D$5*'Cost drivers'!D66)+('Model coeffs'!$D$6*'Cost drivers'!F66)+('Model coeffs'!$D$8*'Cost drivers'!I66)+('Model coeffs'!$D$9*'Cost drivers'!J66))</f>
        <v>35.672494920641739</v>
      </c>
      <c r="E66" s="99">
        <f>EXP('Model coeffs'!$E$12+('Model coeffs'!$E$5*'Cost drivers'!D66)+('Model coeffs'!$E$7*'Cost drivers'!G66)+('Model coeffs'!$E$8*'Cost drivers'!I66)+('Model coeffs'!$E$9*'Cost drivers'!J66))</f>
        <v>40.364072319301066</v>
      </c>
      <c r="F66" s="99">
        <f>EXP('Model coeffs'!$F$12+('Model coeffs'!$F$8*'Cost drivers'!I66)+('Model coeffs'!$F$9*'Cost drivers'!J66)+('Model coeffs'!$F$10*'Cost drivers'!E66)+('Model coeffs'!$F$11*'Cost drivers'!H66))</f>
        <v>54.96900994503558</v>
      </c>
      <c r="G66" s="99">
        <f>EXP('Model coeffs'!$G$12+('Model coeffs'!$G$5*'Cost drivers'!D66)+('Model coeffs'!$G$6*'Cost drivers'!F66)+('Model coeffs'!$G$8*'Cost drivers'!I66)+('Model coeffs'!$G$9*'Cost drivers'!J66)+('Model coeffs'!$G$11*'Cost drivers'!H66))</f>
        <v>90.157814963414012</v>
      </c>
      <c r="H66" s="100">
        <f>EXP('Model coeffs'!$H$12+('Model coeffs'!$H$5*'Cost drivers'!D66)+('Model coeffs'!$H$7*'Cost drivers'!G66)+('Model coeffs'!$H$8*'Cost drivers'!I66)+('Model coeffs'!$H$9*'Cost drivers'!J66)+('Model coeffs'!$H$11*'Cost drivers'!H66))</f>
        <v>91.708254930069614</v>
      </c>
      <c r="I66" s="83"/>
      <c r="J66" s="151">
        <f t="shared" si="0"/>
        <v>38.018283619971399</v>
      </c>
      <c r="K66" s="100">
        <f t="shared" si="1"/>
        <v>54.96900994503558</v>
      </c>
      <c r="L66" s="150">
        <f t="shared" si="2"/>
        <v>90.933034946741813</v>
      </c>
      <c r="M66" s="83"/>
      <c r="N66" s="151">
        <f t="shared" si="3"/>
        <v>92.987293565006979</v>
      </c>
      <c r="O66" s="99">
        <f t="shared" si="4"/>
        <v>90.933034946741813</v>
      </c>
      <c r="P66" s="100">
        <f t="shared" si="5"/>
        <v>91.960164255874389</v>
      </c>
    </row>
    <row r="67" spans="1:16" x14ac:dyDescent="0.3">
      <c r="A67" s="98" t="str">
        <f>'Actual costs'!A68</f>
        <v>WSX</v>
      </c>
      <c r="B67" s="64">
        <f>'Actual costs'!B68</f>
        <v>2018</v>
      </c>
      <c r="C67" s="64" t="str">
        <f>'Actual costs'!C68</f>
        <v>WSX18</v>
      </c>
      <c r="D67" s="99">
        <f>EXP('Model coeffs'!$D$12+('Model coeffs'!$D$5*'Cost drivers'!D67)+('Model coeffs'!$D$6*'Cost drivers'!F67)+('Model coeffs'!$D$8*'Cost drivers'!I67)+('Model coeffs'!$D$9*'Cost drivers'!J67))</f>
        <v>35.496444153463976</v>
      </c>
      <c r="E67" s="99">
        <f>EXP('Model coeffs'!$E$12+('Model coeffs'!$E$5*'Cost drivers'!D67)+('Model coeffs'!$E$7*'Cost drivers'!G67)+('Model coeffs'!$E$8*'Cost drivers'!I67)+('Model coeffs'!$E$9*'Cost drivers'!J67))</f>
        <v>38.719503159798698</v>
      </c>
      <c r="F67" s="99">
        <f>EXP('Model coeffs'!$F$12+('Model coeffs'!$F$8*'Cost drivers'!I67)+('Model coeffs'!$F$9*'Cost drivers'!J67)+('Model coeffs'!$F$10*'Cost drivers'!E67)+('Model coeffs'!$F$11*'Cost drivers'!H67))</f>
        <v>59.093965228779687</v>
      </c>
      <c r="G67" s="99">
        <f>EXP('Model coeffs'!$G$12+('Model coeffs'!$G$5*'Cost drivers'!D67)+('Model coeffs'!$G$6*'Cost drivers'!F67)+('Model coeffs'!$G$8*'Cost drivers'!I67)+('Model coeffs'!$G$9*'Cost drivers'!J67)+('Model coeffs'!$G$11*'Cost drivers'!H67))</f>
        <v>97.560907254293596</v>
      </c>
      <c r="H67" s="100">
        <f>EXP('Model coeffs'!$H$12+('Model coeffs'!$H$5*'Cost drivers'!D67)+('Model coeffs'!$H$7*'Cost drivers'!G67)+('Model coeffs'!$H$8*'Cost drivers'!I67)+('Model coeffs'!$H$9*'Cost drivers'!J67)+('Model coeffs'!$H$11*'Cost drivers'!H67))</f>
        <v>95.89856712089373</v>
      </c>
      <c r="I67" s="83"/>
      <c r="J67" s="151">
        <f t="shared" si="0"/>
        <v>37.107973656631337</v>
      </c>
      <c r="K67" s="100">
        <f t="shared" si="1"/>
        <v>59.093965228779687</v>
      </c>
      <c r="L67" s="150">
        <f t="shared" si="2"/>
        <v>96.729737187593656</v>
      </c>
      <c r="M67" s="83"/>
      <c r="N67" s="151">
        <f t="shared" si="3"/>
        <v>96.201938885411025</v>
      </c>
      <c r="O67" s="99">
        <f t="shared" si="4"/>
        <v>96.729737187593656</v>
      </c>
      <c r="P67" s="100">
        <f t="shared" si="5"/>
        <v>96.465838036502333</v>
      </c>
    </row>
    <row r="68" spans="1:16" x14ac:dyDescent="0.3">
      <c r="A68" s="98" t="str">
        <f>'Actual costs'!A69</f>
        <v>YKY</v>
      </c>
      <c r="B68" s="64">
        <f>'Actual costs'!B69</f>
        <v>2012</v>
      </c>
      <c r="C68" s="64" t="str">
        <f>'Actual costs'!C69</f>
        <v>YKY12</v>
      </c>
      <c r="D68" s="99">
        <f>EXP('Model coeffs'!$D$12+('Model coeffs'!$D$5*'Cost drivers'!D68)+('Model coeffs'!$D$6*'Cost drivers'!F68)+('Model coeffs'!$D$8*'Cost drivers'!I68)+('Model coeffs'!$D$9*'Cost drivers'!J68))</f>
        <v>120.20403708158207</v>
      </c>
      <c r="E68" s="99">
        <f>EXP('Model coeffs'!$E$12+('Model coeffs'!$E$5*'Cost drivers'!D68)+('Model coeffs'!$E$7*'Cost drivers'!G68)+('Model coeffs'!$E$8*'Cost drivers'!I68)+('Model coeffs'!$E$9*'Cost drivers'!J68))</f>
        <v>117.37803455948962</v>
      </c>
      <c r="F68" s="99">
        <f>EXP('Model coeffs'!$F$12+('Model coeffs'!$F$8*'Cost drivers'!I68)+('Model coeffs'!$F$9*'Cost drivers'!J68)+('Model coeffs'!$F$10*'Cost drivers'!E68)+('Model coeffs'!$F$11*'Cost drivers'!H68))</f>
        <v>132.97545471311182</v>
      </c>
      <c r="G68" s="99">
        <f>EXP('Model coeffs'!$G$12+('Model coeffs'!$G$5*'Cost drivers'!D68)+('Model coeffs'!$G$6*'Cost drivers'!F68)+('Model coeffs'!$G$8*'Cost drivers'!I68)+('Model coeffs'!$G$9*'Cost drivers'!J68)+('Model coeffs'!$G$11*'Cost drivers'!H68))</f>
        <v>282.11844936535334</v>
      </c>
      <c r="H68" s="100">
        <f>EXP('Model coeffs'!$H$12+('Model coeffs'!$H$5*'Cost drivers'!D68)+('Model coeffs'!$H$7*'Cost drivers'!G68)+('Model coeffs'!$H$8*'Cost drivers'!I68)+('Model coeffs'!$H$9*'Cost drivers'!J68)+('Model coeffs'!$H$11*'Cost drivers'!H68))</f>
        <v>278.45375870162445</v>
      </c>
      <c r="I68" s="83"/>
      <c r="J68" s="151">
        <f t="shared" si="0"/>
        <v>118.79103582053585</v>
      </c>
      <c r="K68" s="100">
        <f t="shared" si="1"/>
        <v>132.97545471311182</v>
      </c>
      <c r="L68" s="150">
        <f t="shared" si="2"/>
        <v>280.28610403348887</v>
      </c>
      <c r="M68" s="83"/>
      <c r="N68" s="151">
        <f t="shared" si="3"/>
        <v>251.76649053364767</v>
      </c>
      <c r="O68" s="99">
        <f t="shared" si="4"/>
        <v>280.28610403348887</v>
      </c>
      <c r="P68" s="100">
        <f t="shared" si="5"/>
        <v>266.02629728356828</v>
      </c>
    </row>
    <row r="69" spans="1:16" x14ac:dyDescent="0.3">
      <c r="A69" s="98" t="str">
        <f>'Actual costs'!A70</f>
        <v>YKY</v>
      </c>
      <c r="B69" s="64">
        <f>'Actual costs'!B70</f>
        <v>2013</v>
      </c>
      <c r="C69" s="64" t="str">
        <f>'Actual costs'!C70</f>
        <v>YKY13</v>
      </c>
      <c r="D69" s="99">
        <f>EXP('Model coeffs'!$D$12+('Model coeffs'!$D$5*'Cost drivers'!D69)+('Model coeffs'!$D$6*'Cost drivers'!F69)+('Model coeffs'!$D$8*'Cost drivers'!I69)+('Model coeffs'!$D$9*'Cost drivers'!J69))</f>
        <v>120.51245421731882</v>
      </c>
      <c r="E69" s="99">
        <f>EXP('Model coeffs'!$E$12+('Model coeffs'!$E$5*'Cost drivers'!D69)+('Model coeffs'!$E$7*'Cost drivers'!G69)+('Model coeffs'!$E$8*'Cost drivers'!I69)+('Model coeffs'!$E$9*'Cost drivers'!J69))</f>
        <v>116.88161971140937</v>
      </c>
      <c r="F69" s="99">
        <f>EXP('Model coeffs'!$F$12+('Model coeffs'!$F$8*'Cost drivers'!I69)+('Model coeffs'!$F$9*'Cost drivers'!J69)+('Model coeffs'!$F$10*'Cost drivers'!E69)+('Model coeffs'!$F$11*'Cost drivers'!H69))</f>
        <v>132.99547773184977</v>
      </c>
      <c r="G69" s="99">
        <f>EXP('Model coeffs'!$G$12+('Model coeffs'!$G$5*'Cost drivers'!D69)+('Model coeffs'!$G$6*'Cost drivers'!F69)+('Model coeffs'!$G$8*'Cost drivers'!I69)+('Model coeffs'!$G$9*'Cost drivers'!J69)+('Model coeffs'!$G$11*'Cost drivers'!H69))</f>
        <v>282.48802923224878</v>
      </c>
      <c r="H69" s="100">
        <f>EXP('Model coeffs'!$H$12+('Model coeffs'!$H$5*'Cost drivers'!D69)+('Model coeffs'!$H$7*'Cost drivers'!G69)+('Model coeffs'!$H$8*'Cost drivers'!I69)+('Model coeffs'!$H$9*'Cost drivers'!J69)+('Model coeffs'!$H$11*'Cost drivers'!H69))</f>
        <v>277.33338251676662</v>
      </c>
      <c r="I69" s="83"/>
      <c r="J69" s="151">
        <f t="shared" si="0"/>
        <v>118.69703696436409</v>
      </c>
      <c r="K69" s="100">
        <f t="shared" si="1"/>
        <v>132.99547773184977</v>
      </c>
      <c r="L69" s="150">
        <f t="shared" si="2"/>
        <v>279.9107058745077</v>
      </c>
      <c r="M69" s="83"/>
      <c r="N69" s="151">
        <f t="shared" si="3"/>
        <v>251.69251469621386</v>
      </c>
      <c r="O69" s="99">
        <f t="shared" si="4"/>
        <v>279.9107058745077</v>
      </c>
      <c r="P69" s="100">
        <f t="shared" si="5"/>
        <v>265.80161028536077</v>
      </c>
    </row>
    <row r="70" spans="1:16" x14ac:dyDescent="0.3">
      <c r="A70" s="98" t="str">
        <f>'Actual costs'!A71</f>
        <v>YKY</v>
      </c>
      <c r="B70" s="64">
        <f>'Actual costs'!B71</f>
        <v>2014</v>
      </c>
      <c r="C70" s="64" t="str">
        <f>'Actual costs'!C71</f>
        <v>YKY14</v>
      </c>
      <c r="D70" s="99">
        <f>EXP('Model coeffs'!$D$12+('Model coeffs'!$D$5*'Cost drivers'!D70)+('Model coeffs'!$D$6*'Cost drivers'!F70)+('Model coeffs'!$D$8*'Cost drivers'!I70)+('Model coeffs'!$D$9*'Cost drivers'!J70))</f>
        <v>121.09454159528951</v>
      </c>
      <c r="E70" s="99">
        <f>EXP('Model coeffs'!$E$12+('Model coeffs'!$E$5*'Cost drivers'!D70)+('Model coeffs'!$E$7*'Cost drivers'!G70)+('Model coeffs'!$E$8*'Cost drivers'!I70)+('Model coeffs'!$E$9*'Cost drivers'!J70))</f>
        <v>117.285611631289</v>
      </c>
      <c r="F70" s="99">
        <f>EXP('Model coeffs'!$F$12+('Model coeffs'!$F$8*'Cost drivers'!I70)+('Model coeffs'!$F$9*'Cost drivers'!J70)+('Model coeffs'!$F$10*'Cost drivers'!E70)+('Model coeffs'!$F$11*'Cost drivers'!H70))</f>
        <v>133.49678861267955</v>
      </c>
      <c r="G70" s="99">
        <f>EXP('Model coeffs'!$G$12+('Model coeffs'!$G$5*'Cost drivers'!D70)+('Model coeffs'!$G$6*'Cost drivers'!F70)+('Model coeffs'!$G$8*'Cost drivers'!I70)+('Model coeffs'!$G$9*'Cost drivers'!J70)+('Model coeffs'!$G$11*'Cost drivers'!H70))</f>
        <v>283.64561769494617</v>
      </c>
      <c r="H70" s="100">
        <f>EXP('Model coeffs'!$H$12+('Model coeffs'!$H$5*'Cost drivers'!D70)+('Model coeffs'!$H$7*'Cost drivers'!G70)+('Model coeffs'!$H$8*'Cost drivers'!I70)+('Model coeffs'!$H$9*'Cost drivers'!J70)+('Model coeffs'!$H$11*'Cost drivers'!H70))</f>
        <v>278.36761539174506</v>
      </c>
      <c r="I70" s="83"/>
      <c r="J70" s="151">
        <f t="shared" ref="J70:J128" si="6">D70*$D$2+E70*$E$2</f>
        <v>119.19007661328925</v>
      </c>
      <c r="K70" s="100">
        <f t="shared" ref="K70:K128" si="7">F70*$F$2</f>
        <v>133.49678861267955</v>
      </c>
      <c r="L70" s="150">
        <f t="shared" ref="L70:L128" si="8">G70*$G$2+H70*$H$2</f>
        <v>281.00661654334561</v>
      </c>
      <c r="M70" s="83"/>
      <c r="N70" s="151">
        <f t="shared" ref="N70:N128" si="9">J70+K70</f>
        <v>252.6868652259688</v>
      </c>
      <c r="O70" s="99">
        <f t="shared" ref="O70:O128" si="10">L70</f>
        <v>281.00661654334561</v>
      </c>
      <c r="P70" s="100">
        <f t="shared" ref="P70:P128" si="11">N70*$N$2+O70*$O$2</f>
        <v>266.84674088465721</v>
      </c>
    </row>
    <row r="71" spans="1:16" x14ac:dyDescent="0.3">
      <c r="A71" s="98" t="str">
        <f>'Actual costs'!A72</f>
        <v>YKY</v>
      </c>
      <c r="B71" s="64">
        <f>'Actual costs'!B72</f>
        <v>2015</v>
      </c>
      <c r="C71" s="64" t="str">
        <f>'Actual costs'!C72</f>
        <v>YKY15</v>
      </c>
      <c r="D71" s="99">
        <f>EXP('Model coeffs'!$D$12+('Model coeffs'!$D$5*'Cost drivers'!D71)+('Model coeffs'!$D$6*'Cost drivers'!F71)+('Model coeffs'!$D$8*'Cost drivers'!I71)+('Model coeffs'!$D$9*'Cost drivers'!J71))</f>
        <v>121.75598669366701</v>
      </c>
      <c r="E71" s="99">
        <f>EXP('Model coeffs'!$E$12+('Model coeffs'!$E$5*'Cost drivers'!D71)+('Model coeffs'!$E$7*'Cost drivers'!G71)+('Model coeffs'!$E$8*'Cost drivers'!I71)+('Model coeffs'!$E$9*'Cost drivers'!J71))</f>
        <v>117.97986880709855</v>
      </c>
      <c r="F71" s="99">
        <f>EXP('Model coeffs'!$F$12+('Model coeffs'!$F$8*'Cost drivers'!I71)+('Model coeffs'!$F$9*'Cost drivers'!J71)+('Model coeffs'!$F$10*'Cost drivers'!E71)+('Model coeffs'!$F$11*'Cost drivers'!H71))</f>
        <v>132.86464698341001</v>
      </c>
      <c r="G71" s="99">
        <f>EXP('Model coeffs'!$G$12+('Model coeffs'!$G$5*'Cost drivers'!D71)+('Model coeffs'!$G$6*'Cost drivers'!F71)+('Model coeffs'!$G$8*'Cost drivers'!I71)+('Model coeffs'!$G$9*'Cost drivers'!J71)+('Model coeffs'!$G$11*'Cost drivers'!H71))</f>
        <v>282.95127841496549</v>
      </c>
      <c r="H71" s="100">
        <f>EXP('Model coeffs'!$H$12+('Model coeffs'!$H$5*'Cost drivers'!D71)+('Model coeffs'!$H$7*'Cost drivers'!G71)+('Model coeffs'!$H$8*'Cost drivers'!I71)+('Model coeffs'!$H$9*'Cost drivers'!J71)+('Model coeffs'!$H$11*'Cost drivers'!H71))</f>
        <v>277.86210724654944</v>
      </c>
      <c r="I71" s="83"/>
      <c r="J71" s="151">
        <f t="shared" si="6"/>
        <v>119.86792775038279</v>
      </c>
      <c r="K71" s="100">
        <f t="shared" si="7"/>
        <v>132.86464698341001</v>
      </c>
      <c r="L71" s="150">
        <f t="shared" si="8"/>
        <v>280.40669283075749</v>
      </c>
      <c r="M71" s="83"/>
      <c r="N71" s="151">
        <f t="shared" si="9"/>
        <v>252.7325747337928</v>
      </c>
      <c r="O71" s="99">
        <f t="shared" si="10"/>
        <v>280.40669283075749</v>
      </c>
      <c r="P71" s="100">
        <f t="shared" si="11"/>
        <v>266.56963378227516</v>
      </c>
    </row>
    <row r="72" spans="1:16" x14ac:dyDescent="0.3">
      <c r="A72" s="98" t="str">
        <f>'Actual costs'!A73</f>
        <v>YKY</v>
      </c>
      <c r="B72" s="64">
        <f>'Actual costs'!B73</f>
        <v>2016</v>
      </c>
      <c r="C72" s="64" t="str">
        <f>'Actual costs'!C73</f>
        <v>YKY16</v>
      </c>
      <c r="D72" s="99">
        <f>EXP('Model coeffs'!$D$12+('Model coeffs'!$D$5*'Cost drivers'!D72)+('Model coeffs'!$D$6*'Cost drivers'!F72)+('Model coeffs'!$D$8*'Cost drivers'!I72)+('Model coeffs'!$D$9*'Cost drivers'!J72))</f>
        <v>122.21980069556882</v>
      </c>
      <c r="E72" s="99">
        <f>EXP('Model coeffs'!$E$12+('Model coeffs'!$E$5*'Cost drivers'!D72)+('Model coeffs'!$E$7*'Cost drivers'!G72)+('Model coeffs'!$E$8*'Cost drivers'!I72)+('Model coeffs'!$E$9*'Cost drivers'!J72))</f>
        <v>118.38449701477177</v>
      </c>
      <c r="F72" s="99">
        <f>EXP('Model coeffs'!$F$12+('Model coeffs'!$F$8*'Cost drivers'!I72)+('Model coeffs'!$F$9*'Cost drivers'!J72)+('Model coeffs'!$F$10*'Cost drivers'!E72)+('Model coeffs'!$F$11*'Cost drivers'!H72))</f>
        <v>133.63912870273128</v>
      </c>
      <c r="G72" s="99">
        <f>EXP('Model coeffs'!$G$12+('Model coeffs'!$G$5*'Cost drivers'!D72)+('Model coeffs'!$G$6*'Cost drivers'!F72)+('Model coeffs'!$G$8*'Cost drivers'!I72)+('Model coeffs'!$G$9*'Cost drivers'!J72)+('Model coeffs'!$G$11*'Cost drivers'!H72))</f>
        <v>284.23104826838289</v>
      </c>
      <c r="H72" s="100">
        <f>EXP('Model coeffs'!$H$12+('Model coeffs'!$H$5*'Cost drivers'!D72)+('Model coeffs'!$H$7*'Cost drivers'!G72)+('Model coeffs'!$H$8*'Cost drivers'!I72)+('Model coeffs'!$H$9*'Cost drivers'!J72)+('Model coeffs'!$H$11*'Cost drivers'!H72))</f>
        <v>279.02392217471203</v>
      </c>
      <c r="I72" s="83"/>
      <c r="J72" s="151">
        <f t="shared" si="6"/>
        <v>120.30214885517029</v>
      </c>
      <c r="K72" s="100">
        <f t="shared" si="7"/>
        <v>133.63912870273128</v>
      </c>
      <c r="L72" s="150">
        <f t="shared" si="8"/>
        <v>281.62748522154743</v>
      </c>
      <c r="M72" s="83"/>
      <c r="N72" s="151">
        <f t="shared" si="9"/>
        <v>253.94127755790157</v>
      </c>
      <c r="O72" s="99">
        <f t="shared" si="10"/>
        <v>281.62748522154743</v>
      </c>
      <c r="P72" s="100">
        <f t="shared" si="11"/>
        <v>267.7843813897245</v>
      </c>
    </row>
    <row r="73" spans="1:16" x14ac:dyDescent="0.3">
      <c r="A73" s="98" t="str">
        <f>'Actual costs'!A74</f>
        <v>YKY</v>
      </c>
      <c r="B73" s="64">
        <f>'Actual costs'!B74</f>
        <v>2017</v>
      </c>
      <c r="C73" s="64" t="str">
        <f>'Actual costs'!C74</f>
        <v>YKY17</v>
      </c>
      <c r="D73" s="99">
        <f>EXP('Model coeffs'!$D$12+('Model coeffs'!$D$5*'Cost drivers'!D73)+('Model coeffs'!$D$6*'Cost drivers'!F73)+('Model coeffs'!$D$8*'Cost drivers'!I73)+('Model coeffs'!$D$9*'Cost drivers'!J73))</f>
        <v>122.73448417973441</v>
      </c>
      <c r="E73" s="99">
        <f>EXP('Model coeffs'!$E$12+('Model coeffs'!$E$5*'Cost drivers'!D73)+('Model coeffs'!$E$7*'Cost drivers'!G73)+('Model coeffs'!$E$8*'Cost drivers'!I73)+('Model coeffs'!$E$9*'Cost drivers'!J73))</f>
        <v>118.91229739269008</v>
      </c>
      <c r="F73" s="99">
        <f>EXP('Model coeffs'!$F$12+('Model coeffs'!$F$8*'Cost drivers'!I73)+('Model coeffs'!$F$9*'Cost drivers'!J73)+('Model coeffs'!$F$10*'Cost drivers'!E73)+('Model coeffs'!$F$11*'Cost drivers'!H73))</f>
        <v>134.50777651284625</v>
      </c>
      <c r="G73" s="99">
        <f>EXP('Model coeffs'!$G$12+('Model coeffs'!$G$5*'Cost drivers'!D73)+('Model coeffs'!$G$6*'Cost drivers'!F73)+('Model coeffs'!$G$8*'Cost drivers'!I73)+('Model coeffs'!$G$9*'Cost drivers'!J73)+('Model coeffs'!$G$11*'Cost drivers'!H73))</f>
        <v>286.41714843638073</v>
      </c>
      <c r="H73" s="100">
        <f>EXP('Model coeffs'!$H$12+('Model coeffs'!$H$5*'Cost drivers'!D73)+('Model coeffs'!$H$7*'Cost drivers'!G73)+('Model coeffs'!$H$8*'Cost drivers'!I73)+('Model coeffs'!$H$9*'Cost drivers'!J73)+('Model coeffs'!$H$11*'Cost drivers'!H73))</f>
        <v>281.21766122105061</v>
      </c>
      <c r="I73" s="83"/>
      <c r="J73" s="151">
        <f t="shared" si="6"/>
        <v>120.82339078621224</v>
      </c>
      <c r="K73" s="100">
        <f t="shared" si="7"/>
        <v>134.50777651284625</v>
      </c>
      <c r="L73" s="150">
        <f t="shared" si="8"/>
        <v>283.81740482871567</v>
      </c>
      <c r="M73" s="83"/>
      <c r="N73" s="151">
        <f t="shared" si="9"/>
        <v>255.33116729905851</v>
      </c>
      <c r="O73" s="99">
        <f t="shared" si="10"/>
        <v>283.81740482871567</v>
      </c>
      <c r="P73" s="100">
        <f t="shared" si="11"/>
        <v>269.57428606388709</v>
      </c>
    </row>
    <row r="74" spans="1:16" x14ac:dyDescent="0.3">
      <c r="A74" s="98" t="str">
        <f>'Actual costs'!A75</f>
        <v>YKY</v>
      </c>
      <c r="B74" s="64">
        <f>'Actual costs'!B75</f>
        <v>2018</v>
      </c>
      <c r="C74" s="64" t="str">
        <f>'Actual costs'!C75</f>
        <v>YKY18</v>
      </c>
      <c r="D74" s="99">
        <f>EXP('Model coeffs'!$D$12+('Model coeffs'!$D$5*'Cost drivers'!D74)+('Model coeffs'!$D$6*'Cost drivers'!F74)+('Model coeffs'!$D$8*'Cost drivers'!I74)+('Model coeffs'!$D$9*'Cost drivers'!J74))</f>
        <v>124.96535951220888</v>
      </c>
      <c r="E74" s="99">
        <f>EXP('Model coeffs'!$E$12+('Model coeffs'!$E$5*'Cost drivers'!D74)+('Model coeffs'!$E$7*'Cost drivers'!G74)+('Model coeffs'!$E$8*'Cost drivers'!I74)+('Model coeffs'!$E$9*'Cost drivers'!J74))</f>
        <v>121.71996263561886</v>
      </c>
      <c r="F74" s="99">
        <f>EXP('Model coeffs'!$F$12+('Model coeffs'!$F$8*'Cost drivers'!I74)+('Model coeffs'!$F$9*'Cost drivers'!J74)+('Model coeffs'!$F$10*'Cost drivers'!E74)+('Model coeffs'!$F$11*'Cost drivers'!H74))</f>
        <v>134.60217035438441</v>
      </c>
      <c r="G74" s="99">
        <f>EXP('Model coeffs'!$G$12+('Model coeffs'!$G$5*'Cost drivers'!D74)+('Model coeffs'!$G$6*'Cost drivers'!F74)+('Model coeffs'!$G$8*'Cost drivers'!I74)+('Model coeffs'!$G$9*'Cost drivers'!J74)+('Model coeffs'!$G$11*'Cost drivers'!H74))</f>
        <v>288.57681905259096</v>
      </c>
      <c r="H74" s="100">
        <f>EXP('Model coeffs'!$H$12+('Model coeffs'!$H$5*'Cost drivers'!D74)+('Model coeffs'!$H$7*'Cost drivers'!G74)+('Model coeffs'!$H$8*'Cost drivers'!I74)+('Model coeffs'!$H$9*'Cost drivers'!J74)+('Model coeffs'!$H$11*'Cost drivers'!H74))</f>
        <v>286.10813482470155</v>
      </c>
      <c r="I74" s="83"/>
      <c r="J74" s="151">
        <f t="shared" si="6"/>
        <v>123.34266107391386</v>
      </c>
      <c r="K74" s="100">
        <f t="shared" si="7"/>
        <v>134.60217035438441</v>
      </c>
      <c r="L74" s="150">
        <f t="shared" si="8"/>
        <v>287.34247693864626</v>
      </c>
      <c r="M74" s="83"/>
      <c r="N74" s="151">
        <f t="shared" si="9"/>
        <v>257.94483142829824</v>
      </c>
      <c r="O74" s="99">
        <f t="shared" si="10"/>
        <v>287.34247693864626</v>
      </c>
      <c r="P74" s="100">
        <f t="shared" si="11"/>
        <v>272.64365418347222</v>
      </c>
    </row>
    <row r="75" spans="1:16" x14ac:dyDescent="0.3">
      <c r="A75" s="98" t="str">
        <f>'Actual costs'!A76</f>
        <v>AFW</v>
      </c>
      <c r="B75" s="64">
        <f>'Actual costs'!B76</f>
        <v>2012</v>
      </c>
      <c r="C75" s="64" t="str">
        <f>'Actual costs'!C76</f>
        <v>AFW12</v>
      </c>
      <c r="D75" s="99">
        <f>EXP('Model coeffs'!$D$12+('Model coeffs'!$D$5*'Cost drivers'!D75)+('Model coeffs'!$D$6*'Cost drivers'!F75)+('Model coeffs'!$D$8*'Cost drivers'!I75)+('Model coeffs'!$D$9*'Cost drivers'!J75))</f>
        <v>65.072592701721319</v>
      </c>
      <c r="E75" s="99">
        <f>EXP('Model coeffs'!$E$12+('Model coeffs'!$E$5*'Cost drivers'!D75)+('Model coeffs'!$E$7*'Cost drivers'!G75)+('Model coeffs'!$E$8*'Cost drivers'!I75)+('Model coeffs'!$E$9*'Cost drivers'!J75))</f>
        <v>66.479008945801198</v>
      </c>
      <c r="F75" s="99">
        <f>EXP('Model coeffs'!$F$12+('Model coeffs'!$F$8*'Cost drivers'!I75)+('Model coeffs'!$F$9*'Cost drivers'!J75)+('Model coeffs'!$F$10*'Cost drivers'!E75)+('Model coeffs'!$F$11*'Cost drivers'!H75))</f>
        <v>102.83595817405283</v>
      </c>
      <c r="G75" s="99">
        <f>EXP('Model coeffs'!$G$12+('Model coeffs'!$G$5*'Cost drivers'!D75)+('Model coeffs'!$G$6*'Cost drivers'!F75)+('Model coeffs'!$G$8*'Cost drivers'!I75)+('Model coeffs'!$G$9*'Cost drivers'!J75)+('Model coeffs'!$G$11*'Cost drivers'!H75))</f>
        <v>183.3624436321625</v>
      </c>
      <c r="H75" s="100">
        <f>EXP('Model coeffs'!$H$12+('Model coeffs'!$H$5*'Cost drivers'!D75)+('Model coeffs'!$H$7*'Cost drivers'!G75)+('Model coeffs'!$H$8*'Cost drivers'!I75)+('Model coeffs'!$H$9*'Cost drivers'!J75)+('Model coeffs'!$H$11*'Cost drivers'!H75))</f>
        <v>187.41868919337085</v>
      </c>
      <c r="I75" s="83"/>
      <c r="J75" s="151">
        <f t="shared" si="6"/>
        <v>65.775800823761259</v>
      </c>
      <c r="K75" s="100">
        <f t="shared" si="7"/>
        <v>102.83595817405283</v>
      </c>
      <c r="L75" s="150">
        <f t="shared" si="8"/>
        <v>185.39056641276667</v>
      </c>
      <c r="M75" s="83"/>
      <c r="N75" s="151">
        <f t="shared" si="9"/>
        <v>168.61175899781409</v>
      </c>
      <c r="O75" s="99">
        <f t="shared" si="10"/>
        <v>185.39056641276667</v>
      </c>
      <c r="P75" s="100">
        <f t="shared" si="11"/>
        <v>177.00116270529037</v>
      </c>
    </row>
    <row r="76" spans="1:16" x14ac:dyDescent="0.3">
      <c r="A76" s="98" t="str">
        <f>'Actual costs'!A77</f>
        <v>AFW</v>
      </c>
      <c r="B76" s="64">
        <f>'Actual costs'!B77</f>
        <v>2013</v>
      </c>
      <c r="C76" s="64" t="str">
        <f>'Actual costs'!C77</f>
        <v>AFW13</v>
      </c>
      <c r="D76" s="99">
        <f>EXP('Model coeffs'!$D$12+('Model coeffs'!$D$5*'Cost drivers'!D76)+('Model coeffs'!$D$6*'Cost drivers'!F76)+('Model coeffs'!$D$8*'Cost drivers'!I76)+('Model coeffs'!$D$9*'Cost drivers'!J76))</f>
        <v>66.187382009596547</v>
      </c>
      <c r="E76" s="99">
        <f>EXP('Model coeffs'!$E$12+('Model coeffs'!$E$5*'Cost drivers'!D76)+('Model coeffs'!$E$7*'Cost drivers'!G76)+('Model coeffs'!$E$8*'Cost drivers'!I76)+('Model coeffs'!$E$9*'Cost drivers'!J76))</f>
        <v>67.180107994728729</v>
      </c>
      <c r="F76" s="99">
        <f>EXP('Model coeffs'!$F$12+('Model coeffs'!$F$8*'Cost drivers'!I76)+('Model coeffs'!$F$9*'Cost drivers'!J76)+('Model coeffs'!$F$10*'Cost drivers'!E76)+('Model coeffs'!$F$11*'Cost drivers'!H76))</f>
        <v>103.54941019491342</v>
      </c>
      <c r="G76" s="99">
        <f>EXP('Model coeffs'!$G$12+('Model coeffs'!$G$5*'Cost drivers'!D76)+('Model coeffs'!$G$6*'Cost drivers'!F76)+('Model coeffs'!$G$8*'Cost drivers'!I76)+('Model coeffs'!$G$9*'Cost drivers'!J76)+('Model coeffs'!$G$11*'Cost drivers'!H76))</f>
        <v>185.66411084469027</v>
      </c>
      <c r="H76" s="100">
        <f>EXP('Model coeffs'!$H$12+('Model coeffs'!$H$5*'Cost drivers'!D76)+('Model coeffs'!$H$7*'Cost drivers'!G76)+('Model coeffs'!$H$8*'Cost drivers'!I76)+('Model coeffs'!$H$9*'Cost drivers'!J76)+('Model coeffs'!$H$11*'Cost drivers'!H76))</f>
        <v>189.74498548682877</v>
      </c>
      <c r="I76" s="83"/>
      <c r="J76" s="151">
        <f t="shared" si="6"/>
        <v>66.683745002162638</v>
      </c>
      <c r="K76" s="100">
        <f t="shared" si="7"/>
        <v>103.54941019491342</v>
      </c>
      <c r="L76" s="150">
        <f t="shared" si="8"/>
        <v>187.70454816575952</v>
      </c>
      <c r="M76" s="83"/>
      <c r="N76" s="151">
        <f t="shared" si="9"/>
        <v>170.23315519707606</v>
      </c>
      <c r="O76" s="99">
        <f t="shared" si="10"/>
        <v>187.70454816575952</v>
      </c>
      <c r="P76" s="100">
        <f t="shared" si="11"/>
        <v>178.96885168141779</v>
      </c>
    </row>
    <row r="77" spans="1:16" x14ac:dyDescent="0.3">
      <c r="A77" s="98" t="str">
        <f>'Actual costs'!A78</f>
        <v>AFW</v>
      </c>
      <c r="B77" s="64">
        <f>'Actual costs'!B78</f>
        <v>2014</v>
      </c>
      <c r="C77" s="64" t="str">
        <f>'Actual costs'!C78</f>
        <v>AFW14</v>
      </c>
      <c r="D77" s="99">
        <f>EXP('Model coeffs'!$D$12+('Model coeffs'!$D$5*'Cost drivers'!D77)+('Model coeffs'!$D$6*'Cost drivers'!F77)+('Model coeffs'!$D$8*'Cost drivers'!I77)+('Model coeffs'!$D$9*'Cost drivers'!J77))</f>
        <v>67.166456299793396</v>
      </c>
      <c r="E77" s="99">
        <f>EXP('Model coeffs'!$E$12+('Model coeffs'!$E$5*'Cost drivers'!D77)+('Model coeffs'!$E$7*'Cost drivers'!G77)+('Model coeffs'!$E$8*'Cost drivers'!I77)+('Model coeffs'!$E$9*'Cost drivers'!J77))</f>
        <v>67.737820303922931</v>
      </c>
      <c r="F77" s="99">
        <f>EXP('Model coeffs'!$F$12+('Model coeffs'!$F$8*'Cost drivers'!I77)+('Model coeffs'!$F$9*'Cost drivers'!J77)+('Model coeffs'!$F$10*'Cost drivers'!E77)+('Model coeffs'!$F$11*'Cost drivers'!H77))</f>
        <v>104.37833255484504</v>
      </c>
      <c r="G77" s="99">
        <f>EXP('Model coeffs'!$G$12+('Model coeffs'!$G$5*'Cost drivers'!D77)+('Model coeffs'!$G$6*'Cost drivers'!F77)+('Model coeffs'!$G$8*'Cost drivers'!I77)+('Model coeffs'!$G$9*'Cost drivers'!J77)+('Model coeffs'!$G$11*'Cost drivers'!H77))</f>
        <v>187.76563298939456</v>
      </c>
      <c r="H77" s="100">
        <f>EXP('Model coeffs'!$H$12+('Model coeffs'!$H$5*'Cost drivers'!D77)+('Model coeffs'!$H$7*'Cost drivers'!G77)+('Model coeffs'!$H$8*'Cost drivers'!I77)+('Model coeffs'!$H$9*'Cost drivers'!J77)+('Model coeffs'!$H$11*'Cost drivers'!H77))</f>
        <v>191.73185381560393</v>
      </c>
      <c r="I77" s="83"/>
      <c r="J77" s="151">
        <f t="shared" si="6"/>
        <v>67.452138301858156</v>
      </c>
      <c r="K77" s="100">
        <f t="shared" si="7"/>
        <v>104.37833255484504</v>
      </c>
      <c r="L77" s="150">
        <f t="shared" si="8"/>
        <v>189.74874340249926</v>
      </c>
      <c r="M77" s="83"/>
      <c r="N77" s="151">
        <f t="shared" si="9"/>
        <v>171.83047085670319</v>
      </c>
      <c r="O77" s="99">
        <f t="shared" si="10"/>
        <v>189.74874340249926</v>
      </c>
      <c r="P77" s="100">
        <f t="shared" si="11"/>
        <v>180.78960712960122</v>
      </c>
    </row>
    <row r="78" spans="1:16" x14ac:dyDescent="0.3">
      <c r="A78" s="98" t="str">
        <f>'Actual costs'!A79</f>
        <v>AFW</v>
      </c>
      <c r="B78" s="64">
        <f>'Actual costs'!B79</f>
        <v>2015</v>
      </c>
      <c r="C78" s="64" t="str">
        <f>'Actual costs'!C79</f>
        <v>AFW15</v>
      </c>
      <c r="D78" s="99">
        <f>EXP('Model coeffs'!$D$12+('Model coeffs'!$D$5*'Cost drivers'!D78)+('Model coeffs'!$D$6*'Cost drivers'!F78)+('Model coeffs'!$D$8*'Cost drivers'!I78)+('Model coeffs'!$D$9*'Cost drivers'!J78))</f>
        <v>67.175714884489381</v>
      </c>
      <c r="E78" s="99">
        <f>EXP('Model coeffs'!$E$12+('Model coeffs'!$E$5*'Cost drivers'!D78)+('Model coeffs'!$E$7*'Cost drivers'!G78)+('Model coeffs'!$E$8*'Cost drivers'!I78)+('Model coeffs'!$E$9*'Cost drivers'!J78))</f>
        <v>67.859095950652403</v>
      </c>
      <c r="F78" s="99">
        <f>EXP('Model coeffs'!$F$12+('Model coeffs'!$F$8*'Cost drivers'!I78)+('Model coeffs'!$F$9*'Cost drivers'!J78)+('Model coeffs'!$F$10*'Cost drivers'!E78)+('Model coeffs'!$F$11*'Cost drivers'!H78))</f>
        <v>105.35577353409171</v>
      </c>
      <c r="G78" s="99">
        <f>EXP('Model coeffs'!$G$12+('Model coeffs'!$G$5*'Cost drivers'!D78)+('Model coeffs'!$G$6*'Cost drivers'!F78)+('Model coeffs'!$G$8*'Cost drivers'!I78)+('Model coeffs'!$G$9*'Cost drivers'!J78)+('Model coeffs'!$G$11*'Cost drivers'!H78))</f>
        <v>188.74178658203411</v>
      </c>
      <c r="H78" s="100">
        <f>EXP('Model coeffs'!$H$12+('Model coeffs'!$H$5*'Cost drivers'!D78)+('Model coeffs'!$H$7*'Cost drivers'!G78)+('Model coeffs'!$H$8*'Cost drivers'!I78)+('Model coeffs'!$H$9*'Cost drivers'!J78)+('Model coeffs'!$H$11*'Cost drivers'!H78))</f>
        <v>192.72069411308141</v>
      </c>
      <c r="I78" s="83"/>
      <c r="J78" s="151">
        <f t="shared" si="6"/>
        <v>67.517405417570899</v>
      </c>
      <c r="K78" s="100">
        <f t="shared" si="7"/>
        <v>105.35577353409171</v>
      </c>
      <c r="L78" s="150">
        <f t="shared" si="8"/>
        <v>190.73124034755776</v>
      </c>
      <c r="M78" s="83"/>
      <c r="N78" s="151">
        <f t="shared" si="9"/>
        <v>172.87317895166262</v>
      </c>
      <c r="O78" s="99">
        <f t="shared" si="10"/>
        <v>190.73124034755776</v>
      </c>
      <c r="P78" s="100">
        <f t="shared" si="11"/>
        <v>181.80220964961018</v>
      </c>
    </row>
    <row r="79" spans="1:16" x14ac:dyDescent="0.3">
      <c r="A79" s="98" t="str">
        <f>'Actual costs'!A80</f>
        <v>AFW</v>
      </c>
      <c r="B79" s="64">
        <f>'Actual costs'!B80</f>
        <v>2016</v>
      </c>
      <c r="C79" s="64" t="str">
        <f>'Actual costs'!C80</f>
        <v>AFW16</v>
      </c>
      <c r="D79" s="99">
        <f>EXP('Model coeffs'!$D$12+('Model coeffs'!$D$5*'Cost drivers'!D79)+('Model coeffs'!$D$6*'Cost drivers'!F79)+('Model coeffs'!$D$8*'Cost drivers'!I79)+('Model coeffs'!$D$9*'Cost drivers'!J79))</f>
        <v>68.237800560489447</v>
      </c>
      <c r="E79" s="99">
        <f>EXP('Model coeffs'!$E$12+('Model coeffs'!$E$5*'Cost drivers'!D79)+('Model coeffs'!$E$7*'Cost drivers'!G79)+('Model coeffs'!$E$8*'Cost drivers'!I79)+('Model coeffs'!$E$9*'Cost drivers'!J79))</f>
        <v>68.449096905802577</v>
      </c>
      <c r="F79" s="99">
        <f>EXP('Model coeffs'!$F$12+('Model coeffs'!$F$8*'Cost drivers'!I79)+('Model coeffs'!$F$9*'Cost drivers'!J79)+('Model coeffs'!$F$10*'Cost drivers'!E79)+('Model coeffs'!$F$11*'Cost drivers'!H79))</f>
        <v>106.29971730731593</v>
      </c>
      <c r="G79" s="99">
        <f>EXP('Model coeffs'!$G$12+('Model coeffs'!$G$5*'Cost drivers'!D79)+('Model coeffs'!$G$6*'Cost drivers'!F79)+('Model coeffs'!$G$8*'Cost drivers'!I79)+('Model coeffs'!$G$9*'Cost drivers'!J79)+('Model coeffs'!$G$11*'Cost drivers'!H79))</f>
        <v>191.15157728637857</v>
      </c>
      <c r="H79" s="100">
        <f>EXP('Model coeffs'!$H$12+('Model coeffs'!$H$5*'Cost drivers'!D79)+('Model coeffs'!$H$7*'Cost drivers'!G79)+('Model coeffs'!$H$8*'Cost drivers'!I79)+('Model coeffs'!$H$9*'Cost drivers'!J79)+('Model coeffs'!$H$11*'Cost drivers'!H79))</f>
        <v>194.92745336449573</v>
      </c>
      <c r="I79" s="83"/>
      <c r="J79" s="151">
        <f t="shared" si="6"/>
        <v>68.343448733146005</v>
      </c>
      <c r="K79" s="100">
        <f t="shared" si="7"/>
        <v>106.29971730731593</v>
      </c>
      <c r="L79" s="150">
        <f t="shared" si="8"/>
        <v>193.03951532543715</v>
      </c>
      <c r="M79" s="83"/>
      <c r="N79" s="151">
        <f t="shared" si="9"/>
        <v>174.64316604046195</v>
      </c>
      <c r="O79" s="99">
        <f t="shared" si="10"/>
        <v>193.03951532543715</v>
      </c>
      <c r="P79" s="100">
        <f t="shared" si="11"/>
        <v>183.84134068294955</v>
      </c>
    </row>
    <row r="80" spans="1:16" x14ac:dyDescent="0.3">
      <c r="A80" s="98" t="str">
        <f>'Actual costs'!A81</f>
        <v>AFW</v>
      </c>
      <c r="B80" s="64">
        <f>'Actual costs'!B81</f>
        <v>2017</v>
      </c>
      <c r="C80" s="64" t="str">
        <f>'Actual costs'!C81</f>
        <v>AFW17</v>
      </c>
      <c r="D80" s="99">
        <f>EXP('Model coeffs'!$D$12+('Model coeffs'!$D$5*'Cost drivers'!D80)+('Model coeffs'!$D$6*'Cost drivers'!F80)+('Model coeffs'!$D$8*'Cost drivers'!I80)+('Model coeffs'!$D$9*'Cost drivers'!J80))</f>
        <v>68.879839274879629</v>
      </c>
      <c r="E80" s="99">
        <f>EXP('Model coeffs'!$E$12+('Model coeffs'!$E$5*'Cost drivers'!D80)+('Model coeffs'!$E$7*'Cost drivers'!G80)+('Model coeffs'!$E$8*'Cost drivers'!I80)+('Model coeffs'!$E$9*'Cost drivers'!J80))</f>
        <v>69.161282369831483</v>
      </c>
      <c r="F80" s="99">
        <f>EXP('Model coeffs'!$F$12+('Model coeffs'!$F$8*'Cost drivers'!I80)+('Model coeffs'!$F$9*'Cost drivers'!J80)+('Model coeffs'!$F$10*'Cost drivers'!E80)+('Model coeffs'!$F$11*'Cost drivers'!H80))</f>
        <v>107.32315289081372</v>
      </c>
      <c r="G80" s="99">
        <f>EXP('Model coeffs'!$G$12+('Model coeffs'!$G$5*'Cost drivers'!D80)+('Model coeffs'!$G$6*'Cost drivers'!F80)+('Model coeffs'!$G$8*'Cost drivers'!I80)+('Model coeffs'!$G$9*'Cost drivers'!J80)+('Model coeffs'!$G$11*'Cost drivers'!H80))</f>
        <v>193.87008272448946</v>
      </c>
      <c r="H80" s="100">
        <f>EXP('Model coeffs'!$H$12+('Model coeffs'!$H$5*'Cost drivers'!D80)+('Model coeffs'!$H$7*'Cost drivers'!G80)+('Model coeffs'!$H$8*'Cost drivers'!I80)+('Model coeffs'!$H$9*'Cost drivers'!J80)+('Model coeffs'!$H$11*'Cost drivers'!H80))</f>
        <v>197.82210341226127</v>
      </c>
      <c r="I80" s="83"/>
      <c r="J80" s="151">
        <f t="shared" si="6"/>
        <v>69.020560822355549</v>
      </c>
      <c r="K80" s="100">
        <f t="shared" si="7"/>
        <v>107.32315289081372</v>
      </c>
      <c r="L80" s="150">
        <f t="shared" si="8"/>
        <v>195.84609306837535</v>
      </c>
      <c r="M80" s="83"/>
      <c r="N80" s="151">
        <f t="shared" si="9"/>
        <v>176.34371371316928</v>
      </c>
      <c r="O80" s="99">
        <f t="shared" si="10"/>
        <v>195.84609306837535</v>
      </c>
      <c r="P80" s="100">
        <f t="shared" si="11"/>
        <v>186.09490339077232</v>
      </c>
    </row>
    <row r="81" spans="1:16" x14ac:dyDescent="0.3">
      <c r="A81" s="98" t="str">
        <f>'Actual costs'!A82</f>
        <v>AFW</v>
      </c>
      <c r="B81" s="64">
        <f>'Actual costs'!B82</f>
        <v>2018</v>
      </c>
      <c r="C81" s="64" t="str">
        <f>'Actual costs'!C82</f>
        <v>AFW18</v>
      </c>
      <c r="D81" s="99">
        <f>EXP('Model coeffs'!$D$12+('Model coeffs'!$D$5*'Cost drivers'!D81)+('Model coeffs'!$D$6*'Cost drivers'!F81)+('Model coeffs'!$D$8*'Cost drivers'!I81)+('Model coeffs'!$D$9*'Cost drivers'!J81))</f>
        <v>71.633356299875814</v>
      </c>
      <c r="E81" s="99">
        <f>EXP('Model coeffs'!$E$12+('Model coeffs'!$E$5*'Cost drivers'!D81)+('Model coeffs'!$E$7*'Cost drivers'!G81)+('Model coeffs'!$E$8*'Cost drivers'!I81)+('Model coeffs'!$E$9*'Cost drivers'!J81))</f>
        <v>70.313240787694355</v>
      </c>
      <c r="F81" s="99">
        <f>EXP('Model coeffs'!$F$12+('Model coeffs'!$F$8*'Cost drivers'!I81)+('Model coeffs'!$F$9*'Cost drivers'!J81)+('Model coeffs'!$F$10*'Cost drivers'!E81)+('Model coeffs'!$F$11*'Cost drivers'!H81))</f>
        <v>104.16159771226751</v>
      </c>
      <c r="G81" s="99">
        <f>EXP('Model coeffs'!$G$12+('Model coeffs'!$G$5*'Cost drivers'!D81)+('Model coeffs'!$G$6*'Cost drivers'!F81)+('Model coeffs'!$G$8*'Cost drivers'!I81)+('Model coeffs'!$G$9*'Cost drivers'!J81)+('Model coeffs'!$G$11*'Cost drivers'!H81))</f>
        <v>187.56823888563613</v>
      </c>
      <c r="H81" s="100">
        <f>EXP('Model coeffs'!$H$12+('Model coeffs'!$H$5*'Cost drivers'!D81)+('Model coeffs'!$H$7*'Cost drivers'!G81)+('Model coeffs'!$H$8*'Cost drivers'!I81)+('Model coeffs'!$H$9*'Cost drivers'!J81)+('Model coeffs'!$H$11*'Cost drivers'!H81))</f>
        <v>190.46499013101368</v>
      </c>
      <c r="I81" s="83"/>
      <c r="J81" s="151">
        <f t="shared" si="6"/>
        <v>70.973298543785091</v>
      </c>
      <c r="K81" s="100">
        <f t="shared" si="7"/>
        <v>104.16159771226751</v>
      </c>
      <c r="L81" s="150">
        <f t="shared" si="8"/>
        <v>189.01661450832489</v>
      </c>
      <c r="M81" s="83"/>
      <c r="N81" s="151">
        <f t="shared" si="9"/>
        <v>175.1348962560526</v>
      </c>
      <c r="O81" s="99">
        <f t="shared" si="10"/>
        <v>189.01661450832489</v>
      </c>
      <c r="P81" s="100">
        <f t="shared" si="11"/>
        <v>182.07575538218873</v>
      </c>
    </row>
    <row r="82" spans="1:16" x14ac:dyDescent="0.3">
      <c r="A82" s="98" t="str">
        <f>'Actual costs'!A83</f>
        <v>BRL</v>
      </c>
      <c r="B82" s="64">
        <f>'Actual costs'!B83</f>
        <v>2012</v>
      </c>
      <c r="C82" s="64" t="str">
        <f>'Actual costs'!C83</f>
        <v>BRL12</v>
      </c>
      <c r="D82" s="99">
        <f>EXP('Model coeffs'!$D$12+('Model coeffs'!$D$5*'Cost drivers'!D82)+('Model coeffs'!$D$6*'Cost drivers'!F82)+('Model coeffs'!$D$8*'Cost drivers'!I82)+('Model coeffs'!$D$9*'Cost drivers'!J82))</f>
        <v>25.769171404298522</v>
      </c>
      <c r="E82" s="99">
        <f>EXP('Model coeffs'!$E$12+('Model coeffs'!$E$5*'Cost drivers'!D82)+('Model coeffs'!$E$7*'Cost drivers'!G82)+('Model coeffs'!$E$8*'Cost drivers'!I82)+('Model coeffs'!$E$9*'Cost drivers'!J82))</f>
        <v>25.891474453916789</v>
      </c>
      <c r="F82" s="99">
        <f>EXP('Model coeffs'!$F$12+('Model coeffs'!$F$8*'Cost drivers'!I82)+('Model coeffs'!$F$9*'Cost drivers'!J82)+('Model coeffs'!$F$10*'Cost drivers'!E82)+('Model coeffs'!$F$11*'Cost drivers'!H82))</f>
        <v>34.213153534383217</v>
      </c>
      <c r="G82" s="99">
        <f>EXP('Model coeffs'!$G$12+('Model coeffs'!$G$5*'Cost drivers'!D82)+('Model coeffs'!$G$6*'Cost drivers'!F82)+('Model coeffs'!$G$8*'Cost drivers'!I82)+('Model coeffs'!$G$9*'Cost drivers'!J82)+('Model coeffs'!$G$11*'Cost drivers'!H82))</f>
        <v>68.322950274308695</v>
      </c>
      <c r="H82" s="100">
        <f>EXP('Model coeffs'!$H$12+('Model coeffs'!$H$5*'Cost drivers'!D82)+('Model coeffs'!$H$7*'Cost drivers'!G82)+('Model coeffs'!$H$8*'Cost drivers'!I82)+('Model coeffs'!$H$9*'Cost drivers'!J82)+('Model coeffs'!$H$11*'Cost drivers'!H82))</f>
        <v>71.415615738496015</v>
      </c>
      <c r="I82" s="83"/>
      <c r="J82" s="151">
        <f t="shared" si="6"/>
        <v>25.830322929107655</v>
      </c>
      <c r="K82" s="100">
        <f t="shared" si="7"/>
        <v>34.213153534383217</v>
      </c>
      <c r="L82" s="150">
        <f t="shared" si="8"/>
        <v>69.869283006402355</v>
      </c>
      <c r="M82" s="83"/>
      <c r="N82" s="151">
        <f t="shared" si="9"/>
        <v>60.043476463490876</v>
      </c>
      <c r="O82" s="99">
        <f t="shared" si="10"/>
        <v>69.869283006402355</v>
      </c>
      <c r="P82" s="100">
        <f t="shared" si="11"/>
        <v>64.956379734946609</v>
      </c>
    </row>
    <row r="83" spans="1:16" x14ac:dyDescent="0.3">
      <c r="A83" s="98" t="str">
        <f>'Actual costs'!A84</f>
        <v>BRL</v>
      </c>
      <c r="B83" s="64">
        <f>'Actual costs'!B84</f>
        <v>2013</v>
      </c>
      <c r="C83" s="64" t="str">
        <f>'Actual costs'!C84</f>
        <v>BRL13</v>
      </c>
      <c r="D83" s="99">
        <f>EXP('Model coeffs'!$D$12+('Model coeffs'!$D$5*'Cost drivers'!D83)+('Model coeffs'!$D$6*'Cost drivers'!F83)+('Model coeffs'!$D$8*'Cost drivers'!I83)+('Model coeffs'!$D$9*'Cost drivers'!J83))</f>
        <v>25.894987408978334</v>
      </c>
      <c r="E83" s="99">
        <f>EXP('Model coeffs'!$E$12+('Model coeffs'!$E$5*'Cost drivers'!D83)+('Model coeffs'!$E$7*'Cost drivers'!G83)+('Model coeffs'!$E$8*'Cost drivers'!I83)+('Model coeffs'!$E$9*'Cost drivers'!J83))</f>
        <v>25.985934458717534</v>
      </c>
      <c r="F83" s="99">
        <f>EXP('Model coeffs'!$F$12+('Model coeffs'!$F$8*'Cost drivers'!I83)+('Model coeffs'!$F$9*'Cost drivers'!J83)+('Model coeffs'!$F$10*'Cost drivers'!E83)+('Model coeffs'!$F$11*'Cost drivers'!H83))</f>
        <v>34.744062070093172</v>
      </c>
      <c r="G83" s="99">
        <f>EXP('Model coeffs'!$G$12+('Model coeffs'!$G$5*'Cost drivers'!D83)+('Model coeffs'!$G$6*'Cost drivers'!F83)+('Model coeffs'!$G$8*'Cost drivers'!I83)+('Model coeffs'!$G$9*'Cost drivers'!J83)+('Model coeffs'!$G$11*'Cost drivers'!H83))</f>
        <v>69.114867530436413</v>
      </c>
      <c r="H83" s="100">
        <f>EXP('Model coeffs'!$H$12+('Model coeffs'!$H$5*'Cost drivers'!D83)+('Model coeffs'!$H$7*'Cost drivers'!G83)+('Model coeffs'!$H$8*'Cost drivers'!I83)+('Model coeffs'!$H$9*'Cost drivers'!J83)+('Model coeffs'!$H$11*'Cost drivers'!H83))</f>
        <v>72.192785940916608</v>
      </c>
      <c r="I83" s="83"/>
      <c r="J83" s="151">
        <f t="shared" si="6"/>
        <v>25.940460933847934</v>
      </c>
      <c r="K83" s="100">
        <f t="shared" si="7"/>
        <v>34.744062070093172</v>
      </c>
      <c r="L83" s="150">
        <f t="shared" si="8"/>
        <v>70.653826735676518</v>
      </c>
      <c r="M83" s="83"/>
      <c r="N83" s="151">
        <f t="shared" si="9"/>
        <v>60.684523003941109</v>
      </c>
      <c r="O83" s="99">
        <f t="shared" si="10"/>
        <v>70.653826735676518</v>
      </c>
      <c r="P83" s="100">
        <f t="shared" si="11"/>
        <v>65.669174869808813</v>
      </c>
    </row>
    <row r="84" spans="1:16" x14ac:dyDescent="0.3">
      <c r="A84" s="98" t="str">
        <f>'Actual costs'!A85</f>
        <v>BRL</v>
      </c>
      <c r="B84" s="64">
        <f>'Actual costs'!B85</f>
        <v>2014</v>
      </c>
      <c r="C84" s="64" t="str">
        <f>'Actual costs'!C85</f>
        <v>BRL14</v>
      </c>
      <c r="D84" s="99">
        <f>EXP('Model coeffs'!$D$12+('Model coeffs'!$D$5*'Cost drivers'!D84)+('Model coeffs'!$D$6*'Cost drivers'!F84)+('Model coeffs'!$D$8*'Cost drivers'!I84)+('Model coeffs'!$D$9*'Cost drivers'!J84))</f>
        <v>26.001831612881315</v>
      </c>
      <c r="E84" s="99">
        <f>EXP('Model coeffs'!$E$12+('Model coeffs'!$E$5*'Cost drivers'!D84)+('Model coeffs'!$E$7*'Cost drivers'!G84)+('Model coeffs'!$E$8*'Cost drivers'!I84)+('Model coeffs'!$E$9*'Cost drivers'!J84))</f>
        <v>26.106164805270126</v>
      </c>
      <c r="F84" s="99">
        <f>EXP('Model coeffs'!$F$12+('Model coeffs'!$F$8*'Cost drivers'!I84)+('Model coeffs'!$F$9*'Cost drivers'!J84)+('Model coeffs'!$F$10*'Cost drivers'!E84)+('Model coeffs'!$F$11*'Cost drivers'!H84))</f>
        <v>35.108979486946566</v>
      </c>
      <c r="G84" s="99">
        <f>EXP('Model coeffs'!$G$12+('Model coeffs'!$G$5*'Cost drivers'!D84)+('Model coeffs'!$G$6*'Cost drivers'!F84)+('Model coeffs'!$G$8*'Cost drivers'!I84)+('Model coeffs'!$G$9*'Cost drivers'!J84)+('Model coeffs'!$G$11*'Cost drivers'!H84))</f>
        <v>69.546396991990179</v>
      </c>
      <c r="H84" s="100">
        <f>EXP('Model coeffs'!$H$12+('Model coeffs'!$H$5*'Cost drivers'!D84)+('Model coeffs'!$H$7*'Cost drivers'!G84)+('Model coeffs'!$H$8*'Cost drivers'!I84)+('Model coeffs'!$H$9*'Cost drivers'!J84)+('Model coeffs'!$H$11*'Cost drivers'!H84))</f>
        <v>72.650811860556971</v>
      </c>
      <c r="I84" s="83"/>
      <c r="J84" s="151">
        <f t="shared" si="6"/>
        <v>26.053998209075722</v>
      </c>
      <c r="K84" s="100">
        <f t="shared" si="7"/>
        <v>35.108979486946566</v>
      </c>
      <c r="L84" s="150">
        <f t="shared" si="8"/>
        <v>71.098604426273567</v>
      </c>
      <c r="M84" s="83"/>
      <c r="N84" s="151">
        <f t="shared" si="9"/>
        <v>61.162977696022288</v>
      </c>
      <c r="O84" s="99">
        <f t="shared" si="10"/>
        <v>71.098604426273567</v>
      </c>
      <c r="P84" s="100">
        <f t="shared" si="11"/>
        <v>66.130791061147931</v>
      </c>
    </row>
    <row r="85" spans="1:16" x14ac:dyDescent="0.3">
      <c r="A85" s="98" t="str">
        <f>'Actual costs'!A86</f>
        <v>BRL</v>
      </c>
      <c r="B85" s="64">
        <f>'Actual costs'!B86</f>
        <v>2015</v>
      </c>
      <c r="C85" s="64" t="str">
        <f>'Actual costs'!C86</f>
        <v>BRL15</v>
      </c>
      <c r="D85" s="99">
        <f>EXP('Model coeffs'!$D$12+('Model coeffs'!$D$5*'Cost drivers'!D85)+('Model coeffs'!$D$6*'Cost drivers'!F85)+('Model coeffs'!$D$8*'Cost drivers'!I85)+('Model coeffs'!$D$9*'Cost drivers'!J85))</f>
        <v>26.092663335859083</v>
      </c>
      <c r="E85" s="99">
        <f>EXP('Model coeffs'!$E$12+('Model coeffs'!$E$5*'Cost drivers'!D85)+('Model coeffs'!$E$7*'Cost drivers'!G85)+('Model coeffs'!$E$8*'Cost drivers'!I85)+('Model coeffs'!$E$9*'Cost drivers'!J85))</f>
        <v>26.146516696148979</v>
      </c>
      <c r="F85" s="99">
        <f>EXP('Model coeffs'!$F$12+('Model coeffs'!$F$8*'Cost drivers'!I85)+('Model coeffs'!$F$9*'Cost drivers'!J85)+('Model coeffs'!$F$10*'Cost drivers'!E85)+('Model coeffs'!$F$11*'Cost drivers'!H85))</f>
        <v>35.763200868212955</v>
      </c>
      <c r="G85" s="99">
        <f>EXP('Model coeffs'!$G$12+('Model coeffs'!$G$5*'Cost drivers'!D85)+('Model coeffs'!$G$6*'Cost drivers'!F85)+('Model coeffs'!$G$8*'Cost drivers'!I85)+('Model coeffs'!$G$9*'Cost drivers'!J85)+('Model coeffs'!$G$11*'Cost drivers'!H85))</f>
        <v>70.611575333912199</v>
      </c>
      <c r="H85" s="100">
        <f>EXP('Model coeffs'!$H$12+('Model coeffs'!$H$5*'Cost drivers'!D85)+('Model coeffs'!$H$7*'Cost drivers'!G85)+('Model coeffs'!$H$8*'Cost drivers'!I85)+('Model coeffs'!$H$9*'Cost drivers'!J85)+('Model coeffs'!$H$11*'Cost drivers'!H85))</f>
        <v>73.629687837072211</v>
      </c>
      <c r="I85" s="83"/>
      <c r="J85" s="151">
        <f t="shared" si="6"/>
        <v>26.119590016004032</v>
      </c>
      <c r="K85" s="100">
        <f t="shared" si="7"/>
        <v>35.763200868212955</v>
      </c>
      <c r="L85" s="150">
        <f t="shared" si="8"/>
        <v>72.120631585492205</v>
      </c>
      <c r="M85" s="83"/>
      <c r="N85" s="151">
        <f t="shared" si="9"/>
        <v>61.882790884216988</v>
      </c>
      <c r="O85" s="99">
        <f t="shared" si="10"/>
        <v>72.120631585492205</v>
      </c>
      <c r="P85" s="100">
        <f t="shared" si="11"/>
        <v>67.001711234854596</v>
      </c>
    </row>
    <row r="86" spans="1:16" x14ac:dyDescent="0.3">
      <c r="A86" s="98" t="str">
        <f>'Actual costs'!A87</f>
        <v>BRL</v>
      </c>
      <c r="B86" s="64">
        <f>'Actual costs'!B87</f>
        <v>2016</v>
      </c>
      <c r="C86" s="64" t="str">
        <f>'Actual costs'!C87</f>
        <v>BRL16</v>
      </c>
      <c r="D86" s="99">
        <f>EXP('Model coeffs'!$D$12+('Model coeffs'!$D$5*'Cost drivers'!D86)+('Model coeffs'!$D$6*'Cost drivers'!F86)+('Model coeffs'!$D$8*'Cost drivers'!I86)+('Model coeffs'!$D$9*'Cost drivers'!J86))</f>
        <v>26.250439197218473</v>
      </c>
      <c r="E86" s="99">
        <f>EXP('Model coeffs'!$E$12+('Model coeffs'!$E$5*'Cost drivers'!D86)+('Model coeffs'!$E$7*'Cost drivers'!G86)+('Model coeffs'!$E$8*'Cost drivers'!I86)+('Model coeffs'!$E$9*'Cost drivers'!J86))</f>
        <v>26.494533040261672</v>
      </c>
      <c r="F86" s="99">
        <f>EXP('Model coeffs'!$F$12+('Model coeffs'!$F$8*'Cost drivers'!I86)+('Model coeffs'!$F$9*'Cost drivers'!J86)+('Model coeffs'!$F$10*'Cost drivers'!E86)+('Model coeffs'!$F$11*'Cost drivers'!H86))</f>
        <v>36.32517420221405</v>
      </c>
      <c r="G86" s="99">
        <f>EXP('Model coeffs'!$G$12+('Model coeffs'!$G$5*'Cost drivers'!D86)+('Model coeffs'!$G$6*'Cost drivers'!F86)+('Model coeffs'!$G$8*'Cost drivers'!I86)+('Model coeffs'!$G$9*'Cost drivers'!J86)+('Model coeffs'!$G$11*'Cost drivers'!H86))</f>
        <v>71.655793834200409</v>
      </c>
      <c r="H86" s="100">
        <f>EXP('Model coeffs'!$H$12+('Model coeffs'!$H$5*'Cost drivers'!D86)+('Model coeffs'!$H$7*'Cost drivers'!G86)+('Model coeffs'!$H$8*'Cost drivers'!I86)+('Model coeffs'!$H$9*'Cost drivers'!J86)+('Model coeffs'!$H$11*'Cost drivers'!H86))</f>
        <v>75.184066183594297</v>
      </c>
      <c r="I86" s="83"/>
      <c r="J86" s="151">
        <f t="shared" si="6"/>
        <v>26.372486118740071</v>
      </c>
      <c r="K86" s="100">
        <f t="shared" si="7"/>
        <v>36.32517420221405</v>
      </c>
      <c r="L86" s="150">
        <f t="shared" si="8"/>
        <v>73.419930008897353</v>
      </c>
      <c r="M86" s="83"/>
      <c r="N86" s="151">
        <f t="shared" si="9"/>
        <v>62.697660320954121</v>
      </c>
      <c r="O86" s="99">
        <f t="shared" si="10"/>
        <v>73.419930008897353</v>
      </c>
      <c r="P86" s="100">
        <f t="shared" si="11"/>
        <v>68.058795164925741</v>
      </c>
    </row>
    <row r="87" spans="1:16" x14ac:dyDescent="0.3">
      <c r="A87" s="98" t="str">
        <f>'Actual costs'!A88</f>
        <v>BRL</v>
      </c>
      <c r="B87" s="64">
        <f>'Actual costs'!B88</f>
        <v>2017</v>
      </c>
      <c r="C87" s="64" t="str">
        <f>'Actual costs'!C88</f>
        <v>BRL17</v>
      </c>
      <c r="D87" s="99">
        <f>EXP('Model coeffs'!$D$12+('Model coeffs'!$D$5*'Cost drivers'!D87)+('Model coeffs'!$D$6*'Cost drivers'!F87)+('Model coeffs'!$D$8*'Cost drivers'!I87)+('Model coeffs'!$D$9*'Cost drivers'!J87))</f>
        <v>26.380402449261702</v>
      </c>
      <c r="E87" s="99">
        <f>EXP('Model coeffs'!$E$12+('Model coeffs'!$E$5*'Cost drivers'!D87)+('Model coeffs'!$E$7*'Cost drivers'!G87)+('Model coeffs'!$E$8*'Cost drivers'!I87)+('Model coeffs'!$E$9*'Cost drivers'!J87))</f>
        <v>26.646675400496594</v>
      </c>
      <c r="F87" s="99">
        <f>EXP('Model coeffs'!$F$12+('Model coeffs'!$F$8*'Cost drivers'!I87)+('Model coeffs'!$F$9*'Cost drivers'!J87)+('Model coeffs'!$F$10*'Cost drivers'!E87)+('Model coeffs'!$F$11*'Cost drivers'!H87))</f>
        <v>36.66036831475936</v>
      </c>
      <c r="G87" s="99">
        <f>EXP('Model coeffs'!$G$12+('Model coeffs'!$G$5*'Cost drivers'!D87)+('Model coeffs'!$G$6*'Cost drivers'!F87)+('Model coeffs'!$G$8*'Cost drivers'!I87)+('Model coeffs'!$G$9*'Cost drivers'!J87)+('Model coeffs'!$G$11*'Cost drivers'!H87))</f>
        <v>72.146965896377822</v>
      </c>
      <c r="H87" s="100">
        <f>EXP('Model coeffs'!$H$12+('Model coeffs'!$H$5*'Cost drivers'!D87)+('Model coeffs'!$H$7*'Cost drivers'!G87)+('Model coeffs'!$H$8*'Cost drivers'!I87)+('Model coeffs'!$H$9*'Cost drivers'!J87)+('Model coeffs'!$H$11*'Cost drivers'!H87))</f>
        <v>75.768591210426962</v>
      </c>
      <c r="I87" s="83"/>
      <c r="J87" s="151">
        <f t="shared" si="6"/>
        <v>26.51353892487915</v>
      </c>
      <c r="K87" s="100">
        <f t="shared" si="7"/>
        <v>36.66036831475936</v>
      </c>
      <c r="L87" s="150">
        <f t="shared" si="8"/>
        <v>73.957778553402392</v>
      </c>
      <c r="M87" s="83"/>
      <c r="N87" s="151">
        <f t="shared" si="9"/>
        <v>63.17390723963851</v>
      </c>
      <c r="O87" s="99">
        <f t="shared" si="10"/>
        <v>73.957778553402392</v>
      </c>
      <c r="P87" s="100">
        <f t="shared" si="11"/>
        <v>68.565842896520451</v>
      </c>
    </row>
    <row r="88" spans="1:16" x14ac:dyDescent="0.3">
      <c r="A88" s="98" t="str">
        <f>'Actual costs'!A89</f>
        <v>BRL</v>
      </c>
      <c r="B88" s="64">
        <f>'Actual costs'!B89</f>
        <v>2018</v>
      </c>
      <c r="C88" s="64" t="str">
        <f>'Actual costs'!C89</f>
        <v>BRL18</v>
      </c>
      <c r="D88" s="99">
        <f>EXP('Model coeffs'!$D$12+('Model coeffs'!$D$5*'Cost drivers'!D88)+('Model coeffs'!$D$6*'Cost drivers'!F88)+('Model coeffs'!$D$8*'Cost drivers'!I88)+('Model coeffs'!$D$9*'Cost drivers'!J88))</f>
        <v>26.687213179357247</v>
      </c>
      <c r="E88" s="99">
        <f>EXP('Model coeffs'!$E$12+('Model coeffs'!$E$5*'Cost drivers'!D88)+('Model coeffs'!$E$7*'Cost drivers'!G88)+('Model coeffs'!$E$8*'Cost drivers'!I88)+('Model coeffs'!$E$9*'Cost drivers'!J88))</f>
        <v>26.885014282179981</v>
      </c>
      <c r="F88" s="99">
        <f>EXP('Model coeffs'!$F$12+('Model coeffs'!$F$8*'Cost drivers'!I88)+('Model coeffs'!$F$9*'Cost drivers'!J88)+('Model coeffs'!$F$10*'Cost drivers'!E88)+('Model coeffs'!$F$11*'Cost drivers'!H88))</f>
        <v>37.004144568351379</v>
      </c>
      <c r="G88" s="99">
        <f>EXP('Model coeffs'!$G$12+('Model coeffs'!$G$5*'Cost drivers'!D88)+('Model coeffs'!$G$6*'Cost drivers'!F88)+('Model coeffs'!$G$8*'Cost drivers'!I88)+('Model coeffs'!$G$9*'Cost drivers'!J88)+('Model coeffs'!$G$11*'Cost drivers'!H88))</f>
        <v>72.705345090176905</v>
      </c>
      <c r="H88" s="100">
        <f>EXP('Model coeffs'!$H$12+('Model coeffs'!$H$5*'Cost drivers'!D88)+('Model coeffs'!$H$7*'Cost drivers'!G88)+('Model coeffs'!$H$8*'Cost drivers'!I88)+('Model coeffs'!$H$9*'Cost drivers'!J88)+('Model coeffs'!$H$11*'Cost drivers'!H88))</f>
        <v>76.262150584337419</v>
      </c>
      <c r="I88" s="83"/>
      <c r="J88" s="151">
        <f t="shared" si="6"/>
        <v>26.786113730768612</v>
      </c>
      <c r="K88" s="100">
        <f t="shared" si="7"/>
        <v>37.004144568351379</v>
      </c>
      <c r="L88" s="150">
        <f t="shared" si="8"/>
        <v>74.48374783725717</v>
      </c>
      <c r="M88" s="83"/>
      <c r="N88" s="151">
        <f t="shared" si="9"/>
        <v>63.790258299119991</v>
      </c>
      <c r="O88" s="99">
        <f t="shared" si="10"/>
        <v>74.48374783725717</v>
      </c>
      <c r="P88" s="100">
        <f t="shared" si="11"/>
        <v>69.137003068188577</v>
      </c>
    </row>
    <row r="89" spans="1:16" x14ac:dyDescent="0.3">
      <c r="A89" s="98" t="str">
        <f>'Actual costs'!A90</f>
        <v>BWH</v>
      </c>
      <c r="B89" s="64">
        <f>'Actual costs'!B90</f>
        <v>2012</v>
      </c>
      <c r="C89" s="64" t="str">
        <f>'Actual costs'!C90</f>
        <v>BWH12</v>
      </c>
      <c r="D89" s="99">
        <f>EXP('Model coeffs'!$D$12+('Model coeffs'!$D$5*'Cost drivers'!D89)+('Model coeffs'!$D$6*'Cost drivers'!F89)+('Model coeffs'!$D$8*'Cost drivers'!I89)+('Model coeffs'!$D$9*'Cost drivers'!J89))</f>
        <v>9.5277539303493484</v>
      </c>
      <c r="E89" s="99">
        <f>EXP('Model coeffs'!$E$12+('Model coeffs'!$E$5*'Cost drivers'!D89)+('Model coeffs'!$E$7*'Cost drivers'!G89)+('Model coeffs'!$E$8*'Cost drivers'!I89)+('Model coeffs'!$E$9*'Cost drivers'!J89))</f>
        <v>9.3857676673222521</v>
      </c>
      <c r="F89" s="99">
        <f>EXP('Model coeffs'!$F$12+('Model coeffs'!$F$8*'Cost drivers'!I89)+('Model coeffs'!$F$9*'Cost drivers'!J89)+('Model coeffs'!$F$10*'Cost drivers'!E89)+('Model coeffs'!$F$11*'Cost drivers'!H89))</f>
        <v>10.413074586045276</v>
      </c>
      <c r="G89" s="99">
        <f>EXP('Model coeffs'!$G$12+('Model coeffs'!$G$5*'Cost drivers'!D89)+('Model coeffs'!$G$6*'Cost drivers'!F89)+('Model coeffs'!$G$8*'Cost drivers'!I89)+('Model coeffs'!$G$9*'Cost drivers'!J89)+('Model coeffs'!$G$11*'Cost drivers'!H89))</f>
        <v>18.929770746362273</v>
      </c>
      <c r="H89" s="100">
        <f>EXP('Model coeffs'!$H$12+('Model coeffs'!$H$5*'Cost drivers'!D89)+('Model coeffs'!$H$7*'Cost drivers'!G89)+('Model coeffs'!$H$8*'Cost drivers'!I89)+('Model coeffs'!$H$9*'Cost drivers'!J89)+('Model coeffs'!$H$11*'Cost drivers'!H89))</f>
        <v>19.101193882001404</v>
      </c>
      <c r="I89" s="83"/>
      <c r="J89" s="151">
        <f t="shared" si="6"/>
        <v>9.4567607988358002</v>
      </c>
      <c r="K89" s="100">
        <f t="shared" si="7"/>
        <v>10.413074586045276</v>
      </c>
      <c r="L89" s="150">
        <f t="shared" si="8"/>
        <v>19.015482314181838</v>
      </c>
      <c r="M89" s="83"/>
      <c r="N89" s="151">
        <f t="shared" si="9"/>
        <v>19.869835384881078</v>
      </c>
      <c r="O89" s="99">
        <f t="shared" si="10"/>
        <v>19.015482314181838</v>
      </c>
      <c r="P89" s="100">
        <f t="shared" si="11"/>
        <v>19.442658849531458</v>
      </c>
    </row>
    <row r="90" spans="1:16" x14ac:dyDescent="0.3">
      <c r="A90" s="98" t="str">
        <f>'Actual costs'!A91</f>
        <v>BWH</v>
      </c>
      <c r="B90" s="64">
        <f>'Actual costs'!B91</f>
        <v>2013</v>
      </c>
      <c r="C90" s="64" t="str">
        <f>'Actual costs'!C91</f>
        <v>BWH13</v>
      </c>
      <c r="D90" s="99">
        <f>EXP('Model coeffs'!$D$12+('Model coeffs'!$D$5*'Cost drivers'!D90)+('Model coeffs'!$D$6*'Cost drivers'!F90)+('Model coeffs'!$D$8*'Cost drivers'!I90)+('Model coeffs'!$D$9*'Cost drivers'!J90))</f>
        <v>9.5203073252049304</v>
      </c>
      <c r="E90" s="99">
        <f>EXP('Model coeffs'!$E$12+('Model coeffs'!$E$5*'Cost drivers'!D90)+('Model coeffs'!$E$7*'Cost drivers'!G90)+('Model coeffs'!$E$8*'Cost drivers'!I90)+('Model coeffs'!$E$9*'Cost drivers'!J90))</f>
        <v>9.3723686730341669</v>
      </c>
      <c r="F90" s="99">
        <f>EXP('Model coeffs'!$F$12+('Model coeffs'!$F$8*'Cost drivers'!I90)+('Model coeffs'!$F$9*'Cost drivers'!J90)+('Model coeffs'!$F$10*'Cost drivers'!E90)+('Model coeffs'!$F$11*'Cost drivers'!H90))</f>
        <v>10.521670603954005</v>
      </c>
      <c r="G90" s="99">
        <f>EXP('Model coeffs'!$G$12+('Model coeffs'!$G$5*'Cost drivers'!D90)+('Model coeffs'!$G$6*'Cost drivers'!F90)+('Model coeffs'!$G$8*'Cost drivers'!I90)+('Model coeffs'!$G$9*'Cost drivers'!J90)+('Model coeffs'!$G$11*'Cost drivers'!H90))</f>
        <v>18.978666919042851</v>
      </c>
      <c r="H90" s="100">
        <f>EXP('Model coeffs'!$H$12+('Model coeffs'!$H$5*'Cost drivers'!D90)+('Model coeffs'!$H$7*'Cost drivers'!G90)+('Model coeffs'!$H$8*'Cost drivers'!I90)+('Model coeffs'!$H$9*'Cost drivers'!J90)+('Model coeffs'!$H$11*'Cost drivers'!H90))</f>
        <v>19.145516776998093</v>
      </c>
      <c r="I90" s="83"/>
      <c r="J90" s="151">
        <f t="shared" si="6"/>
        <v>9.4463379991195495</v>
      </c>
      <c r="K90" s="100">
        <f t="shared" si="7"/>
        <v>10.521670603954005</v>
      </c>
      <c r="L90" s="150">
        <f t="shared" si="8"/>
        <v>19.062091848020472</v>
      </c>
      <c r="M90" s="83"/>
      <c r="N90" s="151">
        <f t="shared" si="9"/>
        <v>19.968008603073557</v>
      </c>
      <c r="O90" s="99">
        <f t="shared" si="10"/>
        <v>19.062091848020472</v>
      </c>
      <c r="P90" s="100">
        <f t="shared" si="11"/>
        <v>19.515050225547014</v>
      </c>
    </row>
    <row r="91" spans="1:16" x14ac:dyDescent="0.3">
      <c r="A91" s="98" t="str">
        <f>'Actual costs'!A92</f>
        <v>BWH</v>
      </c>
      <c r="B91" s="64">
        <f>'Actual costs'!B92</f>
        <v>2014</v>
      </c>
      <c r="C91" s="64" t="str">
        <f>'Actual costs'!C92</f>
        <v>BWH14</v>
      </c>
      <c r="D91" s="99">
        <f>EXP('Model coeffs'!$D$12+('Model coeffs'!$D$5*'Cost drivers'!D91)+('Model coeffs'!$D$6*'Cost drivers'!F91)+('Model coeffs'!$D$8*'Cost drivers'!I91)+('Model coeffs'!$D$9*'Cost drivers'!J91))</f>
        <v>9.5288916233177527</v>
      </c>
      <c r="E91" s="99">
        <f>EXP('Model coeffs'!$E$12+('Model coeffs'!$E$5*'Cost drivers'!D91)+('Model coeffs'!$E$7*'Cost drivers'!G91)+('Model coeffs'!$E$8*'Cost drivers'!I91)+('Model coeffs'!$E$9*'Cost drivers'!J91))</f>
        <v>9.3971356642853756</v>
      </c>
      <c r="F91" s="99">
        <f>EXP('Model coeffs'!$F$12+('Model coeffs'!$F$8*'Cost drivers'!I91)+('Model coeffs'!$F$9*'Cost drivers'!J91)+('Model coeffs'!$F$10*'Cost drivers'!E91)+('Model coeffs'!$F$11*'Cost drivers'!H91))</f>
        <v>10.59208038370247</v>
      </c>
      <c r="G91" s="99">
        <f>EXP('Model coeffs'!$G$12+('Model coeffs'!$G$5*'Cost drivers'!D91)+('Model coeffs'!$G$6*'Cost drivers'!F91)+('Model coeffs'!$G$8*'Cost drivers'!I91)+('Model coeffs'!$G$9*'Cost drivers'!J91)+('Model coeffs'!$G$11*'Cost drivers'!H91))</f>
        <v>19.08160400885124</v>
      </c>
      <c r="H91" s="100">
        <f>EXP('Model coeffs'!$H$12+('Model coeffs'!$H$5*'Cost drivers'!D91)+('Model coeffs'!$H$7*'Cost drivers'!G91)+('Model coeffs'!$H$8*'Cost drivers'!I91)+('Model coeffs'!$H$9*'Cost drivers'!J91)+('Model coeffs'!$H$11*'Cost drivers'!H91))</f>
        <v>19.252504566212703</v>
      </c>
      <c r="I91" s="83"/>
      <c r="J91" s="151">
        <f t="shared" si="6"/>
        <v>9.4630136438015633</v>
      </c>
      <c r="K91" s="100">
        <f t="shared" si="7"/>
        <v>10.59208038370247</v>
      </c>
      <c r="L91" s="150">
        <f t="shared" si="8"/>
        <v>19.167054287531972</v>
      </c>
      <c r="M91" s="83"/>
      <c r="N91" s="151">
        <f t="shared" si="9"/>
        <v>20.055094027504033</v>
      </c>
      <c r="O91" s="99">
        <f t="shared" si="10"/>
        <v>19.167054287531972</v>
      </c>
      <c r="P91" s="100">
        <f t="shared" si="11"/>
        <v>19.611074157518004</v>
      </c>
    </row>
    <row r="92" spans="1:16" x14ac:dyDescent="0.3">
      <c r="A92" s="98" t="str">
        <f>'Actual costs'!A93</f>
        <v>BWH</v>
      </c>
      <c r="B92" s="64">
        <f>'Actual costs'!B93</f>
        <v>2015</v>
      </c>
      <c r="C92" s="64" t="str">
        <f>'Actual costs'!C93</f>
        <v>BWH15</v>
      </c>
      <c r="D92" s="99">
        <f>EXP('Model coeffs'!$D$12+('Model coeffs'!$D$5*'Cost drivers'!D92)+('Model coeffs'!$D$6*'Cost drivers'!F92)+('Model coeffs'!$D$8*'Cost drivers'!I92)+('Model coeffs'!$D$9*'Cost drivers'!J92))</f>
        <v>9.598578733108992</v>
      </c>
      <c r="E92" s="99">
        <f>EXP('Model coeffs'!$E$12+('Model coeffs'!$E$5*'Cost drivers'!D92)+('Model coeffs'!$E$7*'Cost drivers'!G92)+('Model coeffs'!$E$8*'Cost drivers'!I92)+('Model coeffs'!$E$9*'Cost drivers'!J92))</f>
        <v>9.7296553801122254</v>
      </c>
      <c r="F92" s="99">
        <f>EXP('Model coeffs'!$F$12+('Model coeffs'!$F$8*'Cost drivers'!I92)+('Model coeffs'!$F$9*'Cost drivers'!J92)+('Model coeffs'!$F$10*'Cost drivers'!E92)+('Model coeffs'!$F$11*'Cost drivers'!H92))</f>
        <v>10.681832097068071</v>
      </c>
      <c r="G92" s="99">
        <f>EXP('Model coeffs'!$G$12+('Model coeffs'!$G$5*'Cost drivers'!D92)+('Model coeffs'!$G$6*'Cost drivers'!F92)+('Model coeffs'!$G$8*'Cost drivers'!I92)+('Model coeffs'!$G$9*'Cost drivers'!J92)+('Model coeffs'!$G$11*'Cost drivers'!H92))</f>
        <v>19.198305458040899</v>
      </c>
      <c r="H92" s="100">
        <f>EXP('Model coeffs'!$H$12+('Model coeffs'!$H$5*'Cost drivers'!D92)+('Model coeffs'!$H$7*'Cost drivers'!G92)+('Model coeffs'!$H$8*'Cost drivers'!I92)+('Model coeffs'!$H$9*'Cost drivers'!J92)+('Model coeffs'!$H$11*'Cost drivers'!H92))</f>
        <v>19.865461397242086</v>
      </c>
      <c r="I92" s="83"/>
      <c r="J92" s="151">
        <f t="shared" si="6"/>
        <v>9.6641170566106087</v>
      </c>
      <c r="K92" s="100">
        <f t="shared" si="7"/>
        <v>10.681832097068071</v>
      </c>
      <c r="L92" s="150">
        <f t="shared" si="8"/>
        <v>19.531883427641493</v>
      </c>
      <c r="M92" s="83"/>
      <c r="N92" s="151">
        <f t="shared" si="9"/>
        <v>20.345949153678681</v>
      </c>
      <c r="O92" s="99">
        <f t="shared" si="10"/>
        <v>19.531883427641493</v>
      </c>
      <c r="P92" s="100">
        <f t="shared" si="11"/>
        <v>19.938916290660089</v>
      </c>
    </row>
    <row r="93" spans="1:16" x14ac:dyDescent="0.3">
      <c r="A93" s="98" t="str">
        <f>'Actual costs'!A94</f>
        <v>BWH</v>
      </c>
      <c r="B93" s="64">
        <f>'Actual costs'!B94</f>
        <v>2016</v>
      </c>
      <c r="C93" s="64" t="str">
        <f>'Actual costs'!C94</f>
        <v>BWH16</v>
      </c>
      <c r="D93" s="99">
        <f>EXP('Model coeffs'!$D$12+('Model coeffs'!$D$5*'Cost drivers'!D93)+('Model coeffs'!$D$6*'Cost drivers'!F93)+('Model coeffs'!$D$8*'Cost drivers'!I93)+('Model coeffs'!$D$9*'Cost drivers'!J93))</f>
        <v>9.585671079605703</v>
      </c>
      <c r="E93" s="99">
        <f>EXP('Model coeffs'!$E$12+('Model coeffs'!$E$5*'Cost drivers'!D93)+('Model coeffs'!$E$7*'Cost drivers'!G93)+('Model coeffs'!$E$8*'Cost drivers'!I93)+('Model coeffs'!$E$9*'Cost drivers'!J93))</f>
        <v>10.150637269060546</v>
      </c>
      <c r="F93" s="99">
        <f>EXP('Model coeffs'!$F$12+('Model coeffs'!$F$8*'Cost drivers'!I93)+('Model coeffs'!$F$9*'Cost drivers'!J93)+('Model coeffs'!$F$10*'Cost drivers'!E93)+('Model coeffs'!$F$11*'Cost drivers'!H93))</f>
        <v>10.987049038876215</v>
      </c>
      <c r="G93" s="99">
        <f>EXP('Model coeffs'!$G$12+('Model coeffs'!$G$5*'Cost drivers'!D93)+('Model coeffs'!$G$6*'Cost drivers'!F93)+('Model coeffs'!$G$8*'Cost drivers'!I93)+('Model coeffs'!$G$9*'Cost drivers'!J93)+('Model coeffs'!$G$11*'Cost drivers'!H93))</f>
        <v>19.680305296088481</v>
      </c>
      <c r="H93" s="100">
        <f>EXP('Model coeffs'!$H$12+('Model coeffs'!$H$5*'Cost drivers'!D93)+('Model coeffs'!$H$7*'Cost drivers'!G93)+('Model coeffs'!$H$8*'Cost drivers'!I93)+('Model coeffs'!$H$9*'Cost drivers'!J93)+('Model coeffs'!$H$11*'Cost drivers'!H93))</f>
        <v>21.096478501713914</v>
      </c>
      <c r="I93" s="83"/>
      <c r="J93" s="151">
        <f t="shared" si="6"/>
        <v>9.8681541743331245</v>
      </c>
      <c r="K93" s="100">
        <f t="shared" si="7"/>
        <v>10.987049038876215</v>
      </c>
      <c r="L93" s="150">
        <f t="shared" si="8"/>
        <v>20.388391898901197</v>
      </c>
      <c r="M93" s="83"/>
      <c r="N93" s="151">
        <f t="shared" si="9"/>
        <v>20.855203213209339</v>
      </c>
      <c r="O93" s="99">
        <f t="shared" si="10"/>
        <v>20.388391898901197</v>
      </c>
      <c r="P93" s="100">
        <f t="shared" si="11"/>
        <v>20.62179755605527</v>
      </c>
    </row>
    <row r="94" spans="1:16" x14ac:dyDescent="0.3">
      <c r="A94" s="98" t="str">
        <f>'Actual costs'!A95</f>
        <v>DVW</v>
      </c>
      <c r="B94" s="64">
        <f>'Actual costs'!B95</f>
        <v>2012</v>
      </c>
      <c r="C94" s="64" t="str">
        <f>'Actual costs'!C95</f>
        <v>DVW12</v>
      </c>
      <c r="D94" s="99">
        <f>EXP('Model coeffs'!$D$12+('Model coeffs'!$D$5*'Cost drivers'!D94)+('Model coeffs'!$D$6*'Cost drivers'!F94)+('Model coeffs'!$D$8*'Cost drivers'!I94)+('Model coeffs'!$D$9*'Cost drivers'!J94))</f>
        <v>9.40093891168212</v>
      </c>
      <c r="E94" s="99">
        <f>EXP('Model coeffs'!$E$12+('Model coeffs'!$E$5*'Cost drivers'!D94)+('Model coeffs'!$E$7*'Cost drivers'!G94)+('Model coeffs'!$E$8*'Cost drivers'!I94)+('Model coeffs'!$E$9*'Cost drivers'!J94))</f>
        <v>8.4241749732845292</v>
      </c>
      <c r="F94" s="99">
        <f>EXP('Model coeffs'!$F$12+('Model coeffs'!$F$8*'Cost drivers'!I94)+('Model coeffs'!$F$9*'Cost drivers'!J94)+('Model coeffs'!$F$10*'Cost drivers'!E94)+('Model coeffs'!$F$11*'Cost drivers'!H94))</f>
        <v>7.5579577056120559</v>
      </c>
      <c r="G94" s="99">
        <f>EXP('Model coeffs'!$G$12+('Model coeffs'!$G$5*'Cost drivers'!D94)+('Model coeffs'!$G$6*'Cost drivers'!F94)+('Model coeffs'!$G$8*'Cost drivers'!I94)+('Model coeffs'!$G$9*'Cost drivers'!J94)+('Model coeffs'!$G$11*'Cost drivers'!H94))</f>
        <v>17.647210918553874</v>
      </c>
      <c r="H94" s="100">
        <f>EXP('Model coeffs'!$H$12+('Model coeffs'!$H$5*'Cost drivers'!D94)+('Model coeffs'!$H$7*'Cost drivers'!G94)+('Model coeffs'!$H$8*'Cost drivers'!I94)+('Model coeffs'!$H$9*'Cost drivers'!J94)+('Model coeffs'!$H$11*'Cost drivers'!H94))</f>
        <v>17.348560953361428</v>
      </c>
      <c r="I94" s="83"/>
      <c r="J94" s="151">
        <f t="shared" si="6"/>
        <v>8.9125569424833238</v>
      </c>
      <c r="K94" s="100">
        <f t="shared" si="7"/>
        <v>7.5579577056120559</v>
      </c>
      <c r="L94" s="150">
        <f t="shared" si="8"/>
        <v>17.497885935957651</v>
      </c>
      <c r="M94" s="83"/>
      <c r="N94" s="151">
        <f t="shared" si="9"/>
        <v>16.470514648095381</v>
      </c>
      <c r="O94" s="99">
        <f t="shared" si="10"/>
        <v>17.497885935957651</v>
      </c>
      <c r="P94" s="100">
        <f t="shared" si="11"/>
        <v>16.984200292026514</v>
      </c>
    </row>
    <row r="95" spans="1:16" x14ac:dyDescent="0.3">
      <c r="A95" s="98" t="str">
        <f>'Actual costs'!A96</f>
        <v>DVW</v>
      </c>
      <c r="B95" s="64">
        <f>'Actual costs'!B96</f>
        <v>2013</v>
      </c>
      <c r="C95" s="64" t="str">
        <f>'Actual costs'!C96</f>
        <v>DVW13</v>
      </c>
      <c r="D95" s="99">
        <f>EXP('Model coeffs'!$D$12+('Model coeffs'!$D$5*'Cost drivers'!D95)+('Model coeffs'!$D$6*'Cost drivers'!F95)+('Model coeffs'!$D$8*'Cost drivers'!I95)+('Model coeffs'!$D$9*'Cost drivers'!J95))</f>
        <v>9.4268010051404794</v>
      </c>
      <c r="E95" s="99">
        <f>EXP('Model coeffs'!$E$12+('Model coeffs'!$E$5*'Cost drivers'!D95)+('Model coeffs'!$E$7*'Cost drivers'!G95)+('Model coeffs'!$E$8*'Cost drivers'!I95)+('Model coeffs'!$E$9*'Cost drivers'!J95))</f>
        <v>8.45175040378159</v>
      </c>
      <c r="F95" s="99">
        <f>EXP('Model coeffs'!$F$12+('Model coeffs'!$F$8*'Cost drivers'!I95)+('Model coeffs'!$F$9*'Cost drivers'!J95)+('Model coeffs'!$F$10*'Cost drivers'!E95)+('Model coeffs'!$F$11*'Cost drivers'!H95))</f>
        <v>7.5661978457157755</v>
      </c>
      <c r="G95" s="99">
        <f>EXP('Model coeffs'!$G$12+('Model coeffs'!$G$5*'Cost drivers'!D95)+('Model coeffs'!$G$6*'Cost drivers'!F95)+('Model coeffs'!$G$8*'Cost drivers'!I95)+('Model coeffs'!$G$9*'Cost drivers'!J95)+('Model coeffs'!$G$11*'Cost drivers'!H95))</f>
        <v>17.687674566220473</v>
      </c>
      <c r="H95" s="100">
        <f>EXP('Model coeffs'!$H$12+('Model coeffs'!$H$5*'Cost drivers'!D95)+('Model coeffs'!$H$7*'Cost drivers'!G95)+('Model coeffs'!$H$8*'Cost drivers'!I95)+('Model coeffs'!$H$9*'Cost drivers'!J95)+('Model coeffs'!$H$11*'Cost drivers'!H95))</f>
        <v>17.380283050334842</v>
      </c>
      <c r="I95" s="83"/>
      <c r="J95" s="151">
        <f t="shared" si="6"/>
        <v>8.9392757044610356</v>
      </c>
      <c r="K95" s="100">
        <f t="shared" si="7"/>
        <v>7.5661978457157755</v>
      </c>
      <c r="L95" s="150">
        <f t="shared" si="8"/>
        <v>17.533978808277659</v>
      </c>
      <c r="M95" s="83"/>
      <c r="N95" s="151">
        <f t="shared" si="9"/>
        <v>16.505473550176809</v>
      </c>
      <c r="O95" s="99">
        <f t="shared" si="10"/>
        <v>17.533978808277659</v>
      </c>
      <c r="P95" s="100">
        <f t="shared" si="11"/>
        <v>17.019726179227234</v>
      </c>
    </row>
    <row r="96" spans="1:16" x14ac:dyDescent="0.3">
      <c r="A96" s="98" t="str">
        <f>'Actual costs'!A97</f>
        <v>DVW</v>
      </c>
      <c r="B96" s="64">
        <f>'Actual costs'!B97</f>
        <v>2014</v>
      </c>
      <c r="C96" s="64" t="str">
        <f>'Actual costs'!C97</f>
        <v>DVW14</v>
      </c>
      <c r="D96" s="99">
        <f>EXP('Model coeffs'!$D$12+('Model coeffs'!$D$5*'Cost drivers'!D96)+('Model coeffs'!$D$6*'Cost drivers'!F96)+('Model coeffs'!$D$8*'Cost drivers'!I96)+('Model coeffs'!$D$9*'Cost drivers'!J96))</f>
        <v>9.4870897859228993</v>
      </c>
      <c r="E96" s="99">
        <f>EXP('Model coeffs'!$E$12+('Model coeffs'!$E$5*'Cost drivers'!D96)+('Model coeffs'!$E$7*'Cost drivers'!G96)+('Model coeffs'!$E$8*'Cost drivers'!I96)+('Model coeffs'!$E$9*'Cost drivers'!J96))</f>
        <v>8.5011484315941175</v>
      </c>
      <c r="F96" s="99">
        <f>EXP('Model coeffs'!$F$12+('Model coeffs'!$F$8*'Cost drivers'!I96)+('Model coeffs'!$F$9*'Cost drivers'!J96)+('Model coeffs'!$F$10*'Cost drivers'!E96)+('Model coeffs'!$F$11*'Cost drivers'!H96))</f>
        <v>7.566206714776583</v>
      </c>
      <c r="G96" s="99">
        <f>EXP('Model coeffs'!$G$12+('Model coeffs'!$G$5*'Cost drivers'!D96)+('Model coeffs'!$G$6*'Cost drivers'!F96)+('Model coeffs'!$G$8*'Cost drivers'!I96)+('Model coeffs'!$G$9*'Cost drivers'!J96)+('Model coeffs'!$G$11*'Cost drivers'!H96))</f>
        <v>17.768839232321636</v>
      </c>
      <c r="H96" s="100">
        <f>EXP('Model coeffs'!$H$12+('Model coeffs'!$H$5*'Cost drivers'!D96)+('Model coeffs'!$H$7*'Cost drivers'!G96)+('Model coeffs'!$H$8*'Cost drivers'!I96)+('Model coeffs'!$H$9*'Cost drivers'!J96)+('Model coeffs'!$H$11*'Cost drivers'!H96))</f>
        <v>17.465526342350955</v>
      </c>
      <c r="I96" s="83"/>
      <c r="J96" s="151">
        <f t="shared" si="6"/>
        <v>8.9941191087585075</v>
      </c>
      <c r="K96" s="100">
        <f t="shared" si="7"/>
        <v>7.566206714776583</v>
      </c>
      <c r="L96" s="150">
        <f t="shared" si="8"/>
        <v>17.617182787336297</v>
      </c>
      <c r="M96" s="83"/>
      <c r="N96" s="151">
        <f t="shared" si="9"/>
        <v>16.560325823535091</v>
      </c>
      <c r="O96" s="99">
        <f t="shared" si="10"/>
        <v>17.617182787336297</v>
      </c>
      <c r="P96" s="100">
        <f t="shared" si="11"/>
        <v>17.088754305435693</v>
      </c>
    </row>
    <row r="97" spans="1:16" x14ac:dyDescent="0.3">
      <c r="A97" s="98" t="str">
        <f>'Actual costs'!A98</f>
        <v>DVW</v>
      </c>
      <c r="B97" s="64">
        <f>'Actual costs'!B98</f>
        <v>2015</v>
      </c>
      <c r="C97" s="64" t="str">
        <f>'Actual costs'!C98</f>
        <v>DVW15</v>
      </c>
      <c r="D97" s="99">
        <f>EXP('Model coeffs'!$D$12+('Model coeffs'!$D$5*'Cost drivers'!D97)+('Model coeffs'!$D$6*'Cost drivers'!F97)+('Model coeffs'!$D$8*'Cost drivers'!I97)+('Model coeffs'!$D$9*'Cost drivers'!J97))</f>
        <v>9.5904636508298076</v>
      </c>
      <c r="E97" s="99">
        <f>EXP('Model coeffs'!$E$12+('Model coeffs'!$E$5*'Cost drivers'!D97)+('Model coeffs'!$E$7*'Cost drivers'!G97)+('Model coeffs'!$E$8*'Cost drivers'!I97)+('Model coeffs'!$E$9*'Cost drivers'!J97))</f>
        <v>8.579847559750716</v>
      </c>
      <c r="F97" s="99">
        <f>EXP('Model coeffs'!$F$12+('Model coeffs'!$F$8*'Cost drivers'!I97)+('Model coeffs'!$F$9*'Cost drivers'!J97)+('Model coeffs'!$F$10*'Cost drivers'!E97)+('Model coeffs'!$F$11*'Cost drivers'!H97))</f>
        <v>7.68577112248372</v>
      </c>
      <c r="G97" s="99">
        <f>EXP('Model coeffs'!$G$12+('Model coeffs'!$G$5*'Cost drivers'!D97)+('Model coeffs'!$G$6*'Cost drivers'!F97)+('Model coeffs'!$G$8*'Cost drivers'!I97)+('Model coeffs'!$G$9*'Cost drivers'!J97)+('Model coeffs'!$G$11*'Cost drivers'!H97))</f>
        <v>18.17064403726506</v>
      </c>
      <c r="H97" s="100">
        <f>EXP('Model coeffs'!$H$12+('Model coeffs'!$H$5*'Cost drivers'!D97)+('Model coeffs'!$H$7*'Cost drivers'!G97)+('Model coeffs'!$H$8*'Cost drivers'!I97)+('Model coeffs'!$H$9*'Cost drivers'!J97)+('Model coeffs'!$H$11*'Cost drivers'!H97))</f>
        <v>17.869303712101626</v>
      </c>
      <c r="I97" s="83"/>
      <c r="J97" s="151">
        <f t="shared" si="6"/>
        <v>9.0851556052902609</v>
      </c>
      <c r="K97" s="100">
        <f t="shared" si="7"/>
        <v>7.68577112248372</v>
      </c>
      <c r="L97" s="150">
        <f t="shared" si="8"/>
        <v>18.019973874683345</v>
      </c>
      <c r="M97" s="83"/>
      <c r="N97" s="151">
        <f t="shared" si="9"/>
        <v>16.770926727773983</v>
      </c>
      <c r="O97" s="99">
        <f t="shared" si="10"/>
        <v>18.019973874683345</v>
      </c>
      <c r="P97" s="100">
        <f t="shared" si="11"/>
        <v>17.395450301228664</v>
      </c>
    </row>
    <row r="98" spans="1:16" x14ac:dyDescent="0.3">
      <c r="A98" s="98" t="str">
        <f>'Actual costs'!A99</f>
        <v>DVW</v>
      </c>
      <c r="B98" s="64">
        <f>'Actual costs'!B99</f>
        <v>2016</v>
      </c>
      <c r="C98" s="64" t="str">
        <f>'Actual costs'!C99</f>
        <v>DVW16</v>
      </c>
      <c r="D98" s="99">
        <f>EXP('Model coeffs'!$D$12+('Model coeffs'!$D$5*'Cost drivers'!D98)+('Model coeffs'!$D$6*'Cost drivers'!F98)+('Model coeffs'!$D$8*'Cost drivers'!I98)+('Model coeffs'!$D$9*'Cost drivers'!J98))</f>
        <v>9.9344701116659788</v>
      </c>
      <c r="E98" s="99">
        <f>EXP('Model coeffs'!$E$12+('Model coeffs'!$E$5*'Cost drivers'!D98)+('Model coeffs'!$E$7*'Cost drivers'!G98)+('Model coeffs'!$E$8*'Cost drivers'!I98)+('Model coeffs'!$E$9*'Cost drivers'!J98))</f>
        <v>8.7585560237080475</v>
      </c>
      <c r="F98" s="99">
        <f>EXP('Model coeffs'!$F$12+('Model coeffs'!$F$8*'Cost drivers'!I98)+('Model coeffs'!$F$9*'Cost drivers'!J98)+('Model coeffs'!$F$10*'Cost drivers'!E98)+('Model coeffs'!$F$11*'Cost drivers'!H98))</f>
        <v>7.6982983501657412</v>
      </c>
      <c r="G98" s="99">
        <f>EXP('Model coeffs'!$G$12+('Model coeffs'!$G$5*'Cost drivers'!D98)+('Model coeffs'!$G$6*'Cost drivers'!F98)+('Model coeffs'!$G$8*'Cost drivers'!I98)+('Model coeffs'!$G$9*'Cost drivers'!J98)+('Model coeffs'!$G$11*'Cost drivers'!H98))</f>
        <v>18.479572531618217</v>
      </c>
      <c r="H98" s="100">
        <f>EXP('Model coeffs'!$H$12+('Model coeffs'!$H$5*'Cost drivers'!D98)+('Model coeffs'!$H$7*'Cost drivers'!G98)+('Model coeffs'!$H$8*'Cost drivers'!I98)+('Model coeffs'!$H$9*'Cost drivers'!J98)+('Model coeffs'!$H$11*'Cost drivers'!H98))</f>
        <v>18.167976058882228</v>
      </c>
      <c r="I98" s="83"/>
      <c r="J98" s="151">
        <f t="shared" si="6"/>
        <v>9.3465130676870132</v>
      </c>
      <c r="K98" s="100">
        <f t="shared" si="7"/>
        <v>7.6982983501657412</v>
      </c>
      <c r="L98" s="150">
        <f t="shared" si="8"/>
        <v>18.323774295250224</v>
      </c>
      <c r="M98" s="83"/>
      <c r="N98" s="151">
        <f t="shared" si="9"/>
        <v>17.044811417852756</v>
      </c>
      <c r="O98" s="99">
        <f t="shared" si="10"/>
        <v>18.323774295250224</v>
      </c>
      <c r="P98" s="100">
        <f t="shared" si="11"/>
        <v>17.68429285655149</v>
      </c>
    </row>
    <row r="99" spans="1:16" x14ac:dyDescent="0.3">
      <c r="A99" s="98" t="str">
        <f>'Actual costs'!A100</f>
        <v>DVW</v>
      </c>
      <c r="B99" s="64">
        <f>'Actual costs'!B100</f>
        <v>2017</v>
      </c>
      <c r="C99" s="64" t="str">
        <f>'Actual costs'!C100</f>
        <v>DVW17</v>
      </c>
      <c r="D99" s="99">
        <f>EXP('Model coeffs'!$D$12+('Model coeffs'!$D$5*'Cost drivers'!D99)+('Model coeffs'!$D$6*'Cost drivers'!F99)+('Model coeffs'!$D$8*'Cost drivers'!I99)+('Model coeffs'!$D$9*'Cost drivers'!J99))</f>
        <v>9.9844200162184915</v>
      </c>
      <c r="E99" s="99">
        <f>EXP('Model coeffs'!$E$12+('Model coeffs'!$E$5*'Cost drivers'!D99)+('Model coeffs'!$E$7*'Cost drivers'!G99)+('Model coeffs'!$E$8*'Cost drivers'!I99)+('Model coeffs'!$E$9*'Cost drivers'!J99))</f>
        <v>8.8067749016310675</v>
      </c>
      <c r="F99" s="99">
        <f>EXP('Model coeffs'!$F$12+('Model coeffs'!$F$8*'Cost drivers'!I99)+('Model coeffs'!$F$9*'Cost drivers'!J99)+('Model coeffs'!$F$10*'Cost drivers'!E99)+('Model coeffs'!$F$11*'Cost drivers'!H99))</f>
        <v>7.6956311738744994</v>
      </c>
      <c r="G99" s="99">
        <f>EXP('Model coeffs'!$G$12+('Model coeffs'!$G$5*'Cost drivers'!D99)+('Model coeffs'!$G$6*'Cost drivers'!F99)+('Model coeffs'!$G$8*'Cost drivers'!I99)+('Model coeffs'!$G$9*'Cost drivers'!J99)+('Model coeffs'!$G$11*'Cost drivers'!H99))</f>
        <v>18.571065483534017</v>
      </c>
      <c r="H99" s="100">
        <f>EXP('Model coeffs'!$H$12+('Model coeffs'!$H$5*'Cost drivers'!D99)+('Model coeffs'!$H$7*'Cost drivers'!G99)+('Model coeffs'!$H$8*'Cost drivers'!I99)+('Model coeffs'!$H$9*'Cost drivers'!J99)+('Model coeffs'!$H$11*'Cost drivers'!H99))</f>
        <v>18.261080087282426</v>
      </c>
      <c r="I99" s="83"/>
      <c r="J99" s="151">
        <f t="shared" si="6"/>
        <v>9.3955974589247795</v>
      </c>
      <c r="K99" s="100">
        <f t="shared" si="7"/>
        <v>7.6956311738744994</v>
      </c>
      <c r="L99" s="150">
        <f t="shared" si="8"/>
        <v>18.416072785408222</v>
      </c>
      <c r="M99" s="83"/>
      <c r="N99" s="151">
        <f t="shared" si="9"/>
        <v>17.091228632799279</v>
      </c>
      <c r="O99" s="99">
        <f t="shared" si="10"/>
        <v>18.416072785408222</v>
      </c>
      <c r="P99" s="100">
        <f t="shared" si="11"/>
        <v>17.753650709103752</v>
      </c>
    </row>
    <row r="100" spans="1:16" x14ac:dyDescent="0.3">
      <c r="A100" s="98" t="str">
        <f>'Actual costs'!A101</f>
        <v>DVW</v>
      </c>
      <c r="B100" s="64">
        <f>'Actual costs'!B101</f>
        <v>2018</v>
      </c>
      <c r="C100" s="64" t="str">
        <f>'Actual costs'!C101</f>
        <v>DVW18</v>
      </c>
      <c r="D100" s="99">
        <f>EXP('Model coeffs'!$D$12+('Model coeffs'!$D$5*'Cost drivers'!D100)+('Model coeffs'!$D$6*'Cost drivers'!F100)+('Model coeffs'!$D$8*'Cost drivers'!I100)+('Model coeffs'!$D$9*'Cost drivers'!J100))</f>
        <v>10.006315882985426</v>
      </c>
      <c r="E100" s="99">
        <f>EXP('Model coeffs'!$E$12+('Model coeffs'!$E$5*'Cost drivers'!D100)+('Model coeffs'!$E$7*'Cost drivers'!G100)+('Model coeffs'!$E$8*'Cost drivers'!I100)+('Model coeffs'!$E$9*'Cost drivers'!J100))</f>
        <v>8.8317062919775058</v>
      </c>
      <c r="F100" s="99">
        <f>EXP('Model coeffs'!$F$12+('Model coeffs'!$F$8*'Cost drivers'!I100)+('Model coeffs'!$F$9*'Cost drivers'!J100)+('Model coeffs'!$F$10*'Cost drivers'!E100)+('Model coeffs'!$F$11*'Cost drivers'!H100))</f>
        <v>8.451746457500164</v>
      </c>
      <c r="G100" s="99">
        <f>EXP('Model coeffs'!$G$12+('Model coeffs'!$G$5*'Cost drivers'!D100)+('Model coeffs'!$G$6*'Cost drivers'!F100)+('Model coeffs'!$G$8*'Cost drivers'!I100)+('Model coeffs'!$G$9*'Cost drivers'!J100)+('Model coeffs'!$G$11*'Cost drivers'!H100))</f>
        <v>20.45662778699867</v>
      </c>
      <c r="H100" s="100">
        <f>EXP('Model coeffs'!$H$12+('Model coeffs'!$H$5*'Cost drivers'!D100)+('Model coeffs'!$H$7*'Cost drivers'!G100)+('Model coeffs'!$H$8*'Cost drivers'!I100)+('Model coeffs'!$H$9*'Cost drivers'!J100)+('Model coeffs'!$H$11*'Cost drivers'!H100))</f>
        <v>20.12955316963863</v>
      </c>
      <c r="I100" s="83"/>
      <c r="J100" s="151">
        <f t="shared" si="6"/>
        <v>9.419011087481465</v>
      </c>
      <c r="K100" s="100">
        <f t="shared" si="7"/>
        <v>8.451746457500164</v>
      </c>
      <c r="L100" s="150">
        <f t="shared" si="8"/>
        <v>20.29309047831865</v>
      </c>
      <c r="M100" s="83"/>
      <c r="N100" s="151">
        <f t="shared" si="9"/>
        <v>17.870757544981629</v>
      </c>
      <c r="O100" s="99">
        <f t="shared" si="10"/>
        <v>20.29309047831865</v>
      </c>
      <c r="P100" s="100">
        <f t="shared" si="11"/>
        <v>19.081924011650138</v>
      </c>
    </row>
    <row r="101" spans="1:16" x14ac:dyDescent="0.3">
      <c r="A101" s="98" t="str">
        <f>'Actual costs'!A102</f>
        <v>PRT</v>
      </c>
      <c r="B101" s="64">
        <f>'Actual costs'!B102</f>
        <v>2012</v>
      </c>
      <c r="C101" s="64" t="str">
        <f>'Actual costs'!C102</f>
        <v>PRT12</v>
      </c>
      <c r="D101" s="99">
        <f>EXP('Model coeffs'!$D$12+('Model coeffs'!$D$5*'Cost drivers'!D101)+('Model coeffs'!$D$6*'Cost drivers'!F101)+('Model coeffs'!$D$8*'Cost drivers'!I101)+('Model coeffs'!$D$9*'Cost drivers'!J101))</f>
        <v>8.2261081799440188</v>
      </c>
      <c r="E101" s="99">
        <f>EXP('Model coeffs'!$E$12+('Model coeffs'!$E$5*'Cost drivers'!D101)+('Model coeffs'!$E$7*'Cost drivers'!G101)+('Model coeffs'!$E$8*'Cost drivers'!I101)+('Model coeffs'!$E$9*'Cost drivers'!J101))</f>
        <v>9.9219851239223118</v>
      </c>
      <c r="F101" s="99">
        <f>EXP('Model coeffs'!$F$12+('Model coeffs'!$F$8*'Cost drivers'!I101)+('Model coeffs'!$F$9*'Cost drivers'!J101)+('Model coeffs'!$F$10*'Cost drivers'!E101)+('Model coeffs'!$F$11*'Cost drivers'!H101))</f>
        <v>16.19527500070722</v>
      </c>
      <c r="G101" s="99">
        <f>EXP('Model coeffs'!$G$12+('Model coeffs'!$G$5*'Cost drivers'!D101)+('Model coeffs'!$G$6*'Cost drivers'!F101)+('Model coeffs'!$G$8*'Cost drivers'!I101)+('Model coeffs'!$G$9*'Cost drivers'!J101)+('Model coeffs'!$G$11*'Cost drivers'!H101))</f>
        <v>24.387356802694391</v>
      </c>
      <c r="H101" s="100">
        <f>EXP('Model coeffs'!$H$12+('Model coeffs'!$H$5*'Cost drivers'!D101)+('Model coeffs'!$H$7*'Cost drivers'!G101)+('Model coeffs'!$H$8*'Cost drivers'!I101)+('Model coeffs'!$H$9*'Cost drivers'!J101)+('Model coeffs'!$H$11*'Cost drivers'!H101))</f>
        <v>23.461487058367151</v>
      </c>
      <c r="I101" s="83"/>
      <c r="J101" s="151">
        <f t="shared" si="6"/>
        <v>9.0740466519331662</v>
      </c>
      <c r="K101" s="100">
        <f t="shared" si="7"/>
        <v>16.19527500070722</v>
      </c>
      <c r="L101" s="150">
        <f t="shared" si="8"/>
        <v>23.924421930530769</v>
      </c>
      <c r="M101" s="83"/>
      <c r="N101" s="151">
        <f t="shared" si="9"/>
        <v>25.269321652640386</v>
      </c>
      <c r="O101" s="99">
        <f t="shared" si="10"/>
        <v>23.924421930530769</v>
      </c>
      <c r="P101" s="100">
        <f t="shared" si="11"/>
        <v>24.596871791585578</v>
      </c>
    </row>
    <row r="102" spans="1:16" x14ac:dyDescent="0.3">
      <c r="A102" s="98" t="str">
        <f>'Actual costs'!A103</f>
        <v>PRT</v>
      </c>
      <c r="B102" s="64">
        <f>'Actual costs'!B103</f>
        <v>2013</v>
      </c>
      <c r="C102" s="64" t="str">
        <f>'Actual costs'!C103</f>
        <v>PRT13</v>
      </c>
      <c r="D102" s="99">
        <f>EXP('Model coeffs'!$D$12+('Model coeffs'!$D$5*'Cost drivers'!D102)+('Model coeffs'!$D$6*'Cost drivers'!F102)+('Model coeffs'!$D$8*'Cost drivers'!I102)+('Model coeffs'!$D$9*'Cost drivers'!J102))</f>
        <v>7.8422129926117687</v>
      </c>
      <c r="E102" s="99">
        <f>EXP('Model coeffs'!$E$12+('Model coeffs'!$E$5*'Cost drivers'!D102)+('Model coeffs'!$E$7*'Cost drivers'!G102)+('Model coeffs'!$E$8*'Cost drivers'!I102)+('Model coeffs'!$E$9*'Cost drivers'!J102))</f>
        <v>9.3556414670048174</v>
      </c>
      <c r="F102" s="99">
        <f>EXP('Model coeffs'!$F$12+('Model coeffs'!$F$8*'Cost drivers'!I102)+('Model coeffs'!$F$9*'Cost drivers'!J102)+('Model coeffs'!$F$10*'Cost drivers'!E102)+('Model coeffs'!$F$11*'Cost drivers'!H102))</f>
        <v>16.154035913137463</v>
      </c>
      <c r="G102" s="99">
        <f>EXP('Model coeffs'!$G$12+('Model coeffs'!$G$5*'Cost drivers'!D102)+('Model coeffs'!$G$6*'Cost drivers'!F102)+('Model coeffs'!$G$8*'Cost drivers'!I102)+('Model coeffs'!$G$9*'Cost drivers'!J102)+('Model coeffs'!$G$11*'Cost drivers'!H102))</f>
        <v>24.010423637435672</v>
      </c>
      <c r="H102" s="100">
        <f>EXP('Model coeffs'!$H$12+('Model coeffs'!$H$5*'Cost drivers'!D102)+('Model coeffs'!$H$7*'Cost drivers'!G102)+('Model coeffs'!$H$8*'Cost drivers'!I102)+('Model coeffs'!$H$9*'Cost drivers'!J102)+('Model coeffs'!$H$11*'Cost drivers'!H102))</f>
        <v>22.301610832855335</v>
      </c>
      <c r="I102" s="83"/>
      <c r="J102" s="151">
        <f t="shared" si="6"/>
        <v>8.598927229808293</v>
      </c>
      <c r="K102" s="100">
        <f t="shared" si="7"/>
        <v>16.154035913137463</v>
      </c>
      <c r="L102" s="150">
        <f t="shared" si="8"/>
        <v>23.156017235145505</v>
      </c>
      <c r="M102" s="83"/>
      <c r="N102" s="151">
        <f t="shared" si="9"/>
        <v>24.752963142945756</v>
      </c>
      <c r="O102" s="99">
        <f t="shared" si="10"/>
        <v>23.156017235145505</v>
      </c>
      <c r="P102" s="100">
        <f t="shared" si="11"/>
        <v>23.954490189045629</v>
      </c>
    </row>
    <row r="103" spans="1:16" x14ac:dyDescent="0.3">
      <c r="A103" s="98" t="str">
        <f>'Actual costs'!A104</f>
        <v>PRT</v>
      </c>
      <c r="B103" s="64">
        <f>'Actual costs'!B104</f>
        <v>2014</v>
      </c>
      <c r="C103" s="64" t="str">
        <f>'Actual costs'!C104</f>
        <v>PRT14</v>
      </c>
      <c r="D103" s="99">
        <f>EXP('Model coeffs'!$D$12+('Model coeffs'!$D$5*'Cost drivers'!D103)+('Model coeffs'!$D$6*'Cost drivers'!F103)+('Model coeffs'!$D$8*'Cost drivers'!I103)+('Model coeffs'!$D$9*'Cost drivers'!J103))</f>
        <v>8.0064396495235375</v>
      </c>
      <c r="E103" s="99">
        <f>EXP('Model coeffs'!$E$12+('Model coeffs'!$E$5*'Cost drivers'!D103)+('Model coeffs'!$E$7*'Cost drivers'!G103)+('Model coeffs'!$E$8*'Cost drivers'!I103)+('Model coeffs'!$E$9*'Cost drivers'!J103))</f>
        <v>9.5332592453307026</v>
      </c>
      <c r="F103" s="99">
        <f>EXP('Model coeffs'!$F$12+('Model coeffs'!$F$8*'Cost drivers'!I103)+('Model coeffs'!$F$9*'Cost drivers'!J103)+('Model coeffs'!$F$10*'Cost drivers'!E103)+('Model coeffs'!$F$11*'Cost drivers'!H103))</f>
        <v>16.184052058116212</v>
      </c>
      <c r="G103" s="99">
        <f>EXP('Model coeffs'!$G$12+('Model coeffs'!$G$5*'Cost drivers'!D103)+('Model coeffs'!$G$6*'Cost drivers'!F103)+('Model coeffs'!$G$8*'Cost drivers'!I103)+('Model coeffs'!$G$9*'Cost drivers'!J103)+('Model coeffs'!$G$11*'Cost drivers'!H103))</f>
        <v>24.249136985490203</v>
      </c>
      <c r="H103" s="100">
        <f>EXP('Model coeffs'!$H$12+('Model coeffs'!$H$5*'Cost drivers'!D103)+('Model coeffs'!$H$7*'Cost drivers'!G103)+('Model coeffs'!$H$8*'Cost drivers'!I103)+('Model coeffs'!$H$9*'Cost drivers'!J103)+('Model coeffs'!$H$11*'Cost drivers'!H103))</f>
        <v>22.640077822202961</v>
      </c>
      <c r="I103" s="83"/>
      <c r="J103" s="151">
        <f t="shared" si="6"/>
        <v>8.76984944742712</v>
      </c>
      <c r="K103" s="100">
        <f t="shared" si="7"/>
        <v>16.184052058116212</v>
      </c>
      <c r="L103" s="150">
        <f t="shared" si="8"/>
        <v>23.444607403846582</v>
      </c>
      <c r="M103" s="83"/>
      <c r="N103" s="151">
        <f t="shared" si="9"/>
        <v>24.953901505543332</v>
      </c>
      <c r="O103" s="99">
        <f t="shared" si="10"/>
        <v>23.444607403846582</v>
      </c>
      <c r="P103" s="100">
        <f t="shared" si="11"/>
        <v>24.199254454694959</v>
      </c>
    </row>
    <row r="104" spans="1:16" x14ac:dyDescent="0.3">
      <c r="A104" s="98" t="str">
        <f>'Actual costs'!A105</f>
        <v>PRT</v>
      </c>
      <c r="B104" s="64">
        <f>'Actual costs'!B105</f>
        <v>2015</v>
      </c>
      <c r="C104" s="64" t="str">
        <f>'Actual costs'!C105</f>
        <v>PRT15</v>
      </c>
      <c r="D104" s="99">
        <f>EXP('Model coeffs'!$D$12+('Model coeffs'!$D$5*'Cost drivers'!D104)+('Model coeffs'!$D$6*'Cost drivers'!F104)+('Model coeffs'!$D$8*'Cost drivers'!I104)+('Model coeffs'!$D$9*'Cost drivers'!J104))</f>
        <v>8.0608494284132348</v>
      </c>
      <c r="E104" s="99">
        <f>EXP('Model coeffs'!$E$12+('Model coeffs'!$E$5*'Cost drivers'!D104)+('Model coeffs'!$E$7*'Cost drivers'!G104)+('Model coeffs'!$E$8*'Cost drivers'!I104)+('Model coeffs'!$E$9*'Cost drivers'!J104))</f>
        <v>9.6193950953635685</v>
      </c>
      <c r="F104" s="99">
        <f>EXP('Model coeffs'!$F$12+('Model coeffs'!$F$8*'Cost drivers'!I104)+('Model coeffs'!$F$9*'Cost drivers'!J104)+('Model coeffs'!$F$10*'Cost drivers'!E104)+('Model coeffs'!$F$11*'Cost drivers'!H104))</f>
        <v>16.299767655462389</v>
      </c>
      <c r="G104" s="99">
        <f>EXP('Model coeffs'!$G$12+('Model coeffs'!$G$5*'Cost drivers'!D104)+('Model coeffs'!$G$6*'Cost drivers'!F104)+('Model coeffs'!$G$8*'Cost drivers'!I104)+('Model coeffs'!$G$9*'Cost drivers'!J104)+('Model coeffs'!$G$11*'Cost drivers'!H104))</f>
        <v>24.430538526395473</v>
      </c>
      <c r="H104" s="100">
        <f>EXP('Model coeffs'!$H$12+('Model coeffs'!$H$5*'Cost drivers'!D104)+('Model coeffs'!$H$7*'Cost drivers'!G104)+('Model coeffs'!$H$8*'Cost drivers'!I104)+('Model coeffs'!$H$9*'Cost drivers'!J104)+('Model coeffs'!$H$11*'Cost drivers'!H104))</f>
        <v>22.846930678229505</v>
      </c>
      <c r="I104" s="83"/>
      <c r="J104" s="151">
        <f t="shared" si="6"/>
        <v>8.8401222618884017</v>
      </c>
      <c r="K104" s="100">
        <f t="shared" si="7"/>
        <v>16.299767655462389</v>
      </c>
      <c r="L104" s="150">
        <f t="shared" si="8"/>
        <v>23.638734602312489</v>
      </c>
      <c r="M104" s="83"/>
      <c r="N104" s="151">
        <f t="shared" si="9"/>
        <v>25.139889917350793</v>
      </c>
      <c r="O104" s="99">
        <f t="shared" si="10"/>
        <v>23.638734602312489</v>
      </c>
      <c r="P104" s="100">
        <f t="shared" si="11"/>
        <v>24.389312259831641</v>
      </c>
    </row>
    <row r="105" spans="1:16" x14ac:dyDescent="0.3">
      <c r="A105" s="98" t="str">
        <f>'Actual costs'!A106</f>
        <v>PRT</v>
      </c>
      <c r="B105" s="64">
        <f>'Actual costs'!B106</f>
        <v>2016</v>
      </c>
      <c r="C105" s="64" t="str">
        <f>'Actual costs'!C106</f>
        <v>PRT16</v>
      </c>
      <c r="D105" s="99">
        <f>EXP('Model coeffs'!$D$12+('Model coeffs'!$D$5*'Cost drivers'!D105)+('Model coeffs'!$D$6*'Cost drivers'!F105)+('Model coeffs'!$D$8*'Cost drivers'!I105)+('Model coeffs'!$D$9*'Cost drivers'!J105))</f>
        <v>9.9860178927753438</v>
      </c>
      <c r="E105" s="99">
        <f>EXP('Model coeffs'!$E$12+('Model coeffs'!$E$5*'Cost drivers'!D105)+('Model coeffs'!$E$7*'Cost drivers'!G105)+('Model coeffs'!$E$8*'Cost drivers'!I105)+('Model coeffs'!$E$9*'Cost drivers'!J105))</f>
        <v>11.323080211870368</v>
      </c>
      <c r="F105" s="99">
        <f>EXP('Model coeffs'!$F$12+('Model coeffs'!$F$8*'Cost drivers'!I105)+('Model coeffs'!$F$9*'Cost drivers'!J105)+('Model coeffs'!$F$10*'Cost drivers'!E105)+('Model coeffs'!$F$11*'Cost drivers'!H105))</f>
        <v>16.473506819345605</v>
      </c>
      <c r="G105" s="99">
        <f>EXP('Model coeffs'!$G$12+('Model coeffs'!$G$5*'Cost drivers'!D105)+('Model coeffs'!$G$6*'Cost drivers'!F105)+('Model coeffs'!$G$8*'Cost drivers'!I105)+('Model coeffs'!$G$9*'Cost drivers'!J105)+('Model coeffs'!$G$11*'Cost drivers'!H105))</f>
        <v>26.760282022152964</v>
      </c>
      <c r="H105" s="100">
        <f>EXP('Model coeffs'!$H$12+('Model coeffs'!$H$5*'Cost drivers'!D105)+('Model coeffs'!$H$7*'Cost drivers'!G105)+('Model coeffs'!$H$8*'Cost drivers'!I105)+('Model coeffs'!$H$9*'Cost drivers'!J105)+('Model coeffs'!$H$11*'Cost drivers'!H105))</f>
        <v>26.259248017952896</v>
      </c>
      <c r="I105" s="83"/>
      <c r="J105" s="151">
        <f t="shared" si="6"/>
        <v>10.654549052322857</v>
      </c>
      <c r="K105" s="100">
        <f t="shared" si="7"/>
        <v>16.473506819345605</v>
      </c>
      <c r="L105" s="150">
        <f t="shared" si="8"/>
        <v>26.509765020052932</v>
      </c>
      <c r="M105" s="83"/>
      <c r="N105" s="151">
        <f t="shared" si="9"/>
        <v>27.128055871668462</v>
      </c>
      <c r="O105" s="99">
        <f t="shared" si="10"/>
        <v>26.509765020052932</v>
      </c>
      <c r="P105" s="100">
        <f t="shared" si="11"/>
        <v>26.818910445860695</v>
      </c>
    </row>
    <row r="106" spans="1:16" x14ac:dyDescent="0.3">
      <c r="A106" s="98" t="str">
        <f>'Actual costs'!A107</f>
        <v>PRT</v>
      </c>
      <c r="B106" s="64">
        <f>'Actual costs'!B107</f>
        <v>2017</v>
      </c>
      <c r="C106" s="64" t="str">
        <f>'Actual costs'!C107</f>
        <v>PRT17</v>
      </c>
      <c r="D106" s="99">
        <f>EXP('Model coeffs'!$D$12+('Model coeffs'!$D$5*'Cost drivers'!D106)+('Model coeffs'!$D$6*'Cost drivers'!F106)+('Model coeffs'!$D$8*'Cost drivers'!I106)+('Model coeffs'!$D$9*'Cost drivers'!J106))</f>
        <v>10.714636877062263</v>
      </c>
      <c r="E106" s="99">
        <f>EXP('Model coeffs'!$E$12+('Model coeffs'!$E$5*'Cost drivers'!D106)+('Model coeffs'!$E$7*'Cost drivers'!G106)+('Model coeffs'!$E$8*'Cost drivers'!I106)+('Model coeffs'!$E$9*'Cost drivers'!J106))</f>
        <v>11.849725942329368</v>
      </c>
      <c r="F106" s="99">
        <f>EXP('Model coeffs'!$F$12+('Model coeffs'!$F$8*'Cost drivers'!I106)+('Model coeffs'!$F$9*'Cost drivers'!J106)+('Model coeffs'!$F$10*'Cost drivers'!E106)+('Model coeffs'!$F$11*'Cost drivers'!H106))</f>
        <v>16.992747468285597</v>
      </c>
      <c r="G106" s="99">
        <f>EXP('Model coeffs'!$G$12+('Model coeffs'!$G$5*'Cost drivers'!D106)+('Model coeffs'!$G$6*'Cost drivers'!F106)+('Model coeffs'!$G$8*'Cost drivers'!I106)+('Model coeffs'!$G$9*'Cost drivers'!J106)+('Model coeffs'!$G$11*'Cost drivers'!H106))</f>
        <v>28.245487042861793</v>
      </c>
      <c r="H106" s="100">
        <f>EXP('Model coeffs'!$H$12+('Model coeffs'!$H$5*'Cost drivers'!D106)+('Model coeffs'!$H$7*'Cost drivers'!G106)+('Model coeffs'!$H$8*'Cost drivers'!I106)+('Model coeffs'!$H$9*'Cost drivers'!J106)+('Model coeffs'!$H$11*'Cost drivers'!H106))</f>
        <v>27.918818098599026</v>
      </c>
      <c r="I106" s="83"/>
      <c r="J106" s="151">
        <f t="shared" si="6"/>
        <v>11.282181409695816</v>
      </c>
      <c r="K106" s="100">
        <f t="shared" si="7"/>
        <v>16.992747468285597</v>
      </c>
      <c r="L106" s="150">
        <f t="shared" si="8"/>
        <v>28.082152570730408</v>
      </c>
      <c r="M106" s="83"/>
      <c r="N106" s="151">
        <f t="shared" si="9"/>
        <v>28.274928877981413</v>
      </c>
      <c r="O106" s="99">
        <f t="shared" si="10"/>
        <v>28.082152570730408</v>
      </c>
      <c r="P106" s="100">
        <f t="shared" si="11"/>
        <v>28.178540724355912</v>
      </c>
    </row>
    <row r="107" spans="1:16" x14ac:dyDescent="0.3">
      <c r="A107" s="98" t="str">
        <f>'Actual costs'!A108</f>
        <v>PRT</v>
      </c>
      <c r="B107" s="64">
        <f>'Actual costs'!B108</f>
        <v>2018</v>
      </c>
      <c r="C107" s="64" t="str">
        <f>'Actual costs'!C108</f>
        <v>PRT18</v>
      </c>
      <c r="D107" s="99">
        <f>EXP('Model coeffs'!$D$12+('Model coeffs'!$D$5*'Cost drivers'!D107)+('Model coeffs'!$D$6*'Cost drivers'!F107)+('Model coeffs'!$D$8*'Cost drivers'!I107)+('Model coeffs'!$D$9*'Cost drivers'!J107))</f>
        <v>11.050586171856422</v>
      </c>
      <c r="E107" s="99">
        <f>EXP('Model coeffs'!$E$12+('Model coeffs'!$E$5*'Cost drivers'!D107)+('Model coeffs'!$E$7*'Cost drivers'!G107)+('Model coeffs'!$E$8*'Cost drivers'!I107)+('Model coeffs'!$E$9*'Cost drivers'!J107))</f>
        <v>12.102645919592117</v>
      </c>
      <c r="F107" s="99">
        <f>EXP('Model coeffs'!$F$12+('Model coeffs'!$F$8*'Cost drivers'!I107)+('Model coeffs'!$F$9*'Cost drivers'!J107)+('Model coeffs'!$F$10*'Cost drivers'!E107)+('Model coeffs'!$F$11*'Cost drivers'!H107))</f>
        <v>17.109143929161757</v>
      </c>
      <c r="G107" s="99">
        <f>EXP('Model coeffs'!$G$12+('Model coeffs'!$G$5*'Cost drivers'!D107)+('Model coeffs'!$G$6*'Cost drivers'!F107)+('Model coeffs'!$G$8*'Cost drivers'!I107)+('Model coeffs'!$G$9*'Cost drivers'!J107)+('Model coeffs'!$G$11*'Cost drivers'!H107))</f>
        <v>28.696783615421587</v>
      </c>
      <c r="H107" s="100">
        <f>EXP('Model coeffs'!$H$12+('Model coeffs'!$H$5*'Cost drivers'!D107)+('Model coeffs'!$H$7*'Cost drivers'!G107)+('Model coeffs'!$H$8*'Cost drivers'!I107)+('Model coeffs'!$H$9*'Cost drivers'!J107)+('Model coeffs'!$H$11*'Cost drivers'!H107))</f>
        <v>28.444689988703697</v>
      </c>
      <c r="I107" s="83"/>
      <c r="J107" s="151">
        <f t="shared" si="6"/>
        <v>11.576616045724268</v>
      </c>
      <c r="K107" s="100">
        <f t="shared" si="7"/>
        <v>17.109143929161757</v>
      </c>
      <c r="L107" s="150">
        <f t="shared" si="8"/>
        <v>28.57073680206264</v>
      </c>
      <c r="M107" s="83"/>
      <c r="N107" s="151">
        <f t="shared" si="9"/>
        <v>28.685759974886025</v>
      </c>
      <c r="O107" s="99">
        <f t="shared" si="10"/>
        <v>28.57073680206264</v>
      </c>
      <c r="P107" s="100">
        <f t="shared" si="11"/>
        <v>28.628248388474333</v>
      </c>
    </row>
    <row r="108" spans="1:16" x14ac:dyDescent="0.3">
      <c r="A108" s="98" t="str">
        <f>'Actual costs'!A109</f>
        <v>SES</v>
      </c>
      <c r="B108" s="64">
        <f>'Actual costs'!B109</f>
        <v>2012</v>
      </c>
      <c r="C108" s="64" t="str">
        <f>'Actual costs'!C109</f>
        <v>SES12</v>
      </c>
      <c r="D108" s="99">
        <f>EXP('Model coeffs'!$D$12+('Model coeffs'!$D$5*'Cost drivers'!D108)+('Model coeffs'!$D$6*'Cost drivers'!F108)+('Model coeffs'!$D$8*'Cost drivers'!I108)+('Model coeffs'!$D$9*'Cost drivers'!J108))</f>
        <v>13.624985600381885</v>
      </c>
      <c r="E108" s="99">
        <f>EXP('Model coeffs'!$E$12+('Model coeffs'!$E$5*'Cost drivers'!D108)+('Model coeffs'!$E$7*'Cost drivers'!G108)+('Model coeffs'!$E$8*'Cost drivers'!I108)+('Model coeffs'!$E$9*'Cost drivers'!J108))</f>
        <v>12.647812744106758</v>
      </c>
      <c r="F108" s="99">
        <f>EXP('Model coeffs'!$F$12+('Model coeffs'!$F$8*'Cost drivers'!I108)+('Model coeffs'!$F$9*'Cost drivers'!J108)+('Model coeffs'!$F$10*'Cost drivers'!E108)+('Model coeffs'!$F$11*'Cost drivers'!H108))</f>
        <v>17.519871901213055</v>
      </c>
      <c r="G108" s="99">
        <f>EXP('Model coeffs'!$G$12+('Model coeffs'!$G$5*'Cost drivers'!D108)+('Model coeffs'!$G$6*'Cost drivers'!F108)+('Model coeffs'!$G$8*'Cost drivers'!I108)+('Model coeffs'!$G$9*'Cost drivers'!J108)+('Model coeffs'!$G$11*'Cost drivers'!H108))</f>
        <v>30.892323320066655</v>
      </c>
      <c r="H108" s="100">
        <f>EXP('Model coeffs'!$H$12+('Model coeffs'!$H$5*'Cost drivers'!D108)+('Model coeffs'!$H$7*'Cost drivers'!G108)+('Model coeffs'!$H$8*'Cost drivers'!I108)+('Model coeffs'!$H$9*'Cost drivers'!J108)+('Model coeffs'!$H$11*'Cost drivers'!H108))</f>
        <v>30.775239135587885</v>
      </c>
      <c r="I108" s="83"/>
      <c r="J108" s="151">
        <f t="shared" si="6"/>
        <v>13.136399172244321</v>
      </c>
      <c r="K108" s="100">
        <f t="shared" si="7"/>
        <v>17.519871901213055</v>
      </c>
      <c r="L108" s="150">
        <f t="shared" si="8"/>
        <v>30.83378122782727</v>
      </c>
      <c r="M108" s="83"/>
      <c r="N108" s="151">
        <f t="shared" si="9"/>
        <v>30.656271073457376</v>
      </c>
      <c r="O108" s="99">
        <f t="shared" si="10"/>
        <v>30.83378122782727</v>
      </c>
      <c r="P108" s="100">
        <f t="shared" si="11"/>
        <v>30.745026150642325</v>
      </c>
    </row>
    <row r="109" spans="1:16" x14ac:dyDescent="0.3">
      <c r="A109" s="98" t="str">
        <f>'Actual costs'!A110</f>
        <v>SES</v>
      </c>
      <c r="B109" s="64">
        <f>'Actual costs'!B110</f>
        <v>2013</v>
      </c>
      <c r="C109" s="64" t="str">
        <f>'Actual costs'!C110</f>
        <v>SES13</v>
      </c>
      <c r="D109" s="99">
        <f>EXP('Model coeffs'!$D$12+('Model coeffs'!$D$5*'Cost drivers'!D109)+('Model coeffs'!$D$6*'Cost drivers'!F109)+('Model coeffs'!$D$8*'Cost drivers'!I109)+('Model coeffs'!$D$9*'Cost drivers'!J109))</f>
        <v>13.690592695654244</v>
      </c>
      <c r="E109" s="99">
        <f>EXP('Model coeffs'!$E$12+('Model coeffs'!$E$5*'Cost drivers'!D109)+('Model coeffs'!$E$7*'Cost drivers'!G109)+('Model coeffs'!$E$8*'Cost drivers'!I109)+('Model coeffs'!$E$9*'Cost drivers'!J109))</f>
        <v>12.709736448290107</v>
      </c>
      <c r="F109" s="99">
        <f>EXP('Model coeffs'!$F$12+('Model coeffs'!$F$8*'Cost drivers'!I109)+('Model coeffs'!$F$9*'Cost drivers'!J109)+('Model coeffs'!$F$10*'Cost drivers'!E109)+('Model coeffs'!$F$11*'Cost drivers'!H109))</f>
        <v>17.704923648167497</v>
      </c>
      <c r="G109" s="99">
        <f>EXP('Model coeffs'!$G$12+('Model coeffs'!$G$5*'Cost drivers'!D109)+('Model coeffs'!$G$6*'Cost drivers'!F109)+('Model coeffs'!$G$8*'Cost drivers'!I109)+('Model coeffs'!$G$9*'Cost drivers'!J109)+('Model coeffs'!$G$11*'Cost drivers'!H109))</f>
        <v>31.185335846062454</v>
      </c>
      <c r="H109" s="100">
        <f>EXP('Model coeffs'!$H$12+('Model coeffs'!$H$5*'Cost drivers'!D109)+('Model coeffs'!$H$7*'Cost drivers'!G109)+('Model coeffs'!$H$8*'Cost drivers'!I109)+('Model coeffs'!$H$9*'Cost drivers'!J109)+('Model coeffs'!$H$11*'Cost drivers'!H109))</f>
        <v>31.083544997241539</v>
      </c>
      <c r="I109" s="83"/>
      <c r="J109" s="151">
        <f t="shared" si="6"/>
        <v>13.200164571972175</v>
      </c>
      <c r="K109" s="100">
        <f t="shared" si="7"/>
        <v>17.704923648167497</v>
      </c>
      <c r="L109" s="150">
        <f t="shared" si="8"/>
        <v>31.134440421651995</v>
      </c>
      <c r="M109" s="83"/>
      <c r="N109" s="151">
        <f t="shared" si="9"/>
        <v>30.905088220139675</v>
      </c>
      <c r="O109" s="99">
        <f t="shared" si="10"/>
        <v>31.134440421651995</v>
      </c>
      <c r="P109" s="100">
        <f t="shared" si="11"/>
        <v>31.019764320895835</v>
      </c>
    </row>
    <row r="110" spans="1:16" x14ac:dyDescent="0.3">
      <c r="A110" s="98" t="str">
        <f>'Actual costs'!A111</f>
        <v>SES</v>
      </c>
      <c r="B110" s="64">
        <f>'Actual costs'!B111</f>
        <v>2014</v>
      </c>
      <c r="C110" s="64" t="str">
        <f>'Actual costs'!C111</f>
        <v>SES14</v>
      </c>
      <c r="D110" s="99">
        <f>EXP('Model coeffs'!$D$12+('Model coeffs'!$D$5*'Cost drivers'!D110)+('Model coeffs'!$D$6*'Cost drivers'!F110)+('Model coeffs'!$D$8*'Cost drivers'!I110)+('Model coeffs'!$D$9*'Cost drivers'!J110))</f>
        <v>13.766951676271695</v>
      </c>
      <c r="E110" s="99">
        <f>EXP('Model coeffs'!$E$12+('Model coeffs'!$E$5*'Cost drivers'!D110)+('Model coeffs'!$E$7*'Cost drivers'!G110)+('Model coeffs'!$E$8*'Cost drivers'!I110)+('Model coeffs'!$E$9*'Cost drivers'!J110))</f>
        <v>12.780835041139891</v>
      </c>
      <c r="F110" s="99">
        <f>EXP('Model coeffs'!$F$12+('Model coeffs'!$F$8*'Cost drivers'!I110)+('Model coeffs'!$F$9*'Cost drivers'!J110)+('Model coeffs'!$F$10*'Cost drivers'!E110)+('Model coeffs'!$F$11*'Cost drivers'!H110))</f>
        <v>17.911040040909981</v>
      </c>
      <c r="G110" s="99">
        <f>EXP('Model coeffs'!$G$12+('Model coeffs'!$G$5*'Cost drivers'!D110)+('Model coeffs'!$G$6*'Cost drivers'!F110)+('Model coeffs'!$G$8*'Cost drivers'!I110)+('Model coeffs'!$G$9*'Cost drivers'!J110)+('Model coeffs'!$G$11*'Cost drivers'!H110))</f>
        <v>31.409148515018636</v>
      </c>
      <c r="H110" s="100">
        <f>EXP('Model coeffs'!$H$12+('Model coeffs'!$H$5*'Cost drivers'!D110)+('Model coeffs'!$H$7*'Cost drivers'!G110)+('Model coeffs'!$H$8*'Cost drivers'!I110)+('Model coeffs'!$H$9*'Cost drivers'!J110)+('Model coeffs'!$H$11*'Cost drivers'!H110))</f>
        <v>31.318859062589315</v>
      </c>
      <c r="I110" s="83"/>
      <c r="J110" s="151">
        <f t="shared" si="6"/>
        <v>13.273893358705793</v>
      </c>
      <c r="K110" s="100">
        <f t="shared" si="7"/>
        <v>17.911040040909981</v>
      </c>
      <c r="L110" s="150">
        <f t="shared" si="8"/>
        <v>31.364003788803977</v>
      </c>
      <c r="M110" s="83"/>
      <c r="N110" s="151">
        <f t="shared" si="9"/>
        <v>31.184933399615772</v>
      </c>
      <c r="O110" s="99">
        <f t="shared" si="10"/>
        <v>31.364003788803977</v>
      </c>
      <c r="P110" s="100">
        <f t="shared" si="11"/>
        <v>31.274468594209875</v>
      </c>
    </row>
    <row r="111" spans="1:16" x14ac:dyDescent="0.3">
      <c r="A111" s="98" t="str">
        <f>'Actual costs'!A112</f>
        <v>SES</v>
      </c>
      <c r="B111" s="64">
        <f>'Actual costs'!B112</f>
        <v>2015</v>
      </c>
      <c r="C111" s="64" t="str">
        <f>'Actual costs'!C112</f>
        <v>SES15</v>
      </c>
      <c r="D111" s="99">
        <f>EXP('Model coeffs'!$D$12+('Model coeffs'!$D$5*'Cost drivers'!D111)+('Model coeffs'!$D$6*'Cost drivers'!F111)+('Model coeffs'!$D$8*'Cost drivers'!I111)+('Model coeffs'!$D$9*'Cost drivers'!J111))</f>
        <v>13.848605027295067</v>
      </c>
      <c r="E111" s="99">
        <f>EXP('Model coeffs'!$E$12+('Model coeffs'!$E$5*'Cost drivers'!D111)+('Model coeffs'!$E$7*'Cost drivers'!G111)+('Model coeffs'!$E$8*'Cost drivers'!I111)+('Model coeffs'!$E$9*'Cost drivers'!J111))</f>
        <v>12.843558401699385</v>
      </c>
      <c r="F111" s="99">
        <f>EXP('Model coeffs'!$F$12+('Model coeffs'!$F$8*'Cost drivers'!I111)+('Model coeffs'!$F$9*'Cost drivers'!J111)+('Model coeffs'!$F$10*'Cost drivers'!E111)+('Model coeffs'!$F$11*'Cost drivers'!H111))</f>
        <v>18.083120709131151</v>
      </c>
      <c r="G111" s="99">
        <f>EXP('Model coeffs'!$G$12+('Model coeffs'!$G$5*'Cost drivers'!D111)+('Model coeffs'!$G$6*'Cost drivers'!F111)+('Model coeffs'!$G$8*'Cost drivers'!I111)+('Model coeffs'!$G$9*'Cost drivers'!J111)+('Model coeffs'!$G$11*'Cost drivers'!H111))</f>
        <v>31.670299077858953</v>
      </c>
      <c r="H111" s="100">
        <f>EXP('Model coeffs'!$H$12+('Model coeffs'!$H$5*'Cost drivers'!D111)+('Model coeffs'!$H$7*'Cost drivers'!G111)+('Model coeffs'!$H$8*'Cost drivers'!I111)+('Model coeffs'!$H$9*'Cost drivers'!J111)+('Model coeffs'!$H$11*'Cost drivers'!H111))</f>
        <v>31.563172672249166</v>
      </c>
      <c r="I111" s="83"/>
      <c r="J111" s="151">
        <f t="shared" si="6"/>
        <v>13.346081714497226</v>
      </c>
      <c r="K111" s="100">
        <f t="shared" si="7"/>
        <v>18.083120709131151</v>
      </c>
      <c r="L111" s="150">
        <f t="shared" si="8"/>
        <v>31.616735875054061</v>
      </c>
      <c r="M111" s="83"/>
      <c r="N111" s="151">
        <f t="shared" si="9"/>
        <v>31.429202423628375</v>
      </c>
      <c r="O111" s="99">
        <f t="shared" si="10"/>
        <v>31.616735875054061</v>
      </c>
      <c r="P111" s="100">
        <f t="shared" si="11"/>
        <v>31.522969149341218</v>
      </c>
    </row>
    <row r="112" spans="1:16" x14ac:dyDescent="0.3">
      <c r="A112" s="98" t="str">
        <f>'Actual costs'!A113</f>
        <v>SES</v>
      </c>
      <c r="B112" s="64">
        <f>'Actual costs'!B113</f>
        <v>2016</v>
      </c>
      <c r="C112" s="64" t="str">
        <f>'Actual costs'!C113</f>
        <v>SES16</v>
      </c>
      <c r="D112" s="99">
        <f>EXP('Model coeffs'!$D$12+('Model coeffs'!$D$5*'Cost drivers'!D112)+('Model coeffs'!$D$6*'Cost drivers'!F112)+('Model coeffs'!$D$8*'Cost drivers'!I112)+('Model coeffs'!$D$9*'Cost drivers'!J112))</f>
        <v>13.913437451884443</v>
      </c>
      <c r="E112" s="99">
        <f>EXP('Model coeffs'!$E$12+('Model coeffs'!$E$5*'Cost drivers'!D112)+('Model coeffs'!$E$7*'Cost drivers'!G112)+('Model coeffs'!$E$8*'Cost drivers'!I112)+('Model coeffs'!$E$9*'Cost drivers'!J112))</f>
        <v>12.890068083641273</v>
      </c>
      <c r="F112" s="99">
        <f>EXP('Model coeffs'!$F$12+('Model coeffs'!$F$8*'Cost drivers'!I112)+('Model coeffs'!$F$9*'Cost drivers'!J112)+('Model coeffs'!$F$10*'Cost drivers'!E112)+('Model coeffs'!$F$11*'Cost drivers'!H112))</f>
        <v>18.274699813194339</v>
      </c>
      <c r="G112" s="99">
        <f>EXP('Model coeffs'!$G$12+('Model coeffs'!$G$5*'Cost drivers'!D112)+('Model coeffs'!$G$6*'Cost drivers'!F112)+('Model coeffs'!$G$8*'Cost drivers'!I112)+('Model coeffs'!$G$9*'Cost drivers'!J112)+('Model coeffs'!$G$11*'Cost drivers'!H112))</f>
        <v>31.829073108161086</v>
      </c>
      <c r="H112" s="100">
        <f>EXP('Model coeffs'!$H$12+('Model coeffs'!$H$5*'Cost drivers'!D112)+('Model coeffs'!$H$7*'Cost drivers'!G112)+('Model coeffs'!$H$8*'Cost drivers'!I112)+('Model coeffs'!$H$9*'Cost drivers'!J112)+('Model coeffs'!$H$11*'Cost drivers'!H112))</f>
        <v>31.703122515571899</v>
      </c>
      <c r="I112" s="83"/>
      <c r="J112" s="151">
        <f t="shared" si="6"/>
        <v>13.401752767762858</v>
      </c>
      <c r="K112" s="100">
        <f t="shared" si="7"/>
        <v>18.274699813194339</v>
      </c>
      <c r="L112" s="150">
        <f t="shared" si="8"/>
        <v>31.766097811866494</v>
      </c>
      <c r="M112" s="83"/>
      <c r="N112" s="151">
        <f t="shared" si="9"/>
        <v>31.676452580957196</v>
      </c>
      <c r="O112" s="99">
        <f t="shared" si="10"/>
        <v>31.766097811866494</v>
      </c>
      <c r="P112" s="100">
        <f t="shared" si="11"/>
        <v>31.721275196411845</v>
      </c>
    </row>
    <row r="113" spans="1:16" x14ac:dyDescent="0.3">
      <c r="A113" s="98" t="str">
        <f>'Actual costs'!A114</f>
        <v>SES</v>
      </c>
      <c r="B113" s="64">
        <f>'Actual costs'!B114</f>
        <v>2017</v>
      </c>
      <c r="C113" s="64" t="str">
        <f>'Actual costs'!C114</f>
        <v>SES17</v>
      </c>
      <c r="D113" s="99">
        <f>EXP('Model coeffs'!$D$12+('Model coeffs'!$D$5*'Cost drivers'!D113)+('Model coeffs'!$D$6*'Cost drivers'!F113)+('Model coeffs'!$D$8*'Cost drivers'!I113)+('Model coeffs'!$D$9*'Cost drivers'!J113))</f>
        <v>13.983261080971152</v>
      </c>
      <c r="E113" s="99">
        <f>EXP('Model coeffs'!$E$12+('Model coeffs'!$E$5*'Cost drivers'!D113)+('Model coeffs'!$E$7*'Cost drivers'!G113)+('Model coeffs'!$E$8*'Cost drivers'!I113)+('Model coeffs'!$E$9*'Cost drivers'!J113))</f>
        <v>12.950577621520877</v>
      </c>
      <c r="F113" s="99">
        <f>EXP('Model coeffs'!$F$12+('Model coeffs'!$F$8*'Cost drivers'!I113)+('Model coeffs'!$F$9*'Cost drivers'!J113)+('Model coeffs'!$F$10*'Cost drivers'!E113)+('Model coeffs'!$F$11*'Cost drivers'!H113))</f>
        <v>18.38961334909736</v>
      </c>
      <c r="G113" s="99">
        <f>EXP('Model coeffs'!$G$12+('Model coeffs'!$G$5*'Cost drivers'!D113)+('Model coeffs'!$G$6*'Cost drivers'!F113)+('Model coeffs'!$G$8*'Cost drivers'!I113)+('Model coeffs'!$G$9*'Cost drivers'!J113)+('Model coeffs'!$G$11*'Cost drivers'!H113))</f>
        <v>32.134444417441244</v>
      </c>
      <c r="H113" s="100">
        <f>EXP('Model coeffs'!$H$12+('Model coeffs'!$H$5*'Cost drivers'!D113)+('Model coeffs'!$H$7*'Cost drivers'!G113)+('Model coeffs'!$H$8*'Cost drivers'!I113)+('Model coeffs'!$H$9*'Cost drivers'!J113)+('Model coeffs'!$H$11*'Cost drivers'!H113))</f>
        <v>32.009423983217246</v>
      </c>
      <c r="I113" s="83"/>
      <c r="J113" s="151">
        <f t="shared" si="6"/>
        <v>13.466919351246014</v>
      </c>
      <c r="K113" s="100">
        <f t="shared" si="7"/>
        <v>18.38961334909736</v>
      </c>
      <c r="L113" s="150">
        <f t="shared" si="8"/>
        <v>32.071934200329245</v>
      </c>
      <c r="M113" s="83"/>
      <c r="N113" s="151">
        <f t="shared" si="9"/>
        <v>31.856532700343372</v>
      </c>
      <c r="O113" s="99">
        <f t="shared" si="10"/>
        <v>32.071934200329245</v>
      </c>
      <c r="P113" s="100">
        <f t="shared" si="11"/>
        <v>31.964233450336309</v>
      </c>
    </row>
    <row r="114" spans="1:16" x14ac:dyDescent="0.3">
      <c r="A114" s="98" t="str">
        <f>'Actual costs'!A115</f>
        <v>SES</v>
      </c>
      <c r="B114" s="64">
        <f>'Actual costs'!B115</f>
        <v>2018</v>
      </c>
      <c r="C114" s="64" t="str">
        <f>'Actual costs'!C115</f>
        <v>SES18</v>
      </c>
      <c r="D114" s="99">
        <f>EXP('Model coeffs'!$D$12+('Model coeffs'!$D$5*'Cost drivers'!D114)+('Model coeffs'!$D$6*'Cost drivers'!F114)+('Model coeffs'!$D$8*'Cost drivers'!I114)+('Model coeffs'!$D$9*'Cost drivers'!J114))</f>
        <v>14.111428060693047</v>
      </c>
      <c r="E114" s="99">
        <f>EXP('Model coeffs'!$E$12+('Model coeffs'!$E$5*'Cost drivers'!D114)+('Model coeffs'!$E$7*'Cost drivers'!G114)+('Model coeffs'!$E$8*'Cost drivers'!I114)+('Model coeffs'!$E$9*'Cost drivers'!J114))</f>
        <v>13.052227166582572</v>
      </c>
      <c r="F114" s="99">
        <f>EXP('Model coeffs'!$F$12+('Model coeffs'!$F$8*'Cost drivers'!I114)+('Model coeffs'!$F$9*'Cost drivers'!J114)+('Model coeffs'!$F$10*'Cost drivers'!E114)+('Model coeffs'!$F$11*'Cost drivers'!H114))</f>
        <v>18.48546342517097</v>
      </c>
      <c r="G114" s="99">
        <f>EXP('Model coeffs'!$G$12+('Model coeffs'!$G$5*'Cost drivers'!D114)+('Model coeffs'!$G$6*'Cost drivers'!F114)+('Model coeffs'!$G$8*'Cost drivers'!I114)+('Model coeffs'!$G$9*'Cost drivers'!J114)+('Model coeffs'!$G$11*'Cost drivers'!H114))</f>
        <v>32.429245077458852</v>
      </c>
      <c r="H114" s="100">
        <f>EXP('Model coeffs'!$H$12+('Model coeffs'!$H$5*'Cost drivers'!D114)+('Model coeffs'!$H$7*'Cost drivers'!G114)+('Model coeffs'!$H$8*'Cost drivers'!I114)+('Model coeffs'!$H$9*'Cost drivers'!J114)+('Model coeffs'!$H$11*'Cost drivers'!H114))</f>
        <v>32.270839206419843</v>
      </c>
      <c r="I114" s="83"/>
      <c r="J114" s="151">
        <f t="shared" si="6"/>
        <v>13.58182761363781</v>
      </c>
      <c r="K114" s="100">
        <f t="shared" si="7"/>
        <v>18.48546342517097</v>
      </c>
      <c r="L114" s="150">
        <f t="shared" si="8"/>
        <v>32.350042141939348</v>
      </c>
      <c r="M114" s="83"/>
      <c r="N114" s="151">
        <f t="shared" si="9"/>
        <v>32.067291038808776</v>
      </c>
      <c r="O114" s="99">
        <f t="shared" si="10"/>
        <v>32.350042141939348</v>
      </c>
      <c r="P114" s="100">
        <f t="shared" si="11"/>
        <v>32.208666590374065</v>
      </c>
    </row>
    <row r="115" spans="1:16" x14ac:dyDescent="0.3">
      <c r="A115" s="98" t="str">
        <f>'Actual costs'!A116</f>
        <v>SEW</v>
      </c>
      <c r="B115" s="64">
        <f>'Actual costs'!B116</f>
        <v>2012</v>
      </c>
      <c r="C115" s="64" t="str">
        <f>'Actual costs'!C116</f>
        <v>SEW12</v>
      </c>
      <c r="D115" s="99">
        <f>EXP('Model coeffs'!$D$12+('Model coeffs'!$D$5*'Cost drivers'!D115)+('Model coeffs'!$D$6*'Cost drivers'!F115)+('Model coeffs'!$D$8*'Cost drivers'!I115)+('Model coeffs'!$D$9*'Cost drivers'!J115))</f>
        <v>48.370666625938853</v>
      </c>
      <c r="E115" s="99">
        <f>EXP('Model coeffs'!$E$12+('Model coeffs'!$E$5*'Cost drivers'!D115)+('Model coeffs'!$E$7*'Cost drivers'!G115)+('Model coeffs'!$E$8*'Cost drivers'!I115)+('Model coeffs'!$E$9*'Cost drivers'!J115))</f>
        <v>49.102965141770675</v>
      </c>
      <c r="F115" s="99">
        <f>EXP('Model coeffs'!$F$12+('Model coeffs'!$F$8*'Cost drivers'!I115)+('Model coeffs'!$F$9*'Cost drivers'!J115)+('Model coeffs'!$F$10*'Cost drivers'!E115)+('Model coeffs'!$F$11*'Cost drivers'!H115))</f>
        <v>48.443934781114599</v>
      </c>
      <c r="G115" s="99">
        <f>EXP('Model coeffs'!$G$12+('Model coeffs'!$G$5*'Cost drivers'!D115)+('Model coeffs'!$G$6*'Cost drivers'!F115)+('Model coeffs'!$G$8*'Cost drivers'!I115)+('Model coeffs'!$G$9*'Cost drivers'!J115)+('Model coeffs'!$G$11*'Cost drivers'!H115))</f>
        <v>96.121736182560412</v>
      </c>
      <c r="H115" s="100">
        <f>EXP('Model coeffs'!$H$12+('Model coeffs'!$H$5*'Cost drivers'!D115)+('Model coeffs'!$H$7*'Cost drivers'!G115)+('Model coeffs'!$H$8*'Cost drivers'!I115)+('Model coeffs'!$H$9*'Cost drivers'!J115)+('Model coeffs'!$H$11*'Cost drivers'!H115))</f>
        <v>95.770485721380467</v>
      </c>
      <c r="I115" s="83"/>
      <c r="J115" s="151">
        <f t="shared" si="6"/>
        <v>48.73681588385476</v>
      </c>
      <c r="K115" s="100">
        <f t="shared" si="7"/>
        <v>48.443934781114599</v>
      </c>
      <c r="L115" s="150">
        <f t="shared" si="8"/>
        <v>95.946110951970439</v>
      </c>
      <c r="M115" s="83"/>
      <c r="N115" s="151">
        <f t="shared" si="9"/>
        <v>97.180750664969366</v>
      </c>
      <c r="O115" s="99">
        <f t="shared" si="10"/>
        <v>95.946110951970439</v>
      </c>
      <c r="P115" s="100">
        <f t="shared" si="11"/>
        <v>96.563430808469903</v>
      </c>
    </row>
    <row r="116" spans="1:16" x14ac:dyDescent="0.3">
      <c r="A116" s="98" t="str">
        <f>'Actual costs'!A117</f>
        <v>SEW</v>
      </c>
      <c r="B116" s="64">
        <f>'Actual costs'!B117</f>
        <v>2013</v>
      </c>
      <c r="C116" s="64" t="str">
        <f>'Actual costs'!C117</f>
        <v>SEW13</v>
      </c>
      <c r="D116" s="99">
        <f>EXP('Model coeffs'!$D$12+('Model coeffs'!$D$5*'Cost drivers'!D116)+('Model coeffs'!$D$6*'Cost drivers'!F116)+('Model coeffs'!$D$8*'Cost drivers'!I116)+('Model coeffs'!$D$9*'Cost drivers'!J116))</f>
        <v>48.638663836722159</v>
      </c>
      <c r="E116" s="99">
        <f>EXP('Model coeffs'!$E$12+('Model coeffs'!$E$5*'Cost drivers'!D116)+('Model coeffs'!$E$7*'Cost drivers'!G116)+('Model coeffs'!$E$8*'Cost drivers'!I116)+('Model coeffs'!$E$9*'Cost drivers'!J116))</f>
        <v>49.38353364380832</v>
      </c>
      <c r="F116" s="99">
        <f>EXP('Model coeffs'!$F$12+('Model coeffs'!$F$8*'Cost drivers'!I116)+('Model coeffs'!$F$9*'Cost drivers'!J116)+('Model coeffs'!$F$10*'Cost drivers'!E116)+('Model coeffs'!$F$11*'Cost drivers'!H116))</f>
        <v>48.582404324829213</v>
      </c>
      <c r="G116" s="99">
        <f>EXP('Model coeffs'!$G$12+('Model coeffs'!$G$5*'Cost drivers'!D116)+('Model coeffs'!$G$6*'Cost drivers'!F116)+('Model coeffs'!$G$8*'Cost drivers'!I116)+('Model coeffs'!$G$9*'Cost drivers'!J116)+('Model coeffs'!$G$11*'Cost drivers'!H116))</f>
        <v>96.604064921978335</v>
      </c>
      <c r="H116" s="100">
        <f>EXP('Model coeffs'!$H$12+('Model coeffs'!$H$5*'Cost drivers'!D116)+('Model coeffs'!$H$7*'Cost drivers'!G116)+('Model coeffs'!$H$8*'Cost drivers'!I116)+('Model coeffs'!$H$9*'Cost drivers'!J116)+('Model coeffs'!$H$11*'Cost drivers'!H116))</f>
        <v>96.239829469336001</v>
      </c>
      <c r="I116" s="83"/>
      <c r="J116" s="151">
        <f t="shared" si="6"/>
        <v>49.01109874026524</v>
      </c>
      <c r="K116" s="100">
        <f t="shared" si="7"/>
        <v>48.582404324829213</v>
      </c>
      <c r="L116" s="150">
        <f t="shared" si="8"/>
        <v>96.421947195657168</v>
      </c>
      <c r="M116" s="83"/>
      <c r="N116" s="151">
        <f t="shared" si="9"/>
        <v>97.593503065094453</v>
      </c>
      <c r="O116" s="99">
        <f t="shared" si="10"/>
        <v>96.421947195657168</v>
      </c>
      <c r="P116" s="100">
        <f t="shared" si="11"/>
        <v>97.007725130375803</v>
      </c>
    </row>
    <row r="117" spans="1:16" x14ac:dyDescent="0.3">
      <c r="A117" s="98" t="str">
        <f>'Actual costs'!A118</f>
        <v>SEW</v>
      </c>
      <c r="B117" s="64">
        <f>'Actual costs'!B118</f>
        <v>2014</v>
      </c>
      <c r="C117" s="64" t="str">
        <f>'Actual costs'!C118</f>
        <v>SEW14</v>
      </c>
      <c r="D117" s="99">
        <f>EXP('Model coeffs'!$D$12+('Model coeffs'!$D$5*'Cost drivers'!D117)+('Model coeffs'!$D$6*'Cost drivers'!F117)+('Model coeffs'!$D$8*'Cost drivers'!I117)+('Model coeffs'!$D$9*'Cost drivers'!J117))</f>
        <v>48.643911231096325</v>
      </c>
      <c r="E117" s="99">
        <f>EXP('Model coeffs'!$E$12+('Model coeffs'!$E$5*'Cost drivers'!D117)+('Model coeffs'!$E$7*'Cost drivers'!G117)+('Model coeffs'!$E$8*'Cost drivers'!I117)+('Model coeffs'!$E$9*'Cost drivers'!J117))</f>
        <v>49.643604947158032</v>
      </c>
      <c r="F117" s="99">
        <f>EXP('Model coeffs'!$F$12+('Model coeffs'!$F$8*'Cost drivers'!I117)+('Model coeffs'!$F$9*'Cost drivers'!J117)+('Model coeffs'!$F$10*'Cost drivers'!E117)+('Model coeffs'!$F$11*'Cost drivers'!H117))</f>
        <v>48.690110104256391</v>
      </c>
      <c r="G117" s="99">
        <f>EXP('Model coeffs'!$G$12+('Model coeffs'!$G$5*'Cost drivers'!D117)+('Model coeffs'!$G$6*'Cost drivers'!F117)+('Model coeffs'!$G$8*'Cost drivers'!I117)+('Model coeffs'!$G$9*'Cost drivers'!J117)+('Model coeffs'!$G$11*'Cost drivers'!H117))</f>
        <v>96.814193233212222</v>
      </c>
      <c r="H117" s="100">
        <f>EXP('Model coeffs'!$H$12+('Model coeffs'!$H$5*'Cost drivers'!D117)+('Model coeffs'!$H$7*'Cost drivers'!G117)+('Model coeffs'!$H$8*'Cost drivers'!I117)+('Model coeffs'!$H$9*'Cost drivers'!J117)+('Model coeffs'!$H$11*'Cost drivers'!H117))</f>
        <v>96.675940991708131</v>
      </c>
      <c r="I117" s="83"/>
      <c r="J117" s="151">
        <f t="shared" si="6"/>
        <v>49.143758089127175</v>
      </c>
      <c r="K117" s="100">
        <f t="shared" si="7"/>
        <v>48.690110104256391</v>
      </c>
      <c r="L117" s="150">
        <f t="shared" si="8"/>
        <v>96.745067112460177</v>
      </c>
      <c r="M117" s="83"/>
      <c r="N117" s="151">
        <f t="shared" si="9"/>
        <v>97.833868193383566</v>
      </c>
      <c r="O117" s="99">
        <f t="shared" si="10"/>
        <v>96.745067112460177</v>
      </c>
      <c r="P117" s="100">
        <f t="shared" si="11"/>
        <v>97.289467652921871</v>
      </c>
    </row>
    <row r="118" spans="1:16" x14ac:dyDescent="0.3">
      <c r="A118" s="98" t="str">
        <f>'Actual costs'!A119</f>
        <v>SEW</v>
      </c>
      <c r="B118" s="64">
        <f>'Actual costs'!B119</f>
        <v>2015</v>
      </c>
      <c r="C118" s="64" t="str">
        <f>'Actual costs'!C119</f>
        <v>SEW15</v>
      </c>
      <c r="D118" s="99">
        <f>EXP('Model coeffs'!$D$12+('Model coeffs'!$D$5*'Cost drivers'!D118)+('Model coeffs'!$D$6*'Cost drivers'!F118)+('Model coeffs'!$D$8*'Cost drivers'!I118)+('Model coeffs'!$D$9*'Cost drivers'!J118))</f>
        <v>54.848673345312456</v>
      </c>
      <c r="E118" s="99">
        <f>EXP('Model coeffs'!$E$12+('Model coeffs'!$E$5*'Cost drivers'!D118)+('Model coeffs'!$E$7*'Cost drivers'!G118)+('Model coeffs'!$E$8*'Cost drivers'!I118)+('Model coeffs'!$E$9*'Cost drivers'!J118))</f>
        <v>55.143647037753624</v>
      </c>
      <c r="F118" s="99">
        <f>EXP('Model coeffs'!$F$12+('Model coeffs'!$F$8*'Cost drivers'!I118)+('Model coeffs'!$F$9*'Cost drivers'!J118)+('Model coeffs'!$F$10*'Cost drivers'!E118)+('Model coeffs'!$F$11*'Cost drivers'!H118))</f>
        <v>48.851494138433139</v>
      </c>
      <c r="G118" s="99">
        <f>EXP('Model coeffs'!$G$12+('Model coeffs'!$G$5*'Cost drivers'!D118)+('Model coeffs'!$G$6*'Cost drivers'!F118)+('Model coeffs'!$G$8*'Cost drivers'!I118)+('Model coeffs'!$G$9*'Cost drivers'!J118)+('Model coeffs'!$G$11*'Cost drivers'!H118))</f>
        <v>106.90254473571325</v>
      </c>
      <c r="H118" s="100">
        <f>EXP('Model coeffs'!$H$12+('Model coeffs'!$H$5*'Cost drivers'!D118)+('Model coeffs'!$H$7*'Cost drivers'!G118)+('Model coeffs'!$H$8*'Cost drivers'!I118)+('Model coeffs'!$H$9*'Cost drivers'!J118)+('Model coeffs'!$H$11*'Cost drivers'!H118))</f>
        <v>106.76453924652822</v>
      </c>
      <c r="I118" s="83"/>
      <c r="J118" s="151">
        <f t="shared" si="6"/>
        <v>54.996160191533036</v>
      </c>
      <c r="K118" s="100">
        <f t="shared" si="7"/>
        <v>48.851494138433139</v>
      </c>
      <c r="L118" s="150">
        <f t="shared" si="8"/>
        <v>106.83354199112074</v>
      </c>
      <c r="M118" s="83"/>
      <c r="N118" s="151">
        <f t="shared" si="9"/>
        <v>103.84765432996618</v>
      </c>
      <c r="O118" s="99">
        <f t="shared" si="10"/>
        <v>106.83354199112074</v>
      </c>
      <c r="P118" s="100">
        <f t="shared" si="11"/>
        <v>105.34059816054346</v>
      </c>
    </row>
    <row r="119" spans="1:16" x14ac:dyDescent="0.3">
      <c r="A119" s="98" t="str">
        <f>'Actual costs'!A120</f>
        <v>SEW</v>
      </c>
      <c r="B119" s="64">
        <f>'Actual costs'!B120</f>
        <v>2016</v>
      </c>
      <c r="C119" s="64" t="str">
        <f>'Actual costs'!C120</f>
        <v>SEW16</v>
      </c>
      <c r="D119" s="99">
        <f>EXP('Model coeffs'!$D$12+('Model coeffs'!$D$5*'Cost drivers'!D119)+('Model coeffs'!$D$6*'Cost drivers'!F119)+('Model coeffs'!$D$8*'Cost drivers'!I119)+('Model coeffs'!$D$9*'Cost drivers'!J119))</f>
        <v>55.078773324168417</v>
      </c>
      <c r="E119" s="99">
        <f>EXP('Model coeffs'!$E$12+('Model coeffs'!$E$5*'Cost drivers'!D119)+('Model coeffs'!$E$7*'Cost drivers'!G119)+('Model coeffs'!$E$8*'Cost drivers'!I119)+('Model coeffs'!$E$9*'Cost drivers'!J119))</f>
        <v>55.504182016870189</v>
      </c>
      <c r="F119" s="99">
        <f>EXP('Model coeffs'!$F$12+('Model coeffs'!$F$8*'Cost drivers'!I119)+('Model coeffs'!$F$9*'Cost drivers'!J119)+('Model coeffs'!$F$10*'Cost drivers'!E119)+('Model coeffs'!$F$11*'Cost drivers'!H119))</f>
        <v>48.955077132164014</v>
      </c>
      <c r="G119" s="99">
        <f>EXP('Model coeffs'!$G$12+('Model coeffs'!$G$5*'Cost drivers'!D119)+('Model coeffs'!$G$6*'Cost drivers'!F119)+('Model coeffs'!$G$8*'Cost drivers'!I119)+('Model coeffs'!$G$9*'Cost drivers'!J119)+('Model coeffs'!$G$11*'Cost drivers'!H119))</f>
        <v>107.33925354683009</v>
      </c>
      <c r="H119" s="100">
        <f>EXP('Model coeffs'!$H$12+('Model coeffs'!$H$5*'Cost drivers'!D119)+('Model coeffs'!$H$7*'Cost drivers'!G119)+('Model coeffs'!$H$8*'Cost drivers'!I119)+('Model coeffs'!$H$9*'Cost drivers'!J119)+('Model coeffs'!$H$11*'Cost drivers'!H119))</f>
        <v>107.41752809734031</v>
      </c>
      <c r="I119" s="83"/>
      <c r="J119" s="151">
        <f t="shared" si="6"/>
        <v>55.291477670519299</v>
      </c>
      <c r="K119" s="100">
        <f t="shared" si="7"/>
        <v>48.955077132164014</v>
      </c>
      <c r="L119" s="150">
        <f t="shared" si="8"/>
        <v>107.37839082208521</v>
      </c>
      <c r="M119" s="83"/>
      <c r="N119" s="151">
        <f t="shared" si="9"/>
        <v>104.24655480268331</v>
      </c>
      <c r="O119" s="99">
        <f t="shared" si="10"/>
        <v>107.37839082208521</v>
      </c>
      <c r="P119" s="100">
        <f t="shared" si="11"/>
        <v>105.81247281238426</v>
      </c>
    </row>
    <row r="120" spans="1:16" x14ac:dyDescent="0.3">
      <c r="A120" s="98" t="str">
        <f>'Actual costs'!A121</f>
        <v>SEW</v>
      </c>
      <c r="B120" s="64">
        <f>'Actual costs'!B121</f>
        <v>2017</v>
      </c>
      <c r="C120" s="64" t="str">
        <f>'Actual costs'!C121</f>
        <v>SEW17</v>
      </c>
      <c r="D120" s="99">
        <f>EXP('Model coeffs'!$D$12+('Model coeffs'!$D$5*'Cost drivers'!D120)+('Model coeffs'!$D$6*'Cost drivers'!F120)+('Model coeffs'!$D$8*'Cost drivers'!I120)+('Model coeffs'!$D$9*'Cost drivers'!J120))</f>
        <v>55.801420614574752</v>
      </c>
      <c r="E120" s="99">
        <f>EXP('Model coeffs'!$E$12+('Model coeffs'!$E$5*'Cost drivers'!D120)+('Model coeffs'!$E$7*'Cost drivers'!G120)+('Model coeffs'!$E$8*'Cost drivers'!I120)+('Model coeffs'!$E$9*'Cost drivers'!J120))</f>
        <v>56.120144473803727</v>
      </c>
      <c r="F120" s="99">
        <f>EXP('Model coeffs'!$F$12+('Model coeffs'!$F$8*'Cost drivers'!I120)+('Model coeffs'!$F$9*'Cost drivers'!J120)+('Model coeffs'!$F$10*'Cost drivers'!E120)+('Model coeffs'!$F$11*'Cost drivers'!H120))</f>
        <v>49.061649613821686</v>
      </c>
      <c r="G120" s="99">
        <f>EXP('Model coeffs'!$G$12+('Model coeffs'!$G$5*'Cost drivers'!D120)+('Model coeffs'!$G$6*'Cost drivers'!F120)+('Model coeffs'!$G$8*'Cost drivers'!I120)+('Model coeffs'!$G$9*'Cost drivers'!J120)+('Model coeffs'!$G$11*'Cost drivers'!H120))</f>
        <v>108.61029807738772</v>
      </c>
      <c r="H120" s="100">
        <f>EXP('Model coeffs'!$H$12+('Model coeffs'!$H$5*'Cost drivers'!D120)+('Model coeffs'!$H$7*'Cost drivers'!G120)+('Model coeffs'!$H$8*'Cost drivers'!I120)+('Model coeffs'!$H$9*'Cost drivers'!J120)+('Model coeffs'!$H$11*'Cost drivers'!H120))</f>
        <v>108.61255260838767</v>
      </c>
      <c r="I120" s="83"/>
      <c r="J120" s="151">
        <f t="shared" si="6"/>
        <v>55.960782544189243</v>
      </c>
      <c r="K120" s="100">
        <f t="shared" si="7"/>
        <v>49.061649613821686</v>
      </c>
      <c r="L120" s="150">
        <f t="shared" si="8"/>
        <v>108.6114253428877</v>
      </c>
      <c r="M120" s="83"/>
      <c r="N120" s="151">
        <f t="shared" si="9"/>
        <v>105.02243215801093</v>
      </c>
      <c r="O120" s="99">
        <f t="shared" si="10"/>
        <v>108.6114253428877</v>
      </c>
      <c r="P120" s="100">
        <f t="shared" si="11"/>
        <v>106.81692875044931</v>
      </c>
    </row>
    <row r="121" spans="1:16" x14ac:dyDescent="0.3">
      <c r="A121" s="98" t="str">
        <f>'Actual costs'!A122</f>
        <v>SEW</v>
      </c>
      <c r="B121" s="64">
        <f>'Actual costs'!B122</f>
        <v>2018</v>
      </c>
      <c r="C121" s="64" t="str">
        <f>'Actual costs'!C122</f>
        <v>SEW18</v>
      </c>
      <c r="D121" s="99">
        <f>EXP('Model coeffs'!$D$12+('Model coeffs'!$D$5*'Cost drivers'!D121)+('Model coeffs'!$D$6*'Cost drivers'!F121)+('Model coeffs'!$D$8*'Cost drivers'!I121)+('Model coeffs'!$D$9*'Cost drivers'!J121))</f>
        <v>56.482641637174616</v>
      </c>
      <c r="E121" s="99">
        <f>EXP('Model coeffs'!$E$12+('Model coeffs'!$E$5*'Cost drivers'!D121)+('Model coeffs'!$E$7*'Cost drivers'!G121)+('Model coeffs'!$E$8*'Cost drivers'!I121)+('Model coeffs'!$E$9*'Cost drivers'!J121))</f>
        <v>57.199686588849339</v>
      </c>
      <c r="F121" s="99">
        <f>EXP('Model coeffs'!$F$12+('Model coeffs'!$F$8*'Cost drivers'!I121)+('Model coeffs'!$F$9*'Cost drivers'!J121)+('Model coeffs'!$F$10*'Cost drivers'!E121)+('Model coeffs'!$F$11*'Cost drivers'!H121))</f>
        <v>49.296173781158309</v>
      </c>
      <c r="G121" s="99">
        <f>EXP('Model coeffs'!$G$12+('Model coeffs'!$G$5*'Cost drivers'!D121)+('Model coeffs'!$G$6*'Cost drivers'!F121)+('Model coeffs'!$G$8*'Cost drivers'!I121)+('Model coeffs'!$G$9*'Cost drivers'!J121)+('Model coeffs'!$G$11*'Cost drivers'!H121))</f>
        <v>109.77309629064142</v>
      </c>
      <c r="H121" s="100">
        <f>EXP('Model coeffs'!$H$12+('Model coeffs'!$H$5*'Cost drivers'!D121)+('Model coeffs'!$H$7*'Cost drivers'!G121)+('Model coeffs'!$H$8*'Cost drivers'!I121)+('Model coeffs'!$H$9*'Cost drivers'!J121)+('Model coeffs'!$H$11*'Cost drivers'!H121))</f>
        <v>110.59661405291261</v>
      </c>
      <c r="I121" s="83"/>
      <c r="J121" s="151">
        <f t="shared" si="6"/>
        <v>56.841164113011978</v>
      </c>
      <c r="K121" s="100">
        <f t="shared" si="7"/>
        <v>49.296173781158309</v>
      </c>
      <c r="L121" s="150">
        <f t="shared" si="8"/>
        <v>110.18485517177702</v>
      </c>
      <c r="M121" s="83"/>
      <c r="N121" s="151">
        <f t="shared" si="9"/>
        <v>106.13733789417029</v>
      </c>
      <c r="O121" s="99">
        <f t="shared" si="10"/>
        <v>110.18485517177702</v>
      </c>
      <c r="P121" s="100">
        <f t="shared" si="11"/>
        <v>108.16109653297366</v>
      </c>
    </row>
    <row r="122" spans="1:16" x14ac:dyDescent="0.3">
      <c r="A122" s="98" t="str">
        <f>'Actual costs'!A123</f>
        <v>SSC</v>
      </c>
      <c r="B122" s="64">
        <f>'Actual costs'!B123</f>
        <v>2012</v>
      </c>
      <c r="C122" s="64" t="str">
        <f>'Actual costs'!C123</f>
        <v>SSC12</v>
      </c>
      <c r="D122" s="99">
        <f>EXP('Model coeffs'!$D$12+('Model coeffs'!$D$5*'Cost drivers'!D122)+('Model coeffs'!$D$6*'Cost drivers'!F122)+('Model coeffs'!$D$8*'Cost drivers'!I122)+('Model coeffs'!$D$9*'Cost drivers'!J122))</f>
        <v>25.651206511790885</v>
      </c>
      <c r="E122" s="99">
        <f>EXP('Model coeffs'!$E$12+('Model coeffs'!$E$5*'Cost drivers'!D122)+('Model coeffs'!$E$7*'Cost drivers'!G122)+('Model coeffs'!$E$8*'Cost drivers'!I122)+('Model coeffs'!$E$9*'Cost drivers'!J122))</f>
        <v>28.226153938546737</v>
      </c>
      <c r="F122" s="99">
        <f>EXP('Model coeffs'!$F$12+('Model coeffs'!$F$8*'Cost drivers'!I122)+('Model coeffs'!$F$9*'Cost drivers'!J122)+('Model coeffs'!$F$10*'Cost drivers'!E122)+('Model coeffs'!$F$11*'Cost drivers'!H122))</f>
        <v>37.269921891799306</v>
      </c>
      <c r="G122" s="99">
        <f>EXP('Model coeffs'!$G$12+('Model coeffs'!$G$5*'Cost drivers'!D122)+('Model coeffs'!$G$6*'Cost drivers'!F122)+('Model coeffs'!$G$8*'Cost drivers'!I122)+('Model coeffs'!$G$9*'Cost drivers'!J122)+('Model coeffs'!$G$11*'Cost drivers'!H122))</f>
        <v>62.624996129709075</v>
      </c>
      <c r="H122" s="100">
        <f>EXP('Model coeffs'!$H$12+('Model coeffs'!$H$5*'Cost drivers'!D122)+('Model coeffs'!$H$7*'Cost drivers'!G122)+('Model coeffs'!$H$8*'Cost drivers'!I122)+('Model coeffs'!$H$9*'Cost drivers'!J122)+('Model coeffs'!$H$11*'Cost drivers'!H122))</f>
        <v>62.106720728143486</v>
      </c>
      <c r="I122" s="83"/>
      <c r="J122" s="151">
        <f t="shared" si="6"/>
        <v>26.93868022516881</v>
      </c>
      <c r="K122" s="100">
        <f t="shared" si="7"/>
        <v>37.269921891799306</v>
      </c>
      <c r="L122" s="150">
        <f t="shared" si="8"/>
        <v>62.365858428926281</v>
      </c>
      <c r="M122" s="83"/>
      <c r="N122" s="151">
        <f t="shared" si="9"/>
        <v>64.208602116968109</v>
      </c>
      <c r="O122" s="99">
        <f t="shared" si="10"/>
        <v>62.365858428926281</v>
      </c>
      <c r="P122" s="100">
        <f t="shared" si="11"/>
        <v>63.287230272947198</v>
      </c>
    </row>
    <row r="123" spans="1:16" x14ac:dyDescent="0.3">
      <c r="A123" s="98" t="str">
        <f>'Actual costs'!A124</f>
        <v>SSC</v>
      </c>
      <c r="B123" s="64">
        <f>'Actual costs'!B124</f>
        <v>2013</v>
      </c>
      <c r="C123" s="64" t="str">
        <f>'Actual costs'!C124</f>
        <v>SSC13</v>
      </c>
      <c r="D123" s="99">
        <f>EXP('Model coeffs'!$D$12+('Model coeffs'!$D$5*'Cost drivers'!D123)+('Model coeffs'!$D$6*'Cost drivers'!F123)+('Model coeffs'!$D$8*'Cost drivers'!I123)+('Model coeffs'!$D$9*'Cost drivers'!J123))</f>
        <v>26.586394297748583</v>
      </c>
      <c r="E123" s="99">
        <f>EXP('Model coeffs'!$E$12+('Model coeffs'!$E$5*'Cost drivers'!D123)+('Model coeffs'!$E$7*'Cost drivers'!G123)+('Model coeffs'!$E$8*'Cost drivers'!I123)+('Model coeffs'!$E$9*'Cost drivers'!J123))</f>
        <v>28.742100137165401</v>
      </c>
      <c r="F123" s="99">
        <f>EXP('Model coeffs'!$F$12+('Model coeffs'!$F$8*'Cost drivers'!I123)+('Model coeffs'!$F$9*'Cost drivers'!J123)+('Model coeffs'!$F$10*'Cost drivers'!E123)+('Model coeffs'!$F$11*'Cost drivers'!H123))</f>
        <v>37.495775203824827</v>
      </c>
      <c r="G123" s="99">
        <f>EXP('Model coeffs'!$G$12+('Model coeffs'!$G$5*'Cost drivers'!D123)+('Model coeffs'!$G$6*'Cost drivers'!F123)+('Model coeffs'!$G$8*'Cost drivers'!I123)+('Model coeffs'!$G$9*'Cost drivers'!J123)+('Model coeffs'!$G$11*'Cost drivers'!H123))</f>
        <v>63.670287442045726</v>
      </c>
      <c r="H123" s="100">
        <f>EXP('Model coeffs'!$H$12+('Model coeffs'!$H$5*'Cost drivers'!D123)+('Model coeffs'!$H$7*'Cost drivers'!G123)+('Model coeffs'!$H$8*'Cost drivers'!I123)+('Model coeffs'!$H$9*'Cost drivers'!J123)+('Model coeffs'!$H$11*'Cost drivers'!H123))</f>
        <v>63.166346965744907</v>
      </c>
      <c r="I123" s="83"/>
      <c r="J123" s="151">
        <f t="shared" si="6"/>
        <v>27.664247217456992</v>
      </c>
      <c r="K123" s="100">
        <f t="shared" si="7"/>
        <v>37.495775203824827</v>
      </c>
      <c r="L123" s="150">
        <f t="shared" si="8"/>
        <v>63.418317203895313</v>
      </c>
      <c r="M123" s="83"/>
      <c r="N123" s="151">
        <f t="shared" si="9"/>
        <v>65.160022421281823</v>
      </c>
      <c r="O123" s="99">
        <f t="shared" si="10"/>
        <v>63.418317203895313</v>
      </c>
      <c r="P123" s="100">
        <f t="shared" si="11"/>
        <v>64.289169812588568</v>
      </c>
    </row>
    <row r="124" spans="1:16" x14ac:dyDescent="0.3">
      <c r="A124" s="98" t="str">
        <f>'Actual costs'!A125</f>
        <v>SSC</v>
      </c>
      <c r="B124" s="64">
        <f>'Actual costs'!B125</f>
        <v>2014</v>
      </c>
      <c r="C124" s="64" t="str">
        <f>'Actual costs'!C125</f>
        <v>SSC14</v>
      </c>
      <c r="D124" s="99">
        <f>EXP('Model coeffs'!$D$12+('Model coeffs'!$D$5*'Cost drivers'!D124)+('Model coeffs'!$D$6*'Cost drivers'!F124)+('Model coeffs'!$D$8*'Cost drivers'!I124)+('Model coeffs'!$D$9*'Cost drivers'!J124))</f>
        <v>27.708177215276564</v>
      </c>
      <c r="E124" s="99">
        <f>EXP('Model coeffs'!$E$12+('Model coeffs'!$E$5*'Cost drivers'!D124)+('Model coeffs'!$E$7*'Cost drivers'!G124)+('Model coeffs'!$E$8*'Cost drivers'!I124)+('Model coeffs'!$E$9*'Cost drivers'!J124))</f>
        <v>29.811332488655243</v>
      </c>
      <c r="F124" s="99">
        <f>EXP('Model coeffs'!$F$12+('Model coeffs'!$F$8*'Cost drivers'!I124)+('Model coeffs'!$F$9*'Cost drivers'!J124)+('Model coeffs'!$F$10*'Cost drivers'!E124)+('Model coeffs'!$F$11*'Cost drivers'!H124))</f>
        <v>37.677603847906823</v>
      </c>
      <c r="G124" s="99">
        <f>EXP('Model coeffs'!$G$12+('Model coeffs'!$G$5*'Cost drivers'!D124)+('Model coeffs'!$G$6*'Cost drivers'!F124)+('Model coeffs'!$G$8*'Cost drivers'!I124)+('Model coeffs'!$G$9*'Cost drivers'!J124)+('Model coeffs'!$G$11*'Cost drivers'!H124))</f>
        <v>65.388842775488143</v>
      </c>
      <c r="H124" s="100">
        <f>EXP('Model coeffs'!$H$12+('Model coeffs'!$H$5*'Cost drivers'!D124)+('Model coeffs'!$H$7*'Cost drivers'!G124)+('Model coeffs'!$H$8*'Cost drivers'!I124)+('Model coeffs'!$H$9*'Cost drivers'!J124)+('Model coeffs'!$H$11*'Cost drivers'!H124))</f>
        <v>65.3328721683325</v>
      </c>
      <c r="I124" s="83"/>
      <c r="J124" s="151">
        <f t="shared" si="6"/>
        <v>28.759754851965901</v>
      </c>
      <c r="K124" s="100">
        <f t="shared" si="7"/>
        <v>37.677603847906823</v>
      </c>
      <c r="L124" s="150">
        <f t="shared" si="8"/>
        <v>65.360857471910322</v>
      </c>
      <c r="M124" s="83"/>
      <c r="N124" s="151">
        <f t="shared" si="9"/>
        <v>66.437358699872732</v>
      </c>
      <c r="O124" s="99">
        <f t="shared" si="10"/>
        <v>65.360857471910322</v>
      </c>
      <c r="P124" s="100">
        <f t="shared" si="11"/>
        <v>65.899108085891527</v>
      </c>
    </row>
    <row r="125" spans="1:16" x14ac:dyDescent="0.3">
      <c r="A125" s="98" t="str">
        <f>'Actual costs'!A126</f>
        <v>SSC</v>
      </c>
      <c r="B125" s="64">
        <f>'Actual costs'!B126</f>
        <v>2015</v>
      </c>
      <c r="C125" s="64" t="str">
        <f>'Actual costs'!C126</f>
        <v>SSC15</v>
      </c>
      <c r="D125" s="99">
        <f>EXP('Model coeffs'!$D$12+('Model coeffs'!$D$5*'Cost drivers'!D125)+('Model coeffs'!$D$6*'Cost drivers'!F125)+('Model coeffs'!$D$8*'Cost drivers'!I125)+('Model coeffs'!$D$9*'Cost drivers'!J125))</f>
        <v>27.390256265463826</v>
      </c>
      <c r="E125" s="99">
        <f>EXP('Model coeffs'!$E$12+('Model coeffs'!$E$5*'Cost drivers'!D125)+('Model coeffs'!$E$7*'Cost drivers'!G125)+('Model coeffs'!$E$8*'Cost drivers'!I125)+('Model coeffs'!$E$9*'Cost drivers'!J125))</f>
        <v>29.732380325588657</v>
      </c>
      <c r="F125" s="99">
        <f>EXP('Model coeffs'!$F$12+('Model coeffs'!$F$8*'Cost drivers'!I125)+('Model coeffs'!$F$9*'Cost drivers'!J125)+('Model coeffs'!$F$10*'Cost drivers'!E125)+('Model coeffs'!$F$11*'Cost drivers'!H125))</f>
        <v>38.173773231419887</v>
      </c>
      <c r="G125" s="99">
        <f>EXP('Model coeffs'!$G$12+('Model coeffs'!$G$5*'Cost drivers'!D125)+('Model coeffs'!$G$6*'Cost drivers'!F125)+('Model coeffs'!$G$8*'Cost drivers'!I125)+('Model coeffs'!$G$9*'Cost drivers'!J125)+('Model coeffs'!$G$11*'Cost drivers'!H125))</f>
        <v>65.875477316078843</v>
      </c>
      <c r="H125" s="100">
        <f>EXP('Model coeffs'!$H$12+('Model coeffs'!$H$5*'Cost drivers'!D125)+('Model coeffs'!$H$7*'Cost drivers'!G125)+('Model coeffs'!$H$8*'Cost drivers'!I125)+('Model coeffs'!$H$9*'Cost drivers'!J125)+('Model coeffs'!$H$11*'Cost drivers'!H125))</f>
        <v>65.692236972805688</v>
      </c>
      <c r="I125" s="83"/>
      <c r="J125" s="151">
        <f t="shared" si="6"/>
        <v>28.561318295526242</v>
      </c>
      <c r="K125" s="100">
        <f t="shared" si="7"/>
        <v>38.173773231419887</v>
      </c>
      <c r="L125" s="150">
        <f t="shared" si="8"/>
        <v>65.783857144442266</v>
      </c>
      <c r="M125" s="83"/>
      <c r="N125" s="151">
        <f t="shared" si="9"/>
        <v>66.735091526946121</v>
      </c>
      <c r="O125" s="99">
        <f t="shared" si="10"/>
        <v>65.783857144442266</v>
      </c>
      <c r="P125" s="100">
        <f t="shared" si="11"/>
        <v>66.259474335694193</v>
      </c>
    </row>
    <row r="126" spans="1:16" x14ac:dyDescent="0.3">
      <c r="A126" s="98" t="str">
        <f>'Actual costs'!A127</f>
        <v>SSC</v>
      </c>
      <c r="B126" s="64">
        <f>'Actual costs'!B127</f>
        <v>2016</v>
      </c>
      <c r="C126" s="64" t="str">
        <f>'Actual costs'!C127</f>
        <v>SSC16</v>
      </c>
      <c r="D126" s="99">
        <f>EXP('Model coeffs'!$D$12+('Model coeffs'!$D$5*'Cost drivers'!D126)+('Model coeffs'!$D$6*'Cost drivers'!F126)+('Model coeffs'!$D$8*'Cost drivers'!I126)+('Model coeffs'!$D$9*'Cost drivers'!J126))</f>
        <v>27.189759212900643</v>
      </c>
      <c r="E126" s="99">
        <f>EXP('Model coeffs'!$E$12+('Model coeffs'!$E$5*'Cost drivers'!D126)+('Model coeffs'!$E$7*'Cost drivers'!G126)+('Model coeffs'!$E$8*'Cost drivers'!I126)+('Model coeffs'!$E$9*'Cost drivers'!J126))</f>
        <v>29.722006584714478</v>
      </c>
      <c r="F126" s="99">
        <f>EXP('Model coeffs'!$F$12+('Model coeffs'!$F$8*'Cost drivers'!I126)+('Model coeffs'!$F$9*'Cost drivers'!J126)+('Model coeffs'!$F$10*'Cost drivers'!E126)+('Model coeffs'!$F$11*'Cost drivers'!H126))</f>
        <v>38.436124418982907</v>
      </c>
      <c r="G126" s="99">
        <f>EXP('Model coeffs'!$G$12+('Model coeffs'!$G$5*'Cost drivers'!D126)+('Model coeffs'!$G$6*'Cost drivers'!F126)+('Model coeffs'!$G$8*'Cost drivers'!I126)+('Model coeffs'!$G$9*'Cost drivers'!J126)+('Model coeffs'!$G$11*'Cost drivers'!H126))</f>
        <v>65.863054336587183</v>
      </c>
      <c r="H126" s="100">
        <f>EXP('Model coeffs'!$H$12+('Model coeffs'!$H$5*'Cost drivers'!D126)+('Model coeffs'!$H$7*'Cost drivers'!G126)+('Model coeffs'!$H$8*'Cost drivers'!I126)+('Model coeffs'!$H$9*'Cost drivers'!J126)+('Model coeffs'!$H$11*'Cost drivers'!H126))</f>
        <v>65.758118207332146</v>
      </c>
      <c r="I126" s="83"/>
      <c r="J126" s="151">
        <f t="shared" si="6"/>
        <v>28.455882898807559</v>
      </c>
      <c r="K126" s="100">
        <f t="shared" si="7"/>
        <v>38.436124418982907</v>
      </c>
      <c r="L126" s="150">
        <f t="shared" si="8"/>
        <v>65.810586271959664</v>
      </c>
      <c r="M126" s="83"/>
      <c r="N126" s="151">
        <f t="shared" si="9"/>
        <v>66.892007317790473</v>
      </c>
      <c r="O126" s="99">
        <f t="shared" si="10"/>
        <v>65.810586271959664</v>
      </c>
      <c r="P126" s="100">
        <f t="shared" si="11"/>
        <v>66.351296794875068</v>
      </c>
    </row>
    <row r="127" spans="1:16" x14ac:dyDescent="0.3">
      <c r="A127" s="98" t="str">
        <f>'Actual costs'!A128</f>
        <v>SSC</v>
      </c>
      <c r="B127" s="64">
        <f>'Actual costs'!B128</f>
        <v>2017</v>
      </c>
      <c r="C127" s="64" t="str">
        <f>'Actual costs'!C128</f>
        <v>SSC17</v>
      </c>
      <c r="D127" s="99">
        <f>EXP('Model coeffs'!$D$12+('Model coeffs'!$D$5*'Cost drivers'!D127)+('Model coeffs'!$D$6*'Cost drivers'!F127)+('Model coeffs'!$D$8*'Cost drivers'!I127)+('Model coeffs'!$D$9*'Cost drivers'!J127))</f>
        <v>28.563244305014258</v>
      </c>
      <c r="E127" s="99">
        <f>EXP('Model coeffs'!$E$12+('Model coeffs'!$E$5*'Cost drivers'!D127)+('Model coeffs'!$E$7*'Cost drivers'!G127)+('Model coeffs'!$E$8*'Cost drivers'!I127)+('Model coeffs'!$E$9*'Cost drivers'!J127))</f>
        <v>31.228238393613477</v>
      </c>
      <c r="F127" s="99">
        <f>EXP('Model coeffs'!$F$12+('Model coeffs'!$F$8*'Cost drivers'!I127)+('Model coeffs'!$F$9*'Cost drivers'!J127)+('Model coeffs'!$F$10*'Cost drivers'!E127)+('Model coeffs'!$F$11*'Cost drivers'!H127))</f>
        <v>38.772943980813302</v>
      </c>
      <c r="G127" s="99">
        <f>EXP('Model coeffs'!$G$12+('Model coeffs'!$G$5*'Cost drivers'!D127)+('Model coeffs'!$G$6*'Cost drivers'!F127)+('Model coeffs'!$G$8*'Cost drivers'!I127)+('Model coeffs'!$G$9*'Cost drivers'!J127)+('Model coeffs'!$G$11*'Cost drivers'!H127))</f>
        <v>67.328258608553568</v>
      </c>
      <c r="H127" s="100">
        <f>EXP('Model coeffs'!$H$12+('Model coeffs'!$H$5*'Cost drivers'!D127)+('Model coeffs'!$H$7*'Cost drivers'!G127)+('Model coeffs'!$H$8*'Cost drivers'!I127)+('Model coeffs'!$H$9*'Cost drivers'!J127)+('Model coeffs'!$H$11*'Cost drivers'!H127))</f>
        <v>68.566760699949285</v>
      </c>
      <c r="I127" s="83"/>
      <c r="J127" s="151">
        <f t="shared" si="6"/>
        <v>29.895741349313866</v>
      </c>
      <c r="K127" s="100">
        <f t="shared" si="7"/>
        <v>38.772943980813302</v>
      </c>
      <c r="L127" s="150">
        <f t="shared" si="8"/>
        <v>67.947509654251434</v>
      </c>
      <c r="M127" s="83"/>
      <c r="N127" s="151">
        <f t="shared" si="9"/>
        <v>68.668685330127175</v>
      </c>
      <c r="O127" s="99">
        <f t="shared" si="10"/>
        <v>67.947509654251434</v>
      </c>
      <c r="P127" s="100">
        <f t="shared" si="11"/>
        <v>68.308097492189304</v>
      </c>
    </row>
    <row r="128" spans="1:16" ht="13.5" thickBot="1" x14ac:dyDescent="0.35">
      <c r="A128" s="101" t="str">
        <f>'Actual costs'!A129</f>
        <v>SSC</v>
      </c>
      <c r="B128" s="102">
        <f>'Actual costs'!B129</f>
        <v>2018</v>
      </c>
      <c r="C128" s="102" t="str">
        <f>'Actual costs'!C129</f>
        <v>SSC18</v>
      </c>
      <c r="D128" s="103">
        <f>EXP('Model coeffs'!$D$12+('Model coeffs'!$D$5*'Cost drivers'!D128)+('Model coeffs'!$D$6*'Cost drivers'!F128)+('Model coeffs'!$D$8*'Cost drivers'!I128)+('Model coeffs'!$D$9*'Cost drivers'!J128))</f>
        <v>29.387575298315717</v>
      </c>
      <c r="E128" s="103">
        <f>EXP('Model coeffs'!$E$12+('Model coeffs'!$E$5*'Cost drivers'!D128)+('Model coeffs'!$E$7*'Cost drivers'!G128)+('Model coeffs'!$E$8*'Cost drivers'!I128)+('Model coeffs'!$E$9*'Cost drivers'!J128))</f>
        <v>33.615959611855068</v>
      </c>
      <c r="F128" s="103">
        <f>EXP('Model coeffs'!$F$12+('Model coeffs'!$F$8*'Cost drivers'!I128)+('Model coeffs'!$F$9*'Cost drivers'!J128)+('Model coeffs'!$F$10*'Cost drivers'!E128)+('Model coeffs'!$F$11*'Cost drivers'!H128))</f>
        <v>38.94353034329977</v>
      </c>
      <c r="G128" s="103">
        <f>EXP('Model coeffs'!$G$12+('Model coeffs'!$G$5*'Cost drivers'!D128)+('Model coeffs'!$G$6*'Cost drivers'!F128)+('Model coeffs'!$G$8*'Cost drivers'!I128)+('Model coeffs'!$G$9*'Cost drivers'!J128)+('Model coeffs'!$G$11*'Cost drivers'!H128))</f>
        <v>68.635153108217224</v>
      </c>
      <c r="H128" s="104">
        <f>EXP('Model coeffs'!$H$12+('Model coeffs'!$H$5*'Cost drivers'!D128)+('Model coeffs'!$H$7*'Cost drivers'!G128)+('Model coeffs'!$H$8*'Cost drivers'!I128)+('Model coeffs'!$H$9*'Cost drivers'!J128)+('Model coeffs'!$H$11*'Cost drivers'!H128))</f>
        <v>73.228692738943025</v>
      </c>
      <c r="I128" s="83"/>
      <c r="J128" s="152">
        <f t="shared" si="6"/>
        <v>31.501767455085393</v>
      </c>
      <c r="K128" s="104">
        <f t="shared" si="7"/>
        <v>38.94353034329977</v>
      </c>
      <c r="L128" s="150">
        <f t="shared" si="8"/>
        <v>70.931922923580117</v>
      </c>
      <c r="M128" s="83"/>
      <c r="N128" s="152">
        <f t="shared" si="9"/>
        <v>70.445297798385155</v>
      </c>
      <c r="O128" s="103">
        <f t="shared" si="10"/>
        <v>70.931922923580117</v>
      </c>
      <c r="P128" s="104">
        <f t="shared" si="11"/>
        <v>70.688610360982636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T85"/>
  <sheetViews>
    <sheetView showGridLines="0" zoomScale="80" zoomScaleNormal="80" workbookViewId="0"/>
  </sheetViews>
  <sheetFormatPr defaultColWidth="9" defaultRowHeight="13" x14ac:dyDescent="0.3"/>
  <cols>
    <col min="1" max="1" width="3" style="3" customWidth="1"/>
    <col min="2" max="2" width="12.6640625" style="3" customWidth="1"/>
    <col min="3" max="4" width="11.08203125" style="3" customWidth="1"/>
    <col min="5" max="5" width="14" style="3" customWidth="1"/>
    <col min="6" max="8" width="11.08203125" style="4" customWidth="1"/>
    <col min="9" max="9" width="12" style="4" customWidth="1"/>
    <col min="10" max="18" width="11.08203125" style="4" customWidth="1"/>
    <col min="19" max="19" width="13.08203125" style="4" customWidth="1"/>
    <col min="20" max="20" width="14.58203125" style="4" customWidth="1"/>
    <col min="21" max="21" width="12.58203125" style="3" customWidth="1"/>
    <col min="22" max="22" width="8.58203125" style="3" customWidth="1"/>
    <col min="23" max="29" width="9.08203125" style="3" customWidth="1"/>
    <col min="30" max="30" width="9" style="3"/>
    <col min="31" max="43" width="8.08203125" style="3" customWidth="1"/>
    <col min="44" max="16384" width="9" style="3"/>
  </cols>
  <sheetData>
    <row r="1" spans="1:46" ht="21" x14ac:dyDescent="0.3">
      <c r="A1" s="2" t="s">
        <v>119</v>
      </c>
      <c r="L1" s="6"/>
      <c r="M1" s="6"/>
      <c r="N1" s="6"/>
    </row>
    <row r="2" spans="1:46" ht="15.5" x14ac:dyDescent="0.3">
      <c r="A2" s="7" t="s">
        <v>96</v>
      </c>
      <c r="L2" s="6"/>
      <c r="M2" s="6"/>
      <c r="N2" s="6"/>
    </row>
    <row r="3" spans="1:46" ht="14.5" x14ac:dyDescent="0.3">
      <c r="A3" s="8"/>
      <c r="L3" s="6"/>
      <c r="M3" s="6"/>
      <c r="N3" s="6"/>
    </row>
    <row r="4" spans="1:46" s="9" customFormat="1" ht="18.5" x14ac:dyDescent="0.3">
      <c r="B4" s="10" t="s">
        <v>147</v>
      </c>
      <c r="C4" s="10"/>
      <c r="D4" s="10"/>
      <c r="E4" s="10"/>
      <c r="W4" s="11"/>
      <c r="AF4" s="12"/>
    </row>
    <row r="5" spans="1:46" s="5" customFormat="1" ht="15" thickBot="1" x14ac:dyDescent="0.35">
      <c r="A5" s="13"/>
      <c r="F5" s="6"/>
      <c r="G5" s="6"/>
      <c r="H5" s="6"/>
      <c r="I5" s="6"/>
      <c r="J5" s="6"/>
      <c r="K5" s="6"/>
      <c r="L5" s="6"/>
      <c r="M5" s="6"/>
      <c r="N5" s="6"/>
      <c r="O5" s="6"/>
      <c r="P5" s="6"/>
      <c r="Q5" s="6"/>
      <c r="R5" s="6"/>
      <c r="S5" s="6"/>
      <c r="T5" s="6"/>
    </row>
    <row r="6" spans="1:46" s="5" customFormat="1" ht="15" thickBot="1" x14ac:dyDescent="0.35">
      <c r="A6" s="13"/>
      <c r="B6" s="14" t="s">
        <v>148</v>
      </c>
      <c r="C6" s="15"/>
      <c r="D6" s="15"/>
      <c r="E6" s="105">
        <f>C11</f>
        <v>0.95210806052764874</v>
      </c>
      <c r="F6" s="6"/>
      <c r="G6" s="6"/>
      <c r="H6" s="6"/>
      <c r="I6" s="6"/>
      <c r="J6" s="15"/>
      <c r="K6" s="15"/>
      <c r="L6" s="6"/>
      <c r="M6" s="6"/>
      <c r="N6" s="6"/>
      <c r="O6" s="6"/>
      <c r="P6" s="6"/>
      <c r="Q6" s="6"/>
      <c r="R6" s="6"/>
      <c r="S6" s="6"/>
      <c r="T6" s="6"/>
    </row>
    <row r="7" spans="1:46" s="5" customFormat="1" ht="14.5" x14ac:dyDescent="0.3">
      <c r="A7" s="13"/>
      <c r="F7" s="6"/>
      <c r="G7" s="6"/>
      <c r="H7" s="6"/>
      <c r="I7" s="6"/>
      <c r="J7" s="6"/>
      <c r="K7" s="6"/>
      <c r="L7" s="6"/>
      <c r="M7" s="6"/>
      <c r="N7" s="6"/>
      <c r="O7" s="6"/>
      <c r="P7" s="6"/>
      <c r="Q7" s="6"/>
      <c r="R7" s="6"/>
      <c r="S7" s="6"/>
      <c r="T7" s="6"/>
    </row>
    <row r="8" spans="1:46" s="5" customFormat="1" ht="67.400000000000006" customHeight="1" x14ac:dyDescent="0.3">
      <c r="A8" s="13"/>
      <c r="B8" s="16" t="s">
        <v>28</v>
      </c>
      <c r="C8" s="16" t="s">
        <v>107</v>
      </c>
      <c r="D8" s="74" t="s">
        <v>29</v>
      </c>
      <c r="E8" s="75"/>
      <c r="G8" s="97" t="s">
        <v>149</v>
      </c>
      <c r="H8" s="80"/>
      <c r="I8" s="80"/>
      <c r="J8" s="81">
        <v>5</v>
      </c>
    </row>
    <row r="9" spans="1:46" s="5" customFormat="1" ht="14.5" x14ac:dyDescent="0.3">
      <c r="A9" s="13"/>
      <c r="B9" s="17">
        <v>0.5</v>
      </c>
      <c r="C9" s="18">
        <f>PERCENTILE($H$42:$H$58,(1-B9))</f>
        <v>0.99386923914287417</v>
      </c>
      <c r="D9" s="58" t="s">
        <v>30</v>
      </c>
      <c r="E9" s="59"/>
      <c r="G9" s="82"/>
      <c r="H9" s="83"/>
      <c r="I9" s="83"/>
      <c r="J9" s="84"/>
    </row>
    <row r="10" spans="1:46" s="5" customFormat="1" ht="14.5" x14ac:dyDescent="0.3">
      <c r="A10" s="13"/>
      <c r="B10" s="17">
        <v>0.66666666666666663</v>
      </c>
      <c r="C10" s="18">
        <f>PERCENTILE($H$42:$H$58,(1-B10))</f>
        <v>0.96722744777353153</v>
      </c>
      <c r="D10" s="58" t="s">
        <v>31</v>
      </c>
      <c r="E10" s="59"/>
      <c r="G10" s="85" t="s">
        <v>108</v>
      </c>
      <c r="H10" s="85" t="s">
        <v>109</v>
      </c>
      <c r="I10" s="83"/>
      <c r="J10" s="84"/>
    </row>
    <row r="11" spans="1:46" s="5" customFormat="1" ht="14.5" x14ac:dyDescent="0.3">
      <c r="A11" s="13"/>
      <c r="B11" s="19">
        <v>0.75</v>
      </c>
      <c r="C11" s="20">
        <f>PERCENTILE($H$42:$H$58,(1-B11))</f>
        <v>0.95210806052764874</v>
      </c>
      <c r="D11" s="60" t="s">
        <v>32</v>
      </c>
      <c r="E11" s="61"/>
      <c r="G11" s="85">
        <f>2019-J8</f>
        <v>2014</v>
      </c>
      <c r="H11" s="85">
        <v>2018</v>
      </c>
      <c r="I11" s="83"/>
      <c r="J11" s="84"/>
    </row>
    <row r="12" spans="1:46" s="5" customFormat="1" ht="14.5" x14ac:dyDescent="0.3">
      <c r="A12" s="13"/>
      <c r="B12" s="17">
        <v>1</v>
      </c>
      <c r="C12" s="18">
        <f>PERCENTILE($H$42:$H$58,(1-B12))</f>
        <v>0.82417059798987946</v>
      </c>
      <c r="D12" s="58" t="s">
        <v>33</v>
      </c>
      <c r="E12" s="59"/>
      <c r="G12" s="86"/>
      <c r="H12" s="87"/>
      <c r="I12" s="87"/>
      <c r="J12" s="88"/>
    </row>
    <row r="13" spans="1:46" s="5" customFormat="1" ht="14.5" x14ac:dyDescent="0.3">
      <c r="A13" s="13"/>
      <c r="B13" s="21"/>
      <c r="C13" s="21"/>
      <c r="D13" s="21"/>
      <c r="E13" s="21"/>
      <c r="F13" s="21"/>
      <c r="G13" s="6"/>
      <c r="H13" s="6"/>
      <c r="I13" s="6"/>
      <c r="J13" s="6"/>
      <c r="K13" s="6"/>
      <c r="L13" s="6"/>
      <c r="M13" s="6"/>
      <c r="N13" s="6"/>
      <c r="O13" s="6"/>
      <c r="P13" s="6"/>
      <c r="Q13" s="6"/>
      <c r="R13" s="6"/>
      <c r="S13" s="6"/>
      <c r="T13" s="6"/>
    </row>
    <row r="14" spans="1:46" s="9" customFormat="1" ht="18.5" x14ac:dyDescent="0.3">
      <c r="B14" s="10" t="s">
        <v>110</v>
      </c>
      <c r="E14" s="10" t="str">
        <f>J8&amp;" years"</f>
        <v>5 years</v>
      </c>
      <c r="W14" s="10"/>
      <c r="AF14" s="12"/>
    </row>
    <row r="15" spans="1:46" s="21" customFormat="1" ht="14.5" x14ac:dyDescent="0.35">
      <c r="B15" s="22"/>
      <c r="C15" s="22"/>
      <c r="D15" s="22"/>
      <c r="E15" s="22"/>
      <c r="W15" s="23"/>
      <c r="AF15" s="24"/>
      <c r="AT15" s="25"/>
    </row>
    <row r="16" spans="1:46" s="21" customFormat="1" ht="14.25" customHeight="1" x14ac:dyDescent="0.3">
      <c r="B16" s="163" t="s">
        <v>21</v>
      </c>
      <c r="C16" s="26" t="s">
        <v>19</v>
      </c>
      <c r="D16" s="27"/>
      <c r="E16" s="27"/>
      <c r="F16" s="27"/>
      <c r="G16" s="27"/>
      <c r="H16" s="26" t="s">
        <v>70</v>
      </c>
      <c r="I16" s="26"/>
      <c r="J16" s="164" t="s">
        <v>22</v>
      </c>
      <c r="K16" s="164"/>
      <c r="L16" s="164"/>
      <c r="M16" s="164"/>
      <c r="N16" s="164"/>
      <c r="O16" s="165" t="s">
        <v>111</v>
      </c>
      <c r="P16" s="165"/>
      <c r="Q16" s="165"/>
      <c r="R16" s="165"/>
      <c r="S16" s="165"/>
      <c r="T16" s="165" t="s">
        <v>112</v>
      </c>
      <c r="U16" s="165"/>
      <c r="W16" s="3"/>
      <c r="Y16" s="4"/>
      <c r="Z16" s="4"/>
      <c r="AA16" s="4"/>
      <c r="AB16" s="4"/>
      <c r="AC16" s="4"/>
      <c r="AD16" s="4"/>
      <c r="AF16" s="3"/>
      <c r="AG16" s="3"/>
      <c r="AH16" s="4"/>
      <c r="AI16" s="4"/>
      <c r="AJ16" s="4"/>
      <c r="AK16" s="4"/>
      <c r="AL16" s="4"/>
      <c r="AM16" s="4"/>
      <c r="AN16" s="4"/>
      <c r="AO16" s="4"/>
      <c r="AP16" s="3"/>
      <c r="AQ16" s="3"/>
      <c r="AR16" s="3"/>
    </row>
    <row r="17" spans="2:44" s="21" customFormat="1" ht="44.9" customHeight="1" x14ac:dyDescent="0.3">
      <c r="B17" s="163"/>
      <c r="C17" s="28" t="s">
        <v>91</v>
      </c>
      <c r="D17" s="28" t="s">
        <v>92</v>
      </c>
      <c r="E17" s="28" t="s">
        <v>93</v>
      </c>
      <c r="F17" s="28" t="s">
        <v>94</v>
      </c>
      <c r="G17" s="28" t="s">
        <v>95</v>
      </c>
      <c r="H17" s="29" t="s">
        <v>68</v>
      </c>
      <c r="I17" s="29" t="s">
        <v>69</v>
      </c>
      <c r="J17" s="167" t="s">
        <v>62</v>
      </c>
      <c r="K17" s="168"/>
      <c r="L17" s="77" t="s">
        <v>63</v>
      </c>
      <c r="M17" s="167" t="s">
        <v>113</v>
      </c>
      <c r="N17" s="168"/>
      <c r="O17" s="165"/>
      <c r="P17" s="165"/>
      <c r="Q17" s="165"/>
      <c r="R17" s="165"/>
      <c r="S17" s="166"/>
      <c r="T17" s="165"/>
      <c r="U17" s="165"/>
      <c r="AR17" s="3"/>
    </row>
    <row r="18" spans="2:44" ht="61.4" customHeight="1" x14ac:dyDescent="0.3">
      <c r="B18" s="163"/>
      <c r="C18" s="28" t="s">
        <v>54</v>
      </c>
      <c r="D18" s="28" t="s">
        <v>40</v>
      </c>
      <c r="E18" s="28" t="s">
        <v>55</v>
      </c>
      <c r="F18" s="28" t="s">
        <v>39</v>
      </c>
      <c r="G18" s="28" t="s">
        <v>41</v>
      </c>
      <c r="H18" s="33" t="s">
        <v>54</v>
      </c>
      <c r="I18" s="33" t="s">
        <v>55</v>
      </c>
      <c r="J18" s="34" t="s">
        <v>43</v>
      </c>
      <c r="K18" s="34" t="s">
        <v>44</v>
      </c>
      <c r="L18" s="34" t="s">
        <v>48</v>
      </c>
      <c r="M18" s="34" t="s">
        <v>49</v>
      </c>
      <c r="N18" s="34" t="s">
        <v>50</v>
      </c>
      <c r="O18" s="35" t="s">
        <v>62</v>
      </c>
      <c r="P18" s="35" t="s">
        <v>63</v>
      </c>
      <c r="Q18" s="35" t="s">
        <v>104</v>
      </c>
      <c r="R18" s="36" t="s">
        <v>114</v>
      </c>
      <c r="S18" s="78" t="s">
        <v>115</v>
      </c>
      <c r="T18" s="78" t="s">
        <v>54</v>
      </c>
      <c r="U18" s="78" t="s">
        <v>55</v>
      </c>
      <c r="AR18" s="32"/>
    </row>
    <row r="19" spans="2:44" ht="14.5" x14ac:dyDescent="0.3">
      <c r="B19" s="76"/>
      <c r="C19" s="89"/>
      <c r="D19" s="89"/>
      <c r="E19" s="89"/>
      <c r="F19" s="89"/>
      <c r="G19" s="89"/>
      <c r="H19" s="90"/>
      <c r="I19" s="90"/>
      <c r="J19" s="91">
        <f>INDEX(Controls!$C$5:$C$9,MATCH(J$18,Controls!$B$5:$B$9,0),1)</f>
        <v>0.5</v>
      </c>
      <c r="K19" s="91">
        <f>INDEX(Controls!$C$5:$C$9,MATCH(K$18,Controls!$B$5:$B$9,0),1)</f>
        <v>0.5</v>
      </c>
      <c r="L19" s="91">
        <f>INDEX(Controls!$C$5:$C$9,MATCH(L$18,Controls!$B$5:$B$9,0),1)</f>
        <v>1</v>
      </c>
      <c r="M19" s="91">
        <f>INDEX(Controls!$C$5:$C$9,MATCH(M$18,Controls!$B$5:$B$9,0),1)</f>
        <v>0.5</v>
      </c>
      <c r="N19" s="91">
        <f>INDEX(Controls!$C$5:$C$9,MATCH(N$18,Controls!$B$5:$B$9,0),1)</f>
        <v>0.5</v>
      </c>
      <c r="O19" s="35"/>
      <c r="P19" s="35"/>
      <c r="Q19" s="91">
        <f>INDEX(Controls!$C$11:$C$12,MATCH(Q$18,Controls!$B$11:$B$12,0),1)</f>
        <v>0.5</v>
      </c>
      <c r="R19" s="92">
        <v>0.5</v>
      </c>
      <c r="S19" s="78"/>
      <c r="T19" s="78"/>
      <c r="U19" s="78"/>
      <c r="AR19" s="32"/>
    </row>
    <row r="20" spans="2:44" ht="16.5" customHeight="1" x14ac:dyDescent="0.3">
      <c r="B20" s="38" t="s">
        <v>2</v>
      </c>
      <c r="C20" s="93">
        <f>SUMIFS('Actual costs'!D$6:D$129,'Actual costs'!$A$6:$A$129,$B20,'Actual costs'!$B$6:$B$129,"&gt;="&amp;$G$11)</f>
        <v>137.76135272509066</v>
      </c>
      <c r="D20" s="93">
        <f>SUMIFS('Actual costs'!E$6:E$129,'Actual costs'!$A$6:$A$129,$B20,'Actual costs'!$B$6:$B$129,"&gt;="&amp;$G$11)</f>
        <v>651.22107376135284</v>
      </c>
      <c r="E20" s="93">
        <f>SUMIFS('Actual costs'!F$6:F$129,'Actual costs'!$A$6:$A$129,$B20,'Actual costs'!$B$6:$B$129,"&gt;="&amp;$G$11)</f>
        <v>1031.0640321762455</v>
      </c>
      <c r="F20" s="93">
        <f>SUMIFS('Actual costs'!G$6:G$129,'Actual costs'!$A$6:$A$129,$B20,'Actual costs'!$B$6:$B$129,"&gt;="&amp;$G$11)</f>
        <v>517.60431113998322</v>
      </c>
      <c r="G20" s="93">
        <f>SUMIFS('Actual costs'!H$6:H$129,'Actual costs'!$A$6:$A$129,$B20,'Actual costs'!$B$6:$B$129,"&gt;="&amp;$G$11)</f>
        <v>1168.8253849013361</v>
      </c>
      <c r="H20" s="39">
        <f>C20/G20</f>
        <v>0.11786307390707423</v>
      </c>
      <c r="I20" s="39">
        <f>E20/G20</f>
        <v>0.88213692609292582</v>
      </c>
      <c r="J20" s="93">
        <f>SUMIFS('Modelled costs'!D$5:D$128,'Modelled costs'!$A$5:$A$128,$B20,'Modelled costs'!$B$5:$B$128,"&gt;="&amp;$G$11)</f>
        <v>588.98500652915209</v>
      </c>
      <c r="K20" s="93">
        <f>SUMIFS('Modelled costs'!E$5:E$128,'Modelled costs'!$A$5:$A$128,$B20,'Modelled costs'!$B$5:$B$128,"&gt;="&amp;$G$11)</f>
        <v>636.789284970484</v>
      </c>
      <c r="L20" s="93">
        <f>SUMIFS('Modelled costs'!F$5:F$128,'Modelled costs'!$A$5:$A$128,$B20,'Modelled costs'!$B$5:$B$128,"&gt;="&amp;$G$11)</f>
        <v>625.80834515634081</v>
      </c>
      <c r="M20" s="93">
        <f>SUMIFS('Modelled costs'!G$5:G$128,'Modelled costs'!$A$5:$A$128,$B20,'Modelled costs'!$B$5:$B$128,"&gt;="&amp;$G$11)</f>
        <v>1091.027352960785</v>
      </c>
      <c r="N20" s="93">
        <f>SUMIFS('Modelled costs'!H$5:H$128,'Modelled costs'!$A$5:$A$128,$B20,'Modelled costs'!$B$5:$B$128,"&gt;="&amp;$G$11)</f>
        <v>1135.723171444944</v>
      </c>
      <c r="O20" s="119">
        <f>J20*J$19+K20*K$19</f>
        <v>612.88714574981805</v>
      </c>
      <c r="P20" s="119">
        <f>$L$19*L20</f>
        <v>625.80834515634081</v>
      </c>
      <c r="Q20" s="119">
        <f>$M$19*M20+$N$19*N20</f>
        <v>1113.3752622028646</v>
      </c>
      <c r="R20" s="94">
        <f>SUM(O20:P20)</f>
        <v>1238.6954909061587</v>
      </c>
      <c r="S20" s="95">
        <f>$Q$19*Q20+$R$19*R20</f>
        <v>1176.0353765545117</v>
      </c>
      <c r="T20" s="95">
        <f t="shared" ref="T20:T36" si="0">S20*H20</f>
        <v>138.6111445041783</v>
      </c>
      <c r="U20" s="95">
        <f t="shared" ref="U20:U36" si="1">S20*I20</f>
        <v>1037.4242320503336</v>
      </c>
    </row>
    <row r="21" spans="2:44" ht="15.75" customHeight="1" x14ac:dyDescent="0.3">
      <c r="B21" s="42" t="s">
        <v>3</v>
      </c>
      <c r="C21" s="93">
        <f>SUMIFS('Actual costs'!D$6:D$129,'Actual costs'!$A$6:$A$129,$B21,'Actual costs'!$B$6:$B$129,"&gt;="&amp;$G$11)</f>
        <v>148.02052244595973</v>
      </c>
      <c r="D21" s="93">
        <f>SUMIFS('Actual costs'!E$6:E$129,'Actual costs'!$A$6:$A$129,$B21,'Actual costs'!$B$6:$B$129,"&gt;="&amp;$G$11)</f>
        <v>573.14719210174758</v>
      </c>
      <c r="E21" s="93">
        <f>SUMIFS('Actual costs'!F$6:F$129,'Actual costs'!$A$6:$A$129,$B21,'Actual costs'!$B$6:$B$129,"&gt;="&amp;$G$11)</f>
        <v>917.86041237331244</v>
      </c>
      <c r="F21" s="93">
        <f>SUMIFS('Actual costs'!G$6:G$129,'Actual costs'!$A$6:$A$129,$B21,'Actual costs'!$B$6:$B$129,"&gt;="&amp;$G$11)</f>
        <v>492.73374271752465</v>
      </c>
      <c r="G21" s="93">
        <f>SUMIFS('Actual costs'!H$6:H$129,'Actual costs'!$A$6:$A$129,$B21,'Actual costs'!$B$6:$B$129,"&gt;="&amp;$G$11)</f>
        <v>1065.8809348192722</v>
      </c>
      <c r="H21" s="39">
        <f t="shared" ref="H21:H24" si="2">C21/G21</f>
        <v>0.13887153584472142</v>
      </c>
      <c r="I21" s="39">
        <f t="shared" ref="I21:I24" si="3">E21/G21</f>
        <v>0.86112846415527855</v>
      </c>
      <c r="J21" s="93">
        <f>SUMIFS('Modelled costs'!D$5:D$128,'Modelled costs'!$A$5:$A$128,$B21,'Modelled costs'!$B$5:$B$128,"&gt;="&amp;$G$11)</f>
        <v>515.26321591885585</v>
      </c>
      <c r="K21" s="93">
        <f>SUMIFS('Modelled costs'!E$5:E$128,'Modelled costs'!$A$5:$A$128,$B21,'Modelled costs'!$B$5:$B$128,"&gt;="&amp;$G$11)</f>
        <v>506.06940848375234</v>
      </c>
      <c r="L21" s="93">
        <f>SUMIFS('Modelled costs'!F$5:F$128,'Modelled costs'!$A$5:$A$128,$B21,'Modelled costs'!$B$5:$B$128,"&gt;="&amp;$G$11)</f>
        <v>557.87473746010562</v>
      </c>
      <c r="M21" s="93">
        <f>SUMIFS('Modelled costs'!G$5:G$128,'Modelled costs'!$A$5:$A$128,$B21,'Modelled costs'!$B$5:$B$128,"&gt;="&amp;$G$11)</f>
        <v>1094.3750536394309</v>
      </c>
      <c r="N21" s="93">
        <f>SUMIFS('Modelled costs'!H$5:H$128,'Modelled costs'!$A$5:$A$128,$B21,'Modelled costs'!$B$5:$B$128,"&gt;="&amp;$G$11)</f>
        <v>1105.5494205732323</v>
      </c>
      <c r="O21" s="93">
        <f t="shared" ref="O21:O36" si="4">J21*J$19+K21*K$19</f>
        <v>510.66631220130409</v>
      </c>
      <c r="P21" s="93">
        <f t="shared" ref="P21:P36" si="5">$L$19*L21</f>
        <v>557.87473746010562</v>
      </c>
      <c r="Q21" s="93">
        <f t="shared" ref="Q21:Q36" si="6">$M$19*M21+$N$19*N21</f>
        <v>1099.9622371063315</v>
      </c>
      <c r="R21" s="94">
        <f t="shared" ref="R21:R36" si="7">SUM(O21:P21)</f>
        <v>1068.5410496614097</v>
      </c>
      <c r="S21" s="95">
        <f t="shared" ref="S21:S36" si="8">$Q$19*Q21+$R$19*R21</f>
        <v>1084.2516433838705</v>
      </c>
      <c r="T21" s="95">
        <f t="shared" si="0"/>
        <v>150.57169095888128</v>
      </c>
      <c r="U21" s="95">
        <f t="shared" si="1"/>
        <v>933.67995242498921</v>
      </c>
    </row>
    <row r="22" spans="2:44" ht="14.5" x14ac:dyDescent="0.3">
      <c r="B22" s="42" t="s">
        <v>4</v>
      </c>
      <c r="C22" s="93">
        <f>SUMIFS('Actual costs'!D$6:D$129,'Actual costs'!$A$6:$A$129,$B22,'Actual costs'!$B$6:$B$129,"&gt;="&amp;$G$11)</f>
        <v>129.86059805256792</v>
      </c>
      <c r="D22" s="93">
        <f>SUMIFS('Actual costs'!E$6:E$129,'Actual costs'!$A$6:$A$129,$B22,'Actual costs'!$B$6:$B$129,"&gt;="&amp;$G$11)</f>
        <v>903.34277033220042</v>
      </c>
      <c r="E22" s="93">
        <f>SUMIFS('Actual costs'!F$6:F$129,'Actual costs'!$A$6:$A$129,$B22,'Actual costs'!$B$6:$B$129,"&gt;="&amp;$G$11)</f>
        <v>1779.88201892506</v>
      </c>
      <c r="F22" s="93">
        <f>SUMIFS('Actual costs'!G$6:G$129,'Actual costs'!$A$6:$A$129,$B22,'Actual costs'!$B$6:$B$129,"&gt;="&amp;$G$11)</f>
        <v>1006.3998466454277</v>
      </c>
      <c r="G22" s="93">
        <f>SUMIFS('Actual costs'!H$6:H$129,'Actual costs'!$A$6:$A$129,$B22,'Actual costs'!$B$6:$B$129,"&gt;="&amp;$G$11)</f>
        <v>1909.7426169776281</v>
      </c>
      <c r="H22" s="39">
        <f t="shared" si="2"/>
        <v>6.7999005152896572E-2</v>
      </c>
      <c r="I22" s="39">
        <f t="shared" si="3"/>
        <v>0.9320009948471033</v>
      </c>
      <c r="J22" s="93">
        <f>SUMIFS('Modelled costs'!D$5:D$128,'Modelled costs'!$A$5:$A$128,$B22,'Modelled costs'!$B$5:$B$128,"&gt;="&amp;$G$11)</f>
        <v>789.58846404468989</v>
      </c>
      <c r="K22" s="93">
        <f>SUMIFS('Modelled costs'!E$5:E$128,'Modelled costs'!$A$5:$A$128,$B22,'Modelled costs'!$B$5:$B$128,"&gt;="&amp;$G$11)</f>
        <v>789.22096448987054</v>
      </c>
      <c r="L22" s="93">
        <f>SUMIFS('Modelled costs'!F$5:F$128,'Modelled costs'!$A$5:$A$128,$B22,'Modelled costs'!$B$5:$B$128,"&gt;="&amp;$G$11)</f>
        <v>983.93036735541853</v>
      </c>
      <c r="M22" s="93">
        <f>SUMIFS('Modelled costs'!G$5:G$128,'Modelled costs'!$A$5:$A$128,$B22,'Modelled costs'!$B$5:$B$128,"&gt;="&amp;$G$11)</f>
        <v>1804.587748610712</v>
      </c>
      <c r="N22" s="93">
        <f>SUMIFS('Modelled costs'!H$5:H$128,'Modelled costs'!$A$5:$A$128,$B22,'Modelled costs'!$B$5:$B$128,"&gt;="&amp;$G$11)</f>
        <v>1799.533448200943</v>
      </c>
      <c r="O22" s="93">
        <f t="shared" si="4"/>
        <v>789.40471426728027</v>
      </c>
      <c r="P22" s="93">
        <f t="shared" si="5"/>
        <v>983.93036735541853</v>
      </c>
      <c r="Q22" s="93">
        <f t="shared" si="6"/>
        <v>1802.0605984058275</v>
      </c>
      <c r="R22" s="94">
        <f t="shared" si="7"/>
        <v>1773.3350816226989</v>
      </c>
      <c r="S22" s="95">
        <f t="shared" si="8"/>
        <v>1787.6978400142632</v>
      </c>
      <c r="T22" s="95">
        <f t="shared" si="0"/>
        <v>121.56167463495196</v>
      </c>
      <c r="U22" s="95">
        <f t="shared" si="1"/>
        <v>1666.136165379311</v>
      </c>
    </row>
    <row r="23" spans="2:44" ht="14.5" x14ac:dyDescent="0.3">
      <c r="B23" s="42" t="s">
        <v>5</v>
      </c>
      <c r="C23" s="93">
        <f>SUMIFS('Actual costs'!D$6:D$129,'Actual costs'!$A$6:$A$129,$B23,'Actual costs'!$B$6:$B$129,"&gt;="&amp;$G$11)</f>
        <v>41.966466274732099</v>
      </c>
      <c r="D23" s="93">
        <f>SUMIFS('Actual costs'!E$6:E$129,'Actual costs'!$A$6:$A$129,$B23,'Actual costs'!$B$6:$B$129,"&gt;="&amp;$G$11)</f>
        <v>285.08087843454814</v>
      </c>
      <c r="E23" s="93">
        <f>SUMIFS('Actual costs'!F$6:F$129,'Actual costs'!$A$6:$A$129,$B23,'Actual costs'!$B$6:$B$129,"&gt;="&amp;$G$11)</f>
        <v>529.63444271395815</v>
      </c>
      <c r="F23" s="93">
        <f>SUMIFS('Actual costs'!G$6:G$129,'Actual costs'!$A$6:$A$129,$B23,'Actual costs'!$B$6:$B$129,"&gt;="&amp;$G$11)</f>
        <v>286.52003055414218</v>
      </c>
      <c r="G23" s="93">
        <f>SUMIFS('Actual costs'!H$6:H$129,'Actual costs'!$A$6:$A$129,$B23,'Actual costs'!$B$6:$B$129,"&gt;="&amp;$G$11)</f>
        <v>571.60090898869032</v>
      </c>
      <c r="H23" s="39">
        <f t="shared" si="2"/>
        <v>7.3419173438652535E-2</v>
      </c>
      <c r="I23" s="39">
        <f t="shared" si="3"/>
        <v>0.92658082656134733</v>
      </c>
      <c r="J23" s="93">
        <f>SUMIFS('Modelled costs'!D$5:D$128,'Modelled costs'!$A$5:$A$128,$B23,'Modelled costs'!$B$5:$B$128,"&gt;="&amp;$G$11)</f>
        <v>250.99989778432976</v>
      </c>
      <c r="K23" s="93">
        <f>SUMIFS('Modelled costs'!E$5:E$128,'Modelled costs'!$A$5:$A$128,$B23,'Modelled costs'!$B$5:$B$128,"&gt;="&amp;$G$11)</f>
        <v>250.493580035181</v>
      </c>
      <c r="L23" s="93">
        <f>SUMIFS('Modelled costs'!F$5:F$128,'Modelled costs'!$A$5:$A$128,$B23,'Modelled costs'!$B$5:$B$128,"&gt;="&amp;$G$11)</f>
        <v>328.84967979376336</v>
      </c>
      <c r="M23" s="93">
        <f>SUMIFS('Modelled costs'!G$5:G$128,'Modelled costs'!$A$5:$A$128,$B23,'Modelled costs'!$B$5:$B$128,"&gt;="&amp;$G$11)</f>
        <v>611.06564582508065</v>
      </c>
      <c r="N23" s="93">
        <f>SUMIFS('Modelled costs'!H$5:H$128,'Modelled costs'!$A$5:$A$128,$B23,'Modelled costs'!$B$5:$B$128,"&gt;="&amp;$G$11)</f>
        <v>605.92518683430797</v>
      </c>
      <c r="O23" s="93">
        <f t="shared" si="4"/>
        <v>250.74673890975538</v>
      </c>
      <c r="P23" s="93">
        <f t="shared" si="5"/>
        <v>328.84967979376336</v>
      </c>
      <c r="Q23" s="93">
        <f t="shared" si="6"/>
        <v>608.49541632969431</v>
      </c>
      <c r="R23" s="94">
        <f t="shared" si="7"/>
        <v>579.59641870351879</v>
      </c>
      <c r="S23" s="95">
        <f t="shared" si="8"/>
        <v>594.04591751660655</v>
      </c>
      <c r="T23" s="95">
        <f t="shared" si="0"/>
        <v>43.614360248675212</v>
      </c>
      <c r="U23" s="95">
        <f t="shared" si="1"/>
        <v>550.43155726793123</v>
      </c>
    </row>
    <row r="24" spans="2:44" ht="14.5" x14ac:dyDescent="0.3">
      <c r="B24" s="42" t="s">
        <v>6</v>
      </c>
      <c r="C24" s="93">
        <f>SUMIFS('Actual costs'!D$6:D$129,'Actual costs'!$A$6:$A$129,$B24,'Actual costs'!$B$6:$B$129,"&gt;="&amp;$G$11)</f>
        <v>184.9690010168901</v>
      </c>
      <c r="D24" s="93">
        <f>SUMIFS('Actual costs'!E$6:E$129,'Actual costs'!$A$6:$A$129,$B24,'Actual costs'!$B$6:$B$129,"&gt;="&amp;$G$11)</f>
        <v>1200.6638896210334</v>
      </c>
      <c r="E24" s="93">
        <f>SUMIFS('Actual costs'!F$6:F$129,'Actual costs'!$A$6:$A$129,$B24,'Actual costs'!$B$6:$B$129,"&gt;="&amp;$G$11)</f>
        <v>1967.5760541385425</v>
      </c>
      <c r="F24" s="93">
        <f>SUMIFS('Actual costs'!G$6:G$129,'Actual costs'!$A$6:$A$129,$B24,'Actual costs'!$B$6:$B$129,"&gt;="&amp;$G$11)</f>
        <v>951.8811655343992</v>
      </c>
      <c r="G24" s="93">
        <f>SUMIFS('Actual costs'!H$6:H$129,'Actual costs'!$A$6:$A$129,$B24,'Actual costs'!$B$6:$B$129,"&gt;="&amp;$G$11)</f>
        <v>2152.5450551554327</v>
      </c>
      <c r="H24" s="39">
        <f t="shared" si="2"/>
        <v>8.5930373709893718E-2</v>
      </c>
      <c r="I24" s="39">
        <f t="shared" si="3"/>
        <v>0.91406962629010624</v>
      </c>
      <c r="J24" s="93">
        <f>SUMIFS('Modelled costs'!D$5:D$128,'Modelled costs'!$A$5:$A$128,$B24,'Modelled costs'!$B$5:$B$128,"&gt;="&amp;$G$11)</f>
        <v>824.95415510934913</v>
      </c>
      <c r="K24" s="93">
        <f>SUMIFS('Modelled costs'!E$5:E$128,'Modelled costs'!$A$5:$A$128,$B24,'Modelled costs'!$B$5:$B$128,"&gt;="&amp;$G$11)</f>
        <v>812.73742190817768</v>
      </c>
      <c r="L24" s="93">
        <f>SUMIFS('Modelled costs'!F$5:F$128,'Modelled costs'!$A$5:$A$128,$B24,'Modelled costs'!$B$5:$B$128,"&gt;="&amp;$G$11)</f>
        <v>1253.4383698376159</v>
      </c>
      <c r="M24" s="93">
        <f>SUMIFS('Modelled costs'!G$5:G$128,'Modelled costs'!$A$5:$A$128,$B24,'Modelled costs'!$B$5:$B$128,"&gt;="&amp;$G$11)</f>
        <v>2158.1832580395462</v>
      </c>
      <c r="N24" s="93">
        <f>SUMIFS('Modelled costs'!H$5:H$128,'Modelled costs'!$A$5:$A$128,$B24,'Modelled costs'!$B$5:$B$128,"&gt;="&amp;$G$11)</f>
        <v>2104.8414978943824</v>
      </c>
      <c r="O24" s="93">
        <f t="shared" si="4"/>
        <v>818.84578850876346</v>
      </c>
      <c r="P24" s="93">
        <f t="shared" si="5"/>
        <v>1253.4383698376159</v>
      </c>
      <c r="Q24" s="93">
        <f t="shared" si="6"/>
        <v>2131.5123779669643</v>
      </c>
      <c r="R24" s="94">
        <f t="shared" si="7"/>
        <v>2072.2841583463796</v>
      </c>
      <c r="S24" s="95">
        <f t="shared" si="8"/>
        <v>2101.8982681566722</v>
      </c>
      <c r="T24" s="95">
        <f t="shared" si="0"/>
        <v>180.61690368288123</v>
      </c>
      <c r="U24" s="95">
        <f t="shared" si="1"/>
        <v>1921.281364473791</v>
      </c>
    </row>
    <row r="25" spans="2:44" ht="15" customHeight="1" x14ac:dyDescent="0.3">
      <c r="B25" s="42" t="s">
        <v>17</v>
      </c>
      <c r="C25" s="93">
        <f>SUMIFS('Actual costs'!D$6:D$129,'Actual costs'!$A$6:$A$129,$B25,'Actual costs'!$B$6:$B$129,"&gt;="&amp;$G$11)+SUMIFS('Actual costs'!D$6:D$129,'Actual costs'!$A$6:$A$129,"SWT",'Actual costs'!$B$6:$B$129,"&gt;="&amp;$G$11)+SUMIFS('Actual costs'!D$6:D$129,'Actual costs'!$A$6:$A$129,"BWH",'Actual costs'!$B$6:$B$129,"&gt;="&amp;$G$11)</f>
        <v>41.106687324264492</v>
      </c>
      <c r="D25" s="93">
        <f>SUMIFS('Actual costs'!E$6:E$129,'Actual costs'!$A$6:$A$129,$B25,'Actual costs'!$B$6:$B$129,"&gt;="&amp;$G$11)+SUMIFS('Actual costs'!E$6:E$129,'Actual costs'!$A$6:$A$129,"SWT",'Actual costs'!$B$6:$B$129,"&gt;="&amp;$G$11)+SUMIFS('Actual costs'!E$6:E$129,'Actual costs'!$A$6:$A$129,"BWH",'Actual costs'!$B$6:$B$129,"&gt;="&amp;$G$11)</f>
        <v>273.92101651416868</v>
      </c>
      <c r="E25" s="93">
        <f>SUMIFS('Actual costs'!F$6:F$129,'Actual costs'!$A$6:$A$129,$B25,'Actual costs'!$B$6:$B$129,"&gt;="&amp;$G$11)+SUMIFS('Actual costs'!F$6:F$129,'Actual costs'!$A$6:$A$129,"SWT",'Actual costs'!$B$6:$B$129,"&gt;="&amp;$G$11)+SUMIFS('Actual costs'!F$6:F$129,'Actual costs'!$A$6:$A$129,"BWH",'Actual costs'!$B$6:$B$129,"&gt;="&amp;$G$11)</f>
        <v>535.83044762249074</v>
      </c>
      <c r="F25" s="93">
        <f>SUMIFS('Actual costs'!G$6:G$129,'Actual costs'!$A$6:$A$129,$B25,'Actual costs'!$B$6:$B$129,"&gt;="&amp;$G$11)+SUMIFS('Actual costs'!G$6:G$129,'Actual costs'!$A$6:$A$129,"SWT",'Actual costs'!$B$6:$B$129,"&gt;="&amp;$G$11)+SUMIFS('Actual costs'!G$6:G$129,'Actual costs'!$A$6:$A$129,"BWH",'Actual costs'!$B$6:$B$129,"&gt;="&amp;$G$11)</f>
        <v>303.01611843258661</v>
      </c>
      <c r="G25" s="93">
        <f>SUMIFS('Actual costs'!H$6:H$129,'Actual costs'!$A$6:$A$129,$B25,'Actual costs'!$B$6:$B$129,"&gt;="&amp;$G$11)+SUMIFS('Actual costs'!H$6:H$129,'Actual costs'!$A$6:$A$129,"SWT",'Actual costs'!$B$6:$B$129,"&gt;="&amp;$G$11)+SUMIFS('Actual costs'!H$6:H$129,'Actual costs'!$A$6:$A$129,"BWH",'Actual costs'!$B$6:$B$129,"&gt;="&amp;$G$11)</f>
        <v>576.93713494675524</v>
      </c>
      <c r="H25" s="93">
        <f t="shared" ref="H25:H36" si="9">C25/G25</f>
        <v>7.1249855199662565E-2</v>
      </c>
      <c r="I25" s="93">
        <f t="shared" ref="I25:I36" si="10">E25/G25</f>
        <v>0.92875014480033746</v>
      </c>
      <c r="J25" s="93">
        <f>SUMIFS('Modelled costs'!D$5:D$128,'Modelled costs'!$A$5:$A$128,$B25,'Modelled costs'!$B$5:$B$128,"&gt;="&amp;$G$11)+SUMIFS('Modelled costs'!D$5:D$128,'Modelled costs'!$A$5:$A$128,"SWT",'Modelled costs'!$B$5:$B$128,"&gt;="&amp;$G$11)+SUMIFS('Modelled costs'!D$5:D$128,'Modelled costs'!$A$5:$A$128,"BWH",'Modelled costs'!$B$5:$B$128,"&gt;="&amp;$G$11)</f>
        <v>275.1133340674358</v>
      </c>
      <c r="K25" s="93">
        <f>SUMIFS('Modelled costs'!E$5:E$128,'Modelled costs'!$A$5:$A$128,$B25,'Modelled costs'!$B$5:$B$128,"&gt;="&amp;$G$11)+SUMIFS('Modelled costs'!E$5:E$128,'Modelled costs'!$A$5:$A$128,"SWT",'Modelled costs'!$B$5:$B$128,"&gt;="&amp;$G$11)+SUMIFS('Modelled costs'!E$5:E$128,'Modelled costs'!$A$5:$A$128,"BWH",'Modelled costs'!$B$5:$B$128,"&gt;="&amp;$G$11)</f>
        <v>262.12758353295533</v>
      </c>
      <c r="L25" s="93">
        <f>SUMIFS('Modelled costs'!F$5:F$128,'Modelled costs'!$A$5:$A$128,$B25,'Modelled costs'!$B$5:$B$128,"&gt;="&amp;$G$11)+SUMIFS('Modelled costs'!F$5:F$128,'Modelled costs'!$A$5:$A$128,"SWT",'Modelled costs'!$B$5:$B$128,"&gt;="&amp;$G$11)+SUMIFS('Modelled costs'!F$5:F$128,'Modelled costs'!$A$5:$A$128,"BWH",'Modelled costs'!$B$5:$B$128,"&gt;="&amp;$G$11)</f>
        <v>355.75407290233733</v>
      </c>
      <c r="M25" s="93">
        <f>SUMIFS('Modelled costs'!G$5:G$128,'Modelled costs'!$A$5:$A$128,$B25,'Modelled costs'!$B$5:$B$128,"&gt;="&amp;$G$11)+SUMIFS('Modelled costs'!G$5:G$128,'Modelled costs'!$A$5:$A$128,"SWT",'Modelled costs'!$B$5:$B$128,"&gt;="&amp;$G$11)+SUMIFS('Modelled costs'!G$5:G$128,'Modelled costs'!$A$5:$A$128,"BWH",'Modelled costs'!$B$5:$B$128,"&gt;="&amp;$G$11)</f>
        <v>591.51265604516686</v>
      </c>
      <c r="N25" s="93">
        <f>SUMIFS('Modelled costs'!H$5:H$128,'Modelled costs'!$A$5:$A$128,$B25,'Modelled costs'!$B$5:$B$128,"&gt;="&amp;$G$11)+SUMIFS('Modelled costs'!H$5:H$128,'Modelled costs'!$A$5:$A$128,"SWT",'Modelled costs'!$B$5:$B$128,"&gt;="&amp;$G$11)+SUMIFS('Modelled costs'!H$5:H$128,'Modelled costs'!$A$5:$A$128,"BWH",'Modelled costs'!$B$5:$B$128,"&gt;="&amp;$G$11)</f>
        <v>583.56876309823974</v>
      </c>
      <c r="O25" s="93">
        <f t="shared" si="4"/>
        <v>268.62045880019559</v>
      </c>
      <c r="P25" s="93">
        <f t="shared" si="5"/>
        <v>355.75407290233733</v>
      </c>
      <c r="Q25" s="93">
        <f t="shared" si="6"/>
        <v>587.54070957170325</v>
      </c>
      <c r="R25" s="94">
        <f t="shared" si="7"/>
        <v>624.37453170253298</v>
      </c>
      <c r="S25" s="95">
        <f t="shared" si="8"/>
        <v>605.95762063711811</v>
      </c>
      <c r="T25" s="95">
        <f t="shared" si="0"/>
        <v>43.174392727526723</v>
      </c>
      <c r="U25" s="95">
        <f t="shared" si="1"/>
        <v>562.78322790959135</v>
      </c>
    </row>
    <row r="26" spans="2:44" ht="14.5" x14ac:dyDescent="0.3">
      <c r="B26" s="42" t="s">
        <v>7</v>
      </c>
      <c r="C26" s="93">
        <f>SUMIFS('Actual costs'!D$6:D$129,'Actual costs'!$A$6:$A$129,$B26,'Actual costs'!$B$6:$B$129,"&gt;="&amp;$G$11)</f>
        <v>223.57791895578819</v>
      </c>
      <c r="D26" s="93">
        <f>SUMIFS('Actual costs'!E$6:E$129,'Actual costs'!$A$6:$A$129,$B26,'Actual costs'!$B$6:$B$129,"&gt;="&amp;$G$11)</f>
        <v>1942.2560815178635</v>
      </c>
      <c r="E26" s="93">
        <f>SUMIFS('Actual costs'!F$6:F$129,'Actual costs'!$A$6:$A$129,$B26,'Actual costs'!$B$6:$B$129,"&gt;="&amp;$G$11)</f>
        <v>2665.4741753577127</v>
      </c>
      <c r="F26" s="93">
        <f>SUMIFS('Actual costs'!G$6:G$129,'Actual costs'!$A$6:$A$129,$B26,'Actual costs'!$B$6:$B$129,"&gt;="&amp;$G$11)</f>
        <v>946.79601279563735</v>
      </c>
      <c r="G26" s="93">
        <f>SUMIFS('Actual costs'!H$6:H$129,'Actual costs'!$A$6:$A$129,$B26,'Actual costs'!$B$6:$B$129,"&gt;="&amp;$G$11)</f>
        <v>2889.0520943135011</v>
      </c>
      <c r="H26" s="39">
        <f t="shared" si="9"/>
        <v>7.7387984590466502E-2</v>
      </c>
      <c r="I26" s="39">
        <f t="shared" si="10"/>
        <v>0.92261201540953341</v>
      </c>
      <c r="J26" s="93">
        <f>SUMIFS('Modelled costs'!D$5:D$128,'Modelled costs'!$A$5:$A$128,$B26,'Modelled costs'!$B$5:$B$128,"&gt;="&amp;$G$11)</f>
        <v>881.17415518458108</v>
      </c>
      <c r="K26" s="93">
        <f>SUMIFS('Modelled costs'!E$5:E$128,'Modelled costs'!$A$5:$A$128,$B26,'Modelled costs'!$B$5:$B$128,"&gt;="&amp;$G$11)</f>
        <v>828.512950039217</v>
      </c>
      <c r="L26" s="93">
        <f>SUMIFS('Modelled costs'!F$5:F$128,'Modelled costs'!$A$5:$A$128,$B26,'Modelled costs'!$B$5:$B$128,"&gt;="&amp;$G$11)</f>
        <v>2021.9350761742444</v>
      </c>
      <c r="M26" s="93">
        <f>SUMIFS('Modelled costs'!G$5:G$128,'Modelled costs'!$A$5:$A$128,$B26,'Modelled costs'!$B$5:$B$128,"&gt;="&amp;$G$11)</f>
        <v>2812.963281809944</v>
      </c>
      <c r="N26" s="93">
        <f>SUMIFS('Modelled costs'!H$5:H$128,'Modelled costs'!$A$5:$A$128,$B26,'Modelled costs'!$B$5:$B$128,"&gt;="&amp;$G$11)</f>
        <v>2813.0910969749129</v>
      </c>
      <c r="O26" s="93">
        <f t="shared" si="4"/>
        <v>854.84355261189899</v>
      </c>
      <c r="P26" s="93">
        <f t="shared" si="5"/>
        <v>2021.9350761742444</v>
      </c>
      <c r="Q26" s="93">
        <f t="shared" si="6"/>
        <v>2813.0271893924282</v>
      </c>
      <c r="R26" s="94">
        <f t="shared" si="7"/>
        <v>2876.7786287861436</v>
      </c>
      <c r="S26" s="95">
        <f t="shared" si="8"/>
        <v>2844.9029090892859</v>
      </c>
      <c r="T26" s="95">
        <f t="shared" si="0"/>
        <v>220.16130248997499</v>
      </c>
      <c r="U26" s="95">
        <f t="shared" si="1"/>
        <v>2624.7416065993107</v>
      </c>
    </row>
    <row r="27" spans="2:44" s="5" customFormat="1" ht="14.5" x14ac:dyDescent="0.3">
      <c r="B27" s="42" t="s">
        <v>26</v>
      </c>
      <c r="C27" s="93">
        <f>SUMIFS('Actual costs'!D$6:D$129,'Actual costs'!$A$6:$A$129,$B27,'Actual costs'!$B$6:$B$129,"&gt;="&amp;$G$11)</f>
        <v>123.36210440735587</v>
      </c>
      <c r="D27" s="93">
        <f>SUMIFS('Actual costs'!E$6:E$129,'Actual costs'!$A$6:$A$129,$B27,'Actual costs'!$B$6:$B$129,"&gt;="&amp;$G$11)</f>
        <v>635.56534036418054</v>
      </c>
      <c r="E27" s="93">
        <f>SUMIFS('Actual costs'!F$6:F$129,'Actual costs'!$A$6:$A$129,$B27,'Actual costs'!$B$6:$B$129,"&gt;="&amp;$G$11)</f>
        <v>1119.9780854761882</v>
      </c>
      <c r="F27" s="93">
        <f>SUMIFS('Actual costs'!G$6:G$129,'Actual costs'!$A$6:$A$129,$B27,'Actual costs'!$B$6:$B$129,"&gt;="&amp;$G$11)</f>
        <v>607.77484951936367</v>
      </c>
      <c r="G27" s="93">
        <f>SUMIFS('Actual costs'!H$6:H$129,'Actual costs'!$A$6:$A$129,$B27,'Actual costs'!$B$6:$B$129,"&gt;="&amp;$G$11)</f>
        <v>1243.3401898835441</v>
      </c>
      <c r="H27" s="39">
        <f t="shared" si="9"/>
        <v>9.9218303575395905E-2</v>
      </c>
      <c r="I27" s="39">
        <f t="shared" si="10"/>
        <v>0.90078169642460404</v>
      </c>
      <c r="J27" s="93">
        <f>SUMIFS('Modelled costs'!D$5:D$128,'Modelled costs'!$A$5:$A$128,$B27,'Modelled costs'!$B$5:$B$128,"&gt;="&amp;$G$11)</f>
        <v>451.15027568583236</v>
      </c>
      <c r="K27" s="93">
        <f>SUMIFS('Modelled costs'!E$5:E$128,'Modelled costs'!$A$5:$A$128,$B27,'Modelled costs'!$B$5:$B$128,"&gt;="&amp;$G$11)</f>
        <v>432.56958514810907</v>
      </c>
      <c r="L27" s="93">
        <f>SUMIFS('Modelled costs'!F$5:F$128,'Modelled costs'!$A$5:$A$128,$B27,'Modelled costs'!$B$5:$B$128,"&gt;="&amp;$G$11)</f>
        <v>594.58864058417964</v>
      </c>
      <c r="M27" s="93">
        <f>SUMIFS('Modelled costs'!G$5:G$128,'Modelled costs'!$A$5:$A$128,$B27,'Modelled costs'!$B$5:$B$128,"&gt;="&amp;$G$11)</f>
        <v>1062.4957290762372</v>
      </c>
      <c r="N27" s="93">
        <f>SUMIFS('Modelled costs'!H$5:H$128,'Modelled costs'!$A$5:$A$128,$B27,'Modelled costs'!$B$5:$B$128,"&gt;="&amp;$G$11)</f>
        <v>1066.1162056796077</v>
      </c>
      <c r="O27" s="93">
        <f t="shared" si="4"/>
        <v>441.85993041697071</v>
      </c>
      <c r="P27" s="93">
        <f t="shared" si="5"/>
        <v>594.58864058417964</v>
      </c>
      <c r="Q27" s="93">
        <f t="shared" si="6"/>
        <v>1064.3059673779226</v>
      </c>
      <c r="R27" s="94">
        <f t="shared" si="7"/>
        <v>1036.4485710011504</v>
      </c>
      <c r="S27" s="95">
        <f t="shared" si="8"/>
        <v>1050.3772691895365</v>
      </c>
      <c r="T27" s="95">
        <f t="shared" si="0"/>
        <v>104.21665076314278</v>
      </c>
      <c r="U27" s="95">
        <f t="shared" si="1"/>
        <v>946.16061842639363</v>
      </c>
      <c r="AR27" s="3"/>
    </row>
    <row r="28" spans="2:44" ht="14.5" x14ac:dyDescent="0.3">
      <c r="B28" s="42" t="s">
        <v>8</v>
      </c>
      <c r="C28" s="93">
        <f>SUMIFS('Actual costs'!D$6:D$129,'Actual costs'!$A$6:$A$129,$B28,'Actual costs'!$B$6:$B$129,"&gt;="&amp;$G$11)</f>
        <v>35.090376835192778</v>
      </c>
      <c r="D28" s="93">
        <f>SUMIFS('Actual costs'!E$6:E$129,'Actual costs'!$A$6:$A$129,$B28,'Actual costs'!$B$6:$B$129,"&gt;="&amp;$G$11)</f>
        <v>245.46095746945042</v>
      </c>
      <c r="E28" s="93">
        <f>SUMIFS('Actual costs'!F$6:F$129,'Actual costs'!$A$6:$A$129,$B28,'Actual costs'!$B$6:$B$129,"&gt;="&amp;$G$11)</f>
        <v>401.29813952561835</v>
      </c>
      <c r="F28" s="93">
        <f>SUMIFS('Actual costs'!G$6:G$129,'Actual costs'!$A$6:$A$129,$B28,'Actual costs'!$B$6:$B$129,"&gt;="&amp;$G$11)</f>
        <v>190.92755889136075</v>
      </c>
      <c r="G28" s="93">
        <f>SUMIFS('Actual costs'!H$6:H$129,'Actual costs'!$A$6:$A$129,$B28,'Actual costs'!$B$6:$B$129,"&gt;="&amp;$G$11)</f>
        <v>436.38851636081114</v>
      </c>
      <c r="H28" s="39">
        <f t="shared" si="9"/>
        <v>8.0410862155180188E-2</v>
      </c>
      <c r="I28" s="39">
        <f t="shared" si="10"/>
        <v>0.91958913784481977</v>
      </c>
      <c r="J28" s="93">
        <f>SUMIFS('Modelled costs'!D$5:D$128,'Modelled costs'!$A$5:$A$128,$B28,'Modelled costs'!$B$5:$B$128,"&gt;="&amp;$G$11)</f>
        <v>175.58007423268418</v>
      </c>
      <c r="K28" s="93">
        <f>SUMIFS('Modelled costs'!E$5:E$128,'Modelled costs'!$A$5:$A$128,$B28,'Modelled costs'!$B$5:$B$128,"&gt;="&amp;$G$11)</f>
        <v>197.4326135541267</v>
      </c>
      <c r="L28" s="93">
        <f>SUMIFS('Modelled costs'!F$5:F$128,'Modelled costs'!$A$5:$A$128,$B28,'Modelled costs'!$B$5:$B$128,"&gt;="&amp;$G$11)</f>
        <v>277.1589055950692</v>
      </c>
      <c r="M28" s="93">
        <f>SUMIFS('Modelled costs'!G$5:G$128,'Modelled costs'!$A$5:$A$128,$B28,'Modelled costs'!$B$5:$B$128,"&gt;="&amp;$G$11)</f>
        <v>453.89760445063712</v>
      </c>
      <c r="N28" s="93">
        <f>SUMIFS('Modelled costs'!H$5:H$128,'Modelled costs'!$A$5:$A$128,$B28,'Modelled costs'!$B$5:$B$128,"&gt;="&amp;$G$11)</f>
        <v>457.37590093378515</v>
      </c>
      <c r="O28" s="93">
        <f t="shared" si="4"/>
        <v>186.50634389340544</v>
      </c>
      <c r="P28" s="93">
        <f t="shared" si="5"/>
        <v>277.1589055950692</v>
      </c>
      <c r="Q28" s="93">
        <f t="shared" si="6"/>
        <v>455.63675269221113</v>
      </c>
      <c r="R28" s="94">
        <f t="shared" si="7"/>
        <v>463.66524948847461</v>
      </c>
      <c r="S28" s="95">
        <f t="shared" si="8"/>
        <v>459.6510010903429</v>
      </c>
      <c r="T28" s="95">
        <f t="shared" si="0"/>
        <v>36.960933288166139</v>
      </c>
      <c r="U28" s="95">
        <f t="shared" si="1"/>
        <v>422.69006780217671</v>
      </c>
      <c r="AR28" s="5"/>
    </row>
    <row r="29" spans="2:44" ht="14.5" x14ac:dyDescent="0.3">
      <c r="B29" s="42" t="s">
        <v>9</v>
      </c>
      <c r="C29" s="93">
        <f>SUMIFS('Actual costs'!D$6:D$129,'Actual costs'!$A$6:$A$129,$B29,'Actual costs'!$B$6:$B$129,"&gt;="&amp;$G$11)</f>
        <v>118.13337326108746</v>
      </c>
      <c r="D29" s="93">
        <f>SUMIFS('Actual costs'!E$6:E$129,'Actual costs'!$A$6:$A$129,$B29,'Actual costs'!$B$6:$B$129,"&gt;="&amp;$G$11)</f>
        <v>660.64957953965268</v>
      </c>
      <c r="E29" s="93">
        <f>SUMIFS('Actual costs'!F$6:F$129,'Actual costs'!$A$6:$A$129,$B29,'Actual costs'!$B$6:$B$129,"&gt;="&amp;$G$11)</f>
        <v>1037.6079371661858</v>
      </c>
      <c r="F29" s="93">
        <f>SUMIFS('Actual costs'!G$6:G$129,'Actual costs'!$A$6:$A$129,$B29,'Actual costs'!$B$6:$B$129,"&gt;="&amp;$G$11)</f>
        <v>495.0917308876206</v>
      </c>
      <c r="G29" s="93">
        <f>SUMIFS('Actual costs'!H$6:H$129,'Actual costs'!$A$6:$A$129,$B29,'Actual costs'!$B$6:$B$129,"&gt;="&amp;$G$11)</f>
        <v>1155.7413104272732</v>
      </c>
      <c r="H29" s="39">
        <f t="shared" si="9"/>
        <v>0.10221437288368103</v>
      </c>
      <c r="I29" s="39">
        <f t="shared" si="10"/>
        <v>0.89778562711631904</v>
      </c>
      <c r="J29" s="93">
        <f>SUMIFS('Modelled costs'!D$5:D$128,'Modelled costs'!$A$5:$A$128,$B29,'Modelled costs'!$B$5:$B$128,"&gt;="&amp;$G$11)</f>
        <v>612.77017267646863</v>
      </c>
      <c r="K29" s="93">
        <f>SUMIFS('Modelled costs'!E$5:E$128,'Modelled costs'!$A$5:$A$128,$B29,'Modelled costs'!$B$5:$B$128,"&gt;="&amp;$G$11)</f>
        <v>594.2822374814682</v>
      </c>
      <c r="L29" s="93">
        <f>SUMIFS('Modelled costs'!F$5:F$128,'Modelled costs'!$A$5:$A$128,$B29,'Modelled costs'!$B$5:$B$128,"&gt;="&amp;$G$11)</f>
        <v>669.11051116605142</v>
      </c>
      <c r="M29" s="93">
        <f>SUMIFS('Modelled costs'!G$5:G$128,'Modelled costs'!$A$5:$A$128,$B29,'Modelled costs'!$B$5:$B$128,"&gt;="&amp;$G$11)</f>
        <v>1425.8219118672662</v>
      </c>
      <c r="N29" s="93">
        <f>SUMIFS('Modelled costs'!H$5:H$128,'Modelled costs'!$A$5:$A$128,$B29,'Modelled costs'!$B$5:$B$128,"&gt;="&amp;$G$11)</f>
        <v>1402.5794408587585</v>
      </c>
      <c r="O29" s="93">
        <f t="shared" si="4"/>
        <v>603.52620507896836</v>
      </c>
      <c r="P29" s="93">
        <f t="shared" si="5"/>
        <v>669.11051116605142</v>
      </c>
      <c r="Q29" s="93">
        <f t="shared" si="6"/>
        <v>1414.2006763630125</v>
      </c>
      <c r="R29" s="94">
        <f t="shared" si="7"/>
        <v>1272.6367162450197</v>
      </c>
      <c r="S29" s="95">
        <f t="shared" si="8"/>
        <v>1343.4186963040161</v>
      </c>
      <c r="T29" s="95">
        <f t="shared" si="0"/>
        <v>137.31669956292734</v>
      </c>
      <c r="U29" s="95">
        <f t="shared" si="1"/>
        <v>1206.1019967410889</v>
      </c>
    </row>
    <row r="30" spans="2:44" ht="14.5" x14ac:dyDescent="0.3">
      <c r="B30" s="42" t="s">
        <v>10</v>
      </c>
      <c r="C30" s="93">
        <f>SUMIFS('Actual costs'!D$6:D$129,'Actual costs'!$A$6:$A$129,$B30,'Actual costs'!$B$6:$B$129,"&gt;="&amp;$G$11)</f>
        <v>68.360823248276873</v>
      </c>
      <c r="D30" s="93">
        <f>SUMIFS('Actual costs'!E$6:E$129,'Actual costs'!$A$6:$A$129,$B30,'Actual costs'!$B$6:$B$129,"&gt;="&amp;$G$11)</f>
        <v>680.81944523033565</v>
      </c>
      <c r="E30" s="93">
        <f>SUMIFS('Actual costs'!F$6:F$129,'Actual costs'!$A$6:$A$129,$B30,'Actual costs'!$B$6:$B$129,"&gt;="&amp;$G$11)</f>
        <v>889.6398065342878</v>
      </c>
      <c r="F30" s="93">
        <f>SUMIFS('Actual costs'!G$6:G$129,'Actual costs'!$A$6:$A$129,$B30,'Actual costs'!$B$6:$B$129,"&gt;="&amp;$G$11)</f>
        <v>277.18118455222907</v>
      </c>
      <c r="G30" s="93">
        <f>SUMIFS('Actual costs'!H$6:H$129,'Actual costs'!$A$6:$A$129,$B30,'Actual costs'!$B$6:$B$129,"&gt;="&amp;$G$11)</f>
        <v>958.00062978256472</v>
      </c>
      <c r="H30" s="39">
        <f t="shared" si="9"/>
        <v>7.1357806167405738E-2</v>
      </c>
      <c r="I30" s="39">
        <f t="shared" si="10"/>
        <v>0.92864219383259428</v>
      </c>
      <c r="J30" s="93">
        <f>SUMIFS('Modelled costs'!D$5:D$128,'Modelled costs'!$A$5:$A$128,$B30,'Modelled costs'!$B$5:$B$128,"&gt;="&amp;$G$11)</f>
        <v>343.09316731952765</v>
      </c>
      <c r="K30" s="93">
        <f>SUMIFS('Modelled costs'!E$5:E$128,'Modelled costs'!$A$5:$A$128,$B30,'Modelled costs'!$B$5:$B$128,"&gt;="&amp;$G$11)</f>
        <v>343.52053631790375</v>
      </c>
      <c r="L30" s="93">
        <f>SUMIFS('Modelled costs'!F$5:F$128,'Modelled costs'!$A$5:$A$128,$B30,'Modelled costs'!$B$5:$B$128,"&gt;="&amp;$G$11)</f>
        <v>527.51857399933397</v>
      </c>
      <c r="M30" s="93">
        <f>SUMIFS('Modelled costs'!G$5:G$128,'Modelled costs'!$A$5:$A$128,$B30,'Modelled costs'!$B$5:$B$128,"&gt;="&amp;$G$11)</f>
        <v>949.09731846793272</v>
      </c>
      <c r="N30" s="93">
        <f>SUMIFS('Modelled costs'!H$5:H$128,'Modelled costs'!$A$5:$A$128,$B30,'Modelled costs'!$B$5:$B$128,"&gt;="&amp;$G$11)</f>
        <v>967.66709483645604</v>
      </c>
      <c r="O30" s="93">
        <f t="shared" si="4"/>
        <v>343.3068518187157</v>
      </c>
      <c r="P30" s="93">
        <f t="shared" si="5"/>
        <v>527.51857399933397</v>
      </c>
      <c r="Q30" s="93">
        <f t="shared" si="6"/>
        <v>958.38220665219433</v>
      </c>
      <c r="R30" s="94">
        <f t="shared" si="7"/>
        <v>870.82542581804967</v>
      </c>
      <c r="S30" s="95">
        <f t="shared" si="8"/>
        <v>914.60381623512194</v>
      </c>
      <c r="T30" s="95">
        <f t="shared" si="0"/>
        <v>65.264121838875411</v>
      </c>
      <c r="U30" s="95">
        <f t="shared" si="1"/>
        <v>849.3396943962465</v>
      </c>
    </row>
    <row r="31" spans="2:44" ht="14.5" x14ac:dyDescent="0.3">
      <c r="B31" s="42" t="s">
        <v>11</v>
      </c>
      <c r="C31" s="93">
        <f>SUMIFS('Actual costs'!D$6:D$129,'Actual costs'!$A$6:$A$129,$B31,'Actual costs'!$B$6:$B$129,"&gt;="&amp;$G$11)</f>
        <v>49.544607670243671</v>
      </c>
      <c r="D31" s="93">
        <f>SUMIFS('Actual costs'!E$6:E$129,'Actual costs'!$A$6:$A$129,$B31,'Actual costs'!$B$6:$B$129,"&gt;="&amp;$G$11)</f>
        <v>207.00120788755294</v>
      </c>
      <c r="E31" s="93">
        <f>SUMIFS('Actual costs'!F$6:F$129,'Actual costs'!$A$6:$A$129,$B31,'Actual costs'!$B$6:$B$129,"&gt;="&amp;$G$11)</f>
        <v>314.11130415053663</v>
      </c>
      <c r="F31" s="93">
        <f>SUMIFS('Actual costs'!G$6:G$129,'Actual costs'!$A$6:$A$129,$B31,'Actual costs'!$B$6:$B$129,"&gt;="&amp;$G$11)</f>
        <v>156.65470393322732</v>
      </c>
      <c r="G31" s="93">
        <f>SUMIFS('Actual costs'!H$6:H$129,'Actual costs'!$A$6:$A$129,$B31,'Actual costs'!$B$6:$B$129,"&gt;="&amp;$G$11)</f>
        <v>363.65591182078026</v>
      </c>
      <c r="H31" s="39">
        <f t="shared" si="9"/>
        <v>0.13624034715173455</v>
      </c>
      <c r="I31" s="39">
        <f t="shared" si="10"/>
        <v>0.8637596528482655</v>
      </c>
      <c r="J31" s="93">
        <f>SUMIFS('Modelled costs'!D$5:D$128,'Modelled costs'!$A$5:$A$128,$B31,'Modelled costs'!$B$5:$B$128,"&gt;="&amp;$G$11)</f>
        <v>131.41254977457783</v>
      </c>
      <c r="K31" s="93">
        <f>SUMIFS('Modelled costs'!E$5:E$128,'Modelled costs'!$A$5:$A$128,$B31,'Modelled costs'!$B$5:$B$128,"&gt;="&amp;$G$11)</f>
        <v>132.27890422435735</v>
      </c>
      <c r="L31" s="93">
        <f>SUMIFS('Modelled costs'!F$5:F$128,'Modelled costs'!$A$5:$A$128,$B31,'Modelled costs'!$B$5:$B$128,"&gt;="&amp;$G$11)</f>
        <v>180.86186744048427</v>
      </c>
      <c r="M31" s="93">
        <f>SUMIFS('Modelled costs'!G$5:G$128,'Modelled costs'!$A$5:$A$128,$B31,'Modelled costs'!$B$5:$B$128,"&gt;="&amp;$G$11)</f>
        <v>356.66607714665759</v>
      </c>
      <c r="N31" s="93">
        <f>SUMIFS('Modelled costs'!H$5:H$128,'Modelled costs'!$A$5:$A$128,$B31,'Modelled costs'!$B$5:$B$128,"&gt;="&amp;$G$11)</f>
        <v>373.49530767598787</v>
      </c>
      <c r="O31" s="93">
        <f t="shared" si="4"/>
        <v>131.84572699946759</v>
      </c>
      <c r="P31" s="93">
        <f t="shared" si="5"/>
        <v>180.86186744048427</v>
      </c>
      <c r="Q31" s="93">
        <f t="shared" si="6"/>
        <v>365.08069241132273</v>
      </c>
      <c r="R31" s="94">
        <f t="shared" si="7"/>
        <v>312.70759443995189</v>
      </c>
      <c r="S31" s="95">
        <f t="shared" si="8"/>
        <v>338.89414342563731</v>
      </c>
      <c r="T31" s="95">
        <f t="shared" si="0"/>
        <v>46.171055747998544</v>
      </c>
      <c r="U31" s="95">
        <f t="shared" si="1"/>
        <v>292.72308767763877</v>
      </c>
    </row>
    <row r="32" spans="2:44" ht="14.5" x14ac:dyDescent="0.3">
      <c r="B32" s="42" t="s">
        <v>12</v>
      </c>
      <c r="C32" s="93">
        <f>SUMIFS('Actual costs'!D$6:D$129,'Actual costs'!$A$6:$A$129,$B32,'Actual costs'!$B$6:$B$129,"&gt;="&amp;$G$11)</f>
        <v>6.6060276407142489</v>
      </c>
      <c r="D32" s="93">
        <f>SUMIFS('Actual costs'!E$6:E$129,'Actual costs'!$A$6:$A$129,$B32,'Actual costs'!$B$6:$B$129,"&gt;="&amp;$G$11)</f>
        <v>37.124843042322304</v>
      </c>
      <c r="E32" s="93">
        <f>SUMIFS('Actual costs'!F$6:F$129,'Actual costs'!$A$6:$A$129,$B32,'Actual costs'!$B$6:$B$129,"&gt;="&amp;$G$11)</f>
        <v>70.34592727302973</v>
      </c>
      <c r="F32" s="93">
        <f>SUMIFS('Actual costs'!G$6:G$129,'Actual costs'!$A$6:$A$129,$B32,'Actual costs'!$B$6:$B$129,"&gt;="&amp;$G$11)</f>
        <v>39.827111871421678</v>
      </c>
      <c r="G32" s="93">
        <f>SUMIFS('Actual costs'!H$6:H$129,'Actual costs'!$A$6:$A$129,$B32,'Actual costs'!$B$6:$B$129,"&gt;="&amp;$G$11)</f>
        <v>76.951954913743975</v>
      </c>
      <c r="H32" s="39">
        <f t="shared" si="9"/>
        <v>8.5846131500089823E-2</v>
      </c>
      <c r="I32" s="39">
        <f t="shared" si="10"/>
        <v>0.9141538684999102</v>
      </c>
      <c r="J32" s="93">
        <f>SUMIFS('Modelled costs'!D$5:D$128,'Modelled costs'!$A$5:$A$128,$B32,'Modelled costs'!$B$5:$B$128,"&gt;="&amp;$G$11)</f>
        <v>49.002759447622608</v>
      </c>
      <c r="K32" s="93">
        <f>SUMIFS('Modelled costs'!E$5:E$128,'Modelled costs'!$A$5:$A$128,$B32,'Modelled costs'!$B$5:$B$128,"&gt;="&amp;$G$11)</f>
        <v>43.478033208661451</v>
      </c>
      <c r="L32" s="93">
        <f>SUMIFS('Modelled costs'!F$5:F$128,'Modelled costs'!$A$5:$A$128,$B32,'Modelled costs'!$B$5:$B$128,"&gt;="&amp;$G$11)</f>
        <v>39.097653818800708</v>
      </c>
      <c r="M32" s="93">
        <f>SUMIFS('Modelled costs'!G$5:G$128,'Modelled costs'!$A$5:$A$128,$B32,'Modelled costs'!$B$5:$B$128,"&gt;="&amp;$G$11)</f>
        <v>93.446749071737599</v>
      </c>
      <c r="N32" s="93">
        <f>SUMIFS('Modelled costs'!H$5:H$128,'Modelled costs'!$A$5:$A$128,$B32,'Modelled costs'!$B$5:$B$128,"&gt;="&amp;$G$11)</f>
        <v>91.893439370255862</v>
      </c>
      <c r="O32" s="93">
        <f t="shared" si="4"/>
        <v>46.240396328142026</v>
      </c>
      <c r="P32" s="93">
        <f t="shared" si="5"/>
        <v>39.097653818800708</v>
      </c>
      <c r="Q32" s="93">
        <f t="shared" si="6"/>
        <v>92.670094220996731</v>
      </c>
      <c r="R32" s="94">
        <f t="shared" si="7"/>
        <v>85.338050146942734</v>
      </c>
      <c r="S32" s="95">
        <f t="shared" si="8"/>
        <v>89.004072183969726</v>
      </c>
      <c r="T32" s="95">
        <f t="shared" si="0"/>
        <v>7.6406552847485516</v>
      </c>
      <c r="U32" s="95">
        <f t="shared" si="1"/>
        <v>81.363416899221178</v>
      </c>
    </row>
    <row r="33" spans="1:43" ht="14.5" x14ac:dyDescent="0.3">
      <c r="B33" s="42" t="s">
        <v>13</v>
      </c>
      <c r="C33" s="93">
        <f>SUMIFS('Actual costs'!D$6:D$129,'Actual costs'!$A$6:$A$129,$B33,'Actual costs'!$B$6:$B$129,"&gt;="&amp;$G$11)</f>
        <v>9.9057628775165547</v>
      </c>
      <c r="D33" s="93">
        <f>SUMIFS('Actual costs'!E$6:E$129,'Actual costs'!$A$6:$A$129,$B33,'Actual costs'!$B$6:$B$129,"&gt;="&amp;$G$11)</f>
        <v>75.348112434632142</v>
      </c>
      <c r="E33" s="93">
        <f>SUMIFS('Actual costs'!F$6:F$129,'Actual costs'!$A$6:$A$129,$B33,'Actual costs'!$B$6:$B$129,"&gt;="&amp;$G$11)</f>
        <v>99.061348019674284</v>
      </c>
      <c r="F33" s="93">
        <f>SUMIFS('Actual costs'!G$6:G$129,'Actual costs'!$A$6:$A$129,$B33,'Actual costs'!$B$6:$B$129,"&gt;="&amp;$G$11)</f>
        <v>33.6189984625587</v>
      </c>
      <c r="G33" s="93">
        <f>SUMIFS('Actual costs'!H$6:H$129,'Actual costs'!$A$6:$A$129,$B33,'Actual costs'!$B$6:$B$129,"&gt;="&amp;$G$11)</f>
        <v>108.96711089719085</v>
      </c>
      <c r="H33" s="39">
        <f t="shared" si="9"/>
        <v>9.0905988017453462E-2</v>
      </c>
      <c r="I33" s="39">
        <f t="shared" si="10"/>
        <v>0.90909401198254647</v>
      </c>
      <c r="J33" s="93">
        <f>SUMIFS('Modelled costs'!D$5:D$128,'Modelled costs'!$A$5:$A$128,$B33,'Modelled costs'!$B$5:$B$128,"&gt;="&amp;$G$11)</f>
        <v>47.818530019630799</v>
      </c>
      <c r="K33" s="93">
        <f>SUMIFS('Modelled costs'!E$5:E$128,'Modelled costs'!$A$5:$A$128,$B33,'Modelled costs'!$B$5:$B$128,"&gt;="&amp;$G$11)</f>
        <v>54.428106414486123</v>
      </c>
      <c r="L33" s="93">
        <f>SUMIFS('Modelled costs'!F$5:F$128,'Modelled costs'!$A$5:$A$128,$B33,'Modelled costs'!$B$5:$B$128,"&gt;="&amp;$G$11)</f>
        <v>83.05921793037156</v>
      </c>
      <c r="M33" s="93">
        <f>SUMIFS('Modelled costs'!G$5:G$128,'Modelled costs'!$A$5:$A$128,$B33,'Modelled costs'!$B$5:$B$128,"&gt;="&amp;$G$11)</f>
        <v>132.38222819232203</v>
      </c>
      <c r="N33" s="93">
        <f>SUMIFS('Modelled costs'!H$5:H$128,'Modelled costs'!$A$5:$A$128,$B33,'Modelled costs'!$B$5:$B$128,"&gt;="&amp;$G$11)</f>
        <v>128.10976460568807</v>
      </c>
      <c r="O33" s="93">
        <f t="shared" si="4"/>
        <v>51.123318217058461</v>
      </c>
      <c r="P33" s="93">
        <f t="shared" si="5"/>
        <v>83.05921793037156</v>
      </c>
      <c r="Q33" s="93">
        <f t="shared" si="6"/>
        <v>130.24599639900504</v>
      </c>
      <c r="R33" s="94">
        <f t="shared" si="7"/>
        <v>134.18253614743003</v>
      </c>
      <c r="S33" s="95">
        <f t="shared" si="8"/>
        <v>132.21426627321753</v>
      </c>
      <c r="T33" s="95">
        <f t="shared" si="0"/>
        <v>12.019068505569514</v>
      </c>
      <c r="U33" s="95">
        <f t="shared" si="1"/>
        <v>120.19519776764801</v>
      </c>
    </row>
    <row r="34" spans="1:43" ht="14.5" x14ac:dyDescent="0.3">
      <c r="B34" s="42" t="s">
        <v>14</v>
      </c>
      <c r="C34" s="93">
        <f>SUMIFS('Actual costs'!D$6:D$129,'Actual costs'!$A$6:$A$129,$B34,'Actual costs'!$B$6:$B$129,"&gt;="&amp;$G$11)</f>
        <v>16.790361615834843</v>
      </c>
      <c r="D34" s="93">
        <f>SUMIFS('Actual costs'!E$6:E$129,'Actual costs'!$A$6:$A$129,$B34,'Actual costs'!$B$6:$B$129,"&gt;="&amp;$G$11)</f>
        <v>86.994860743573398</v>
      </c>
      <c r="E34" s="93">
        <f>SUMIFS('Actual costs'!F$6:F$129,'Actual costs'!$A$6:$A$129,$B34,'Actual costs'!$B$6:$B$129,"&gt;="&amp;$G$11)</f>
        <v>160.0147812837663</v>
      </c>
      <c r="F34" s="93">
        <f>SUMIFS('Actual costs'!G$6:G$129,'Actual costs'!$A$6:$A$129,$B34,'Actual costs'!$B$6:$B$129,"&gt;="&amp;$G$11)</f>
        <v>89.810282156027739</v>
      </c>
      <c r="G34" s="93">
        <f>SUMIFS('Actual costs'!H$6:H$129,'Actual costs'!$A$6:$A$129,$B34,'Actual costs'!$B$6:$B$129,"&gt;="&amp;$G$11)</f>
        <v>176.80514289960115</v>
      </c>
      <c r="H34" s="39">
        <f t="shared" si="9"/>
        <v>9.4965346259012692E-2</v>
      </c>
      <c r="I34" s="39">
        <f t="shared" si="10"/>
        <v>0.90503465374098724</v>
      </c>
      <c r="J34" s="93">
        <f>SUMIFS('Modelled costs'!D$5:D$128,'Modelled costs'!$A$5:$A$128,$B34,'Modelled costs'!$B$5:$B$128,"&gt;="&amp;$G$11)</f>
        <v>69.623683297115406</v>
      </c>
      <c r="K34" s="93">
        <f>SUMIFS('Modelled costs'!E$5:E$128,'Modelled costs'!$A$5:$A$128,$B34,'Modelled costs'!$B$5:$B$128,"&gt;="&amp;$G$11)</f>
        <v>64.517266314584006</v>
      </c>
      <c r="L34" s="93">
        <f>SUMIFS('Modelled costs'!F$5:F$128,'Modelled costs'!$A$5:$A$128,$B34,'Modelled costs'!$B$5:$B$128,"&gt;="&amp;$G$11)</f>
        <v>91.143937337503786</v>
      </c>
      <c r="M34" s="93">
        <f>SUMIFS('Modelled costs'!G$5:G$128,'Modelled costs'!$A$5:$A$128,$B34,'Modelled costs'!$B$5:$B$128,"&gt;="&amp;$G$11)</f>
        <v>159.47221019593877</v>
      </c>
      <c r="N34" s="93">
        <f>SUMIFS('Modelled costs'!H$5:H$128,'Modelled costs'!$A$5:$A$128,$B34,'Modelled costs'!$B$5:$B$128,"&gt;="&amp;$G$11)</f>
        <v>158.86541744004745</v>
      </c>
      <c r="O34" s="93">
        <f t="shared" si="4"/>
        <v>67.070474805849699</v>
      </c>
      <c r="P34" s="93">
        <f t="shared" si="5"/>
        <v>91.143937337503786</v>
      </c>
      <c r="Q34" s="93">
        <f t="shared" si="6"/>
        <v>159.16881381799311</v>
      </c>
      <c r="R34" s="94">
        <f t="shared" si="7"/>
        <v>158.21441214335348</v>
      </c>
      <c r="S34" s="95">
        <f t="shared" si="8"/>
        <v>158.69161298067331</v>
      </c>
      <c r="T34" s="95">
        <f t="shared" si="0"/>
        <v>15.070203975110875</v>
      </c>
      <c r="U34" s="95">
        <f t="shared" si="1"/>
        <v>143.62140900556244</v>
      </c>
    </row>
    <row r="35" spans="1:43" ht="14.5" x14ac:dyDescent="0.3">
      <c r="B35" s="42" t="s">
        <v>15</v>
      </c>
      <c r="C35" s="93">
        <f>SUMIFS('Actual costs'!D$6:D$129,'Actual costs'!$A$6:$A$129,$B35,'Actual costs'!$B$6:$B$129,"&gt;="&amp;$G$11)</f>
        <v>50.730696267508733</v>
      </c>
      <c r="D35" s="93">
        <f>SUMIFS('Actual costs'!E$6:E$129,'Actual costs'!$A$6:$A$129,$B35,'Actual costs'!$B$6:$B$129,"&gt;="&amp;$G$11)</f>
        <v>312.02901466575395</v>
      </c>
      <c r="E35" s="93">
        <f>SUMIFS('Actual costs'!F$6:F$129,'Actual costs'!$A$6:$A$129,$B35,'Actual costs'!$B$6:$B$129,"&gt;="&amp;$G$11)</f>
        <v>484.63689683638302</v>
      </c>
      <c r="F35" s="93">
        <f>SUMIFS('Actual costs'!G$6:G$129,'Actual costs'!$A$6:$A$129,$B35,'Actual costs'!$B$6:$B$129,"&gt;="&amp;$G$11)</f>
        <v>223.33857843813777</v>
      </c>
      <c r="G35" s="93">
        <f>SUMIFS('Actual costs'!H$6:H$129,'Actual costs'!$A$6:$A$129,$B35,'Actual costs'!$B$6:$B$129,"&gt;="&amp;$G$11)</f>
        <v>535.36759310389175</v>
      </c>
      <c r="H35" s="39">
        <f t="shared" si="9"/>
        <v>9.4758623646583134E-2</v>
      </c>
      <c r="I35" s="39">
        <f t="shared" si="10"/>
        <v>0.90524137635341684</v>
      </c>
      <c r="J35" s="93">
        <f>SUMIFS('Modelled costs'!D$5:D$128,'Modelled costs'!$A$5:$A$128,$B35,'Modelled costs'!$B$5:$B$128,"&gt;="&amp;$G$11)</f>
        <v>270.85542015232653</v>
      </c>
      <c r="K35" s="93">
        <f>SUMIFS('Modelled costs'!E$5:E$128,'Modelled costs'!$A$5:$A$128,$B35,'Modelled costs'!$B$5:$B$128,"&gt;="&amp;$G$11)</f>
        <v>273.61126506443492</v>
      </c>
      <c r="L35" s="93">
        <f>SUMIFS('Modelled costs'!F$5:F$128,'Modelled costs'!$A$5:$A$128,$B35,'Modelled costs'!$B$5:$B$128,"&gt;="&amp;$G$11)</f>
        <v>244.85450476983354</v>
      </c>
      <c r="M35" s="93">
        <f>SUMIFS('Modelled costs'!G$5:G$128,'Modelled costs'!$A$5:$A$128,$B35,'Modelled costs'!$B$5:$B$128,"&gt;="&amp;$G$11)</f>
        <v>529.43938588378467</v>
      </c>
      <c r="N35" s="93">
        <f>SUMIFS('Modelled costs'!H$5:H$128,'Modelled costs'!$A$5:$A$128,$B35,'Modelled costs'!$B$5:$B$128,"&gt;="&amp;$G$11)</f>
        <v>530.06717499687693</v>
      </c>
      <c r="O35" s="93">
        <f t="shared" si="4"/>
        <v>272.23334260838072</v>
      </c>
      <c r="P35" s="93">
        <f t="shared" si="5"/>
        <v>244.85450476983354</v>
      </c>
      <c r="Q35" s="93">
        <f t="shared" si="6"/>
        <v>529.75328044033085</v>
      </c>
      <c r="R35" s="94">
        <f t="shared" si="7"/>
        <v>517.08784737821429</v>
      </c>
      <c r="S35" s="95">
        <f t="shared" si="8"/>
        <v>523.42056390927257</v>
      </c>
      <c r="T35" s="95">
        <f t="shared" si="0"/>
        <v>49.598612224361077</v>
      </c>
      <c r="U35" s="95">
        <f t="shared" si="1"/>
        <v>473.82195168491148</v>
      </c>
    </row>
    <row r="36" spans="1:43" ht="14.5" x14ac:dyDescent="0.3">
      <c r="B36" s="42" t="s">
        <v>16</v>
      </c>
      <c r="C36" s="93">
        <f>SUMIFS('Actual costs'!D$6:D$129,'Actual costs'!$A$6:$A$129,$B36,'Actual costs'!$B$6:$B$129,"&gt;="&amp;$G$11)</f>
        <v>32.467473712842249</v>
      </c>
      <c r="D36" s="93">
        <f>SUMIFS('Actual costs'!E$6:E$129,'Actual costs'!$A$6:$A$129,$B36,'Actual costs'!$B$6:$B$129,"&gt;="&amp;$G$11)</f>
        <v>240.99776890378587</v>
      </c>
      <c r="E36" s="93">
        <f>SUMIFS('Actual costs'!F$6:F$129,'Actual costs'!$A$6:$A$129,$B36,'Actual costs'!$B$6:$B$129,"&gt;="&amp;$G$11)</f>
        <v>297.36047437945984</v>
      </c>
      <c r="F36" s="93">
        <f>SUMIFS('Actual costs'!G$6:G$129,'Actual costs'!$A$6:$A$129,$B36,'Actual costs'!$B$6:$B$129,"&gt;="&amp;$G$11)</f>
        <v>88.83017918851624</v>
      </c>
      <c r="G36" s="93">
        <f>SUMIFS('Actual costs'!H$6:H$129,'Actual costs'!$A$6:$A$129,$B36,'Actual costs'!$B$6:$B$129,"&gt;="&amp;$G$11)</f>
        <v>329.82794809230211</v>
      </c>
      <c r="H36" s="39">
        <f t="shared" si="9"/>
        <v>9.8437606335762221E-2</v>
      </c>
      <c r="I36" s="39">
        <f t="shared" si="10"/>
        <v>0.90156239366423774</v>
      </c>
      <c r="J36" s="93">
        <f>SUMIFS('Modelled costs'!D$5:D$128,'Modelled costs'!$A$5:$A$128,$B36,'Modelled costs'!$B$5:$B$128,"&gt;="&amp;$G$11)</f>
        <v>140.239012296971</v>
      </c>
      <c r="K36" s="93">
        <f>SUMIFS('Modelled costs'!E$5:E$128,'Modelled costs'!$A$5:$A$128,$B36,'Modelled costs'!$B$5:$B$128,"&gt;="&amp;$G$11)</f>
        <v>154.10991740442694</v>
      </c>
      <c r="L36" s="93">
        <f>SUMIFS('Modelled costs'!F$5:F$128,'Modelled costs'!$A$5:$A$128,$B36,'Modelled costs'!$B$5:$B$128,"&gt;="&amp;$G$11)</f>
        <v>192.00397582242266</v>
      </c>
      <c r="M36" s="93">
        <f>SUMIFS('Modelled costs'!G$5:G$128,'Modelled costs'!$A$5:$A$128,$B36,'Modelled costs'!$B$5:$B$128,"&gt;="&amp;$G$11)</f>
        <v>333.09078614492489</v>
      </c>
      <c r="N36" s="93">
        <f>SUMIFS('Modelled costs'!H$5:H$128,'Modelled costs'!$A$5:$A$128,$B36,'Modelled costs'!$B$5:$B$128,"&gt;="&amp;$G$11)</f>
        <v>338.57868078736266</v>
      </c>
      <c r="O36" s="93">
        <f t="shared" si="4"/>
        <v>147.17446485069897</v>
      </c>
      <c r="P36" s="93">
        <f t="shared" si="5"/>
        <v>192.00397582242266</v>
      </c>
      <c r="Q36" s="93">
        <f t="shared" si="6"/>
        <v>335.8347334661438</v>
      </c>
      <c r="R36" s="94">
        <f t="shared" si="7"/>
        <v>339.1784406731216</v>
      </c>
      <c r="S36" s="95">
        <f t="shared" si="8"/>
        <v>337.5065870696327</v>
      </c>
      <c r="T36" s="95">
        <f t="shared" si="0"/>
        <v>33.223340553687159</v>
      </c>
      <c r="U36" s="95">
        <f t="shared" si="1"/>
        <v>304.28324651594551</v>
      </c>
    </row>
    <row r="37" spans="1:43" x14ac:dyDescent="0.3">
      <c r="V37" s="44"/>
      <c r="W37" s="5"/>
      <c r="X37" s="5"/>
      <c r="Y37" s="5"/>
      <c r="Z37" s="5"/>
      <c r="AA37" s="5"/>
      <c r="AB37" s="5"/>
      <c r="AC37" s="5"/>
      <c r="AD37" s="4"/>
      <c r="AE37" s="5"/>
      <c r="AF37" s="5"/>
      <c r="AG37" s="5"/>
      <c r="AH37" s="5"/>
      <c r="AI37" s="5"/>
      <c r="AJ37" s="5"/>
      <c r="AK37" s="5"/>
      <c r="AL37" s="5"/>
      <c r="AM37" s="5"/>
      <c r="AN37" s="5"/>
      <c r="AO37" s="5"/>
      <c r="AP37" s="5"/>
      <c r="AQ37" s="5"/>
    </row>
    <row r="38" spans="1:43" s="9" customFormat="1" ht="18.5" x14ac:dyDescent="0.3">
      <c r="B38" s="10" t="s">
        <v>116</v>
      </c>
      <c r="E38" s="10" t="str">
        <f>E14</f>
        <v>5 years</v>
      </c>
      <c r="W38" s="10"/>
      <c r="AF38" s="12"/>
    </row>
    <row r="39" spans="1:43" s="4" customFormat="1" x14ac:dyDescent="0.3">
      <c r="A39" s="3"/>
      <c r="B39" s="3"/>
      <c r="C39" s="3"/>
      <c r="D39" s="3"/>
      <c r="E39" s="3"/>
      <c r="F39" s="3"/>
      <c r="I39" s="113" t="s">
        <v>126</v>
      </c>
      <c r="J39" s="113"/>
      <c r="U39" s="3"/>
      <c r="V39" s="3"/>
      <c r="W39" s="3"/>
      <c r="X39" s="3"/>
      <c r="Y39" s="3"/>
      <c r="Z39" s="3"/>
      <c r="AA39" s="3"/>
      <c r="AB39" s="3"/>
      <c r="AC39" s="3"/>
      <c r="AE39" s="3"/>
      <c r="AF39" s="3"/>
      <c r="AG39" s="3"/>
      <c r="AH39" s="3"/>
      <c r="AI39" s="3"/>
      <c r="AJ39" s="3"/>
      <c r="AK39" s="3"/>
      <c r="AL39" s="3"/>
      <c r="AM39" s="3"/>
      <c r="AN39" s="3"/>
      <c r="AO39" s="3"/>
      <c r="AP39" s="3"/>
      <c r="AQ39" s="3"/>
    </row>
    <row r="40" spans="1:43" ht="14.5" x14ac:dyDescent="0.3">
      <c r="B40" s="30"/>
      <c r="C40" s="31" t="s">
        <v>62</v>
      </c>
      <c r="D40" s="31" t="s">
        <v>63</v>
      </c>
      <c r="E40" s="31" t="s">
        <v>64</v>
      </c>
      <c r="F40" s="31" t="s">
        <v>68</v>
      </c>
      <c r="G40" s="31" t="s">
        <v>69</v>
      </c>
      <c r="H40" s="31" t="s">
        <v>64</v>
      </c>
      <c r="I40" s="114"/>
      <c r="J40" s="115" t="s">
        <v>62</v>
      </c>
      <c r="K40" s="116"/>
      <c r="L40" s="117" t="s">
        <v>63</v>
      </c>
      <c r="M40" s="116"/>
      <c r="N40" s="117" t="s">
        <v>64</v>
      </c>
      <c r="O40" s="116"/>
      <c r="P40" s="117" t="s">
        <v>68</v>
      </c>
      <c r="Q40" s="116"/>
      <c r="R40" s="117" t="s">
        <v>69</v>
      </c>
      <c r="S40" s="116"/>
      <c r="T40" s="117" t="s">
        <v>124</v>
      </c>
      <c r="U40" s="116"/>
    </row>
    <row r="41" spans="1:43" ht="39" x14ac:dyDescent="0.3">
      <c r="B41" s="30"/>
      <c r="C41" s="37" t="s">
        <v>39</v>
      </c>
      <c r="D41" s="37" t="s">
        <v>40</v>
      </c>
      <c r="E41" s="37" t="s">
        <v>41</v>
      </c>
      <c r="F41" s="37" t="s">
        <v>54</v>
      </c>
      <c r="G41" s="37" t="s">
        <v>55</v>
      </c>
      <c r="H41" s="37" t="s">
        <v>117</v>
      </c>
      <c r="I41" s="96" t="s">
        <v>27</v>
      </c>
      <c r="J41" s="118" t="s">
        <v>21</v>
      </c>
      <c r="K41" s="31" t="s">
        <v>18</v>
      </c>
      <c r="L41" s="31" t="s">
        <v>21</v>
      </c>
      <c r="M41" s="31" t="s">
        <v>18</v>
      </c>
      <c r="N41" s="31" t="s">
        <v>21</v>
      </c>
      <c r="O41" s="31" t="s">
        <v>18</v>
      </c>
      <c r="P41" s="31" t="s">
        <v>21</v>
      </c>
      <c r="Q41" s="31" t="s">
        <v>18</v>
      </c>
      <c r="R41" s="31" t="s">
        <v>21</v>
      </c>
      <c r="S41" s="31" t="s">
        <v>18</v>
      </c>
      <c r="T41" s="31" t="s">
        <v>21</v>
      </c>
      <c r="U41" s="31" t="s">
        <v>18</v>
      </c>
    </row>
    <row r="42" spans="1:43" ht="14.5" x14ac:dyDescent="0.3">
      <c r="B42" s="38" t="s">
        <v>2</v>
      </c>
      <c r="C42" s="40">
        <f>F20/O20</f>
        <v>0.84453445422931173</v>
      </c>
      <c r="D42" s="40">
        <f>D20/P20</f>
        <v>1.0406078455196428</v>
      </c>
      <c r="E42" s="40">
        <f>G20/Q20</f>
        <v>1.0498036237923598</v>
      </c>
      <c r="F42" s="40">
        <f>C20/T20</f>
        <v>0.99386923914287406</v>
      </c>
      <c r="G42" s="40">
        <f>E20/U20</f>
        <v>0.99386923914287417</v>
      </c>
      <c r="H42" s="40">
        <f>G20/S20</f>
        <v>0.99386923914287417</v>
      </c>
      <c r="I42" s="96">
        <v>1</v>
      </c>
      <c r="J42" s="30" t="str">
        <f>INDEX($B$42:$B$58,MATCH(K42,$C$42:$C$58,0),1)</f>
        <v>SSC</v>
      </c>
      <c r="K42" s="41">
        <f>SMALL($C$42:$C$58,$I42)</f>
        <v>0.60357059411515412</v>
      </c>
      <c r="L42" s="30" t="str">
        <f t="shared" ref="L42:L58" si="11">INDEX($B$42:$B$58,MATCH(M42,$D$42:$D$58,0),1)</f>
        <v>SWB</v>
      </c>
      <c r="M42" s="41">
        <f>SMALL($D$42:$D$58,$I42)</f>
        <v>0.76997295991426729</v>
      </c>
      <c r="N42" s="30" t="str">
        <f t="shared" ref="N42:N58" si="12">INDEX($B$42:$B$58,MATCH(O42,$E$42:$E$58,0),1)</f>
        <v>YKY</v>
      </c>
      <c r="O42" s="41">
        <f>SMALL($E$42:$E$58,$I42)</f>
        <v>0.81723996441549218</v>
      </c>
      <c r="P42" s="41" t="str">
        <f t="shared" ref="P42:P58" si="13">INDEX($B$42:$B$58,MATCH(Q42,$F$42:$F$58,0),1)</f>
        <v>PRT</v>
      </c>
      <c r="Q42" s="41">
        <f>SMALL($F$42:$F$58,$I42)</f>
        <v>0.82417059798987957</v>
      </c>
      <c r="R42" s="41" t="str">
        <f t="shared" ref="R42:R58" si="14">INDEX($B$42:$B$58,MATCH(S42,$G$42:$G$58,0),1)</f>
        <v>PRT</v>
      </c>
      <c r="S42" s="41">
        <f>SMALL($G$42:$G$58,$I42)</f>
        <v>0.82417059798987946</v>
      </c>
      <c r="T42" s="30" t="str">
        <f t="shared" ref="T42:T58" si="15">INDEX($B$42:$B$58,MATCH(U42,$H$42:$H$58,0),1)</f>
        <v>PRT</v>
      </c>
      <c r="U42" s="41">
        <f>SMALL($H$42:$H$58,$I42)</f>
        <v>0.82417059798987946</v>
      </c>
    </row>
    <row r="43" spans="1:43" ht="14.5" x14ac:dyDescent="0.3">
      <c r="B43" s="38" t="s">
        <v>3</v>
      </c>
      <c r="C43" s="40">
        <f t="shared" ref="C43:C58" si="16">F21/O21</f>
        <v>0.96488397794152814</v>
      </c>
      <c r="D43" s="40">
        <f t="shared" ref="D43:D58" si="17">D21/P21</f>
        <v>1.0273761359246603</v>
      </c>
      <c r="E43" s="40">
        <f t="shared" ref="E43:E58" si="18">G21/Q21</f>
        <v>0.96901593424087273</v>
      </c>
      <c r="F43" s="40">
        <f t="shared" ref="F43:F58" si="19">C21/T21</f>
        <v>0.98305678513221828</v>
      </c>
      <c r="G43" s="40">
        <f t="shared" ref="G43:G58" si="20">E21/U21</f>
        <v>0.98305678513221828</v>
      </c>
      <c r="H43" s="40">
        <f t="shared" ref="H43:H58" si="21">G21/S21</f>
        <v>0.98305678513221828</v>
      </c>
      <c r="I43" s="31">
        <v>2</v>
      </c>
      <c r="J43" s="30" t="str">
        <f t="shared" ref="J43:J58" si="22">INDEX($B$42:$B$58,MATCH(K43,$C$42:$C$58,0),1)</f>
        <v>PRT</v>
      </c>
      <c r="K43" s="41">
        <f t="shared" ref="K43:K58" si="23">SMALL($C$42:$C$58,$I43)</f>
        <v>0.65760595428919077</v>
      </c>
      <c r="L43" s="30" t="str">
        <f t="shared" si="11"/>
        <v>SRN</v>
      </c>
      <c r="M43" s="41">
        <f t="shared" ref="M43:M58" si="24">SMALL($D$42:$D$58,$I43)</f>
        <v>0.8669033176901233</v>
      </c>
      <c r="N43" s="30" t="str">
        <f t="shared" si="12"/>
        <v>DVW</v>
      </c>
      <c r="O43" s="41">
        <f t="shared" ref="O43:O58" si="25">SMALL($E$42:$E$58,$I43)</f>
        <v>0.83038606532795112</v>
      </c>
      <c r="P43" s="41" t="str">
        <f t="shared" si="13"/>
        <v>YKY</v>
      </c>
      <c r="Q43" s="41">
        <f t="shared" ref="Q43:Q58" si="26">SMALL($F$42:$F$58,$I43)</f>
        <v>0.8602986645987013</v>
      </c>
      <c r="R43" s="41" t="str">
        <f t="shared" si="14"/>
        <v>YKY</v>
      </c>
      <c r="S43" s="41">
        <f t="shared" ref="S43:S58" si="27">SMALL($G$42:$G$58,$I43)</f>
        <v>0.86029866459870119</v>
      </c>
      <c r="T43" s="30" t="str">
        <f t="shared" si="15"/>
        <v>YKY</v>
      </c>
      <c r="U43" s="41">
        <f t="shared" ref="U43:U58" si="28">SMALL($H$42:$H$58,$I43)</f>
        <v>0.8602986645987013</v>
      </c>
    </row>
    <row r="44" spans="1:43" ht="14.5" x14ac:dyDescent="0.3">
      <c r="B44" s="38" t="s">
        <v>4</v>
      </c>
      <c r="C44" s="40">
        <f t="shared" si="16"/>
        <v>1.2748845154535982</v>
      </c>
      <c r="D44" s="40">
        <f t="shared" si="17"/>
        <v>0.91809623963551479</v>
      </c>
      <c r="E44" s="40">
        <f t="shared" si="18"/>
        <v>1.0597549375792692</v>
      </c>
      <c r="F44" s="40">
        <f t="shared" si="19"/>
        <v>1.0682692422799991</v>
      </c>
      <c r="G44" s="40">
        <f t="shared" si="20"/>
        <v>1.0682692422799993</v>
      </c>
      <c r="H44" s="40">
        <f t="shared" si="21"/>
        <v>1.0682692422799991</v>
      </c>
      <c r="I44" s="31">
        <v>3</v>
      </c>
      <c r="J44" s="30" t="str">
        <f t="shared" si="22"/>
        <v>AFW</v>
      </c>
      <c r="K44" s="41">
        <f t="shared" si="23"/>
        <v>0.80738611269720739</v>
      </c>
      <c r="L44" s="30" t="str">
        <f t="shared" si="11"/>
        <v>WSX</v>
      </c>
      <c r="M44" s="41">
        <f t="shared" si="24"/>
        <v>0.88563258302105696</v>
      </c>
      <c r="N44" s="30" t="str">
        <f t="shared" si="12"/>
        <v>PRT</v>
      </c>
      <c r="O44" s="41">
        <f t="shared" si="25"/>
        <v>0.83662541582754757</v>
      </c>
      <c r="P44" s="41" t="str">
        <f t="shared" si="13"/>
        <v>DVW</v>
      </c>
      <c r="Q44" s="41">
        <f t="shared" si="26"/>
        <v>0.86458914772669904</v>
      </c>
      <c r="R44" s="41" t="str">
        <f t="shared" si="14"/>
        <v>DVW</v>
      </c>
      <c r="S44" s="41">
        <f t="shared" si="27"/>
        <v>0.86458914772669893</v>
      </c>
      <c r="T44" s="30" t="str">
        <f t="shared" si="15"/>
        <v>DVW</v>
      </c>
      <c r="U44" s="41">
        <f t="shared" si="28"/>
        <v>0.86458914772669893</v>
      </c>
    </row>
    <row r="45" spans="1:43" ht="14.5" x14ac:dyDescent="0.3">
      <c r="B45" s="38" t="s">
        <v>5</v>
      </c>
      <c r="C45" s="40">
        <f t="shared" si="16"/>
        <v>1.1426670264982459</v>
      </c>
      <c r="D45" s="40">
        <f t="shared" si="17"/>
        <v>0.8669033176901233</v>
      </c>
      <c r="E45" s="40">
        <f t="shared" si="18"/>
        <v>0.93936764953211438</v>
      </c>
      <c r="F45" s="40">
        <f t="shared" si="19"/>
        <v>0.96221671108902329</v>
      </c>
      <c r="G45" s="40">
        <f t="shared" si="20"/>
        <v>0.96221671108902329</v>
      </c>
      <c r="H45" s="40">
        <f t="shared" si="21"/>
        <v>0.96221671108902318</v>
      </c>
      <c r="I45" s="31">
        <v>4</v>
      </c>
      <c r="J45" s="30" t="str">
        <f t="shared" si="22"/>
        <v>YKY</v>
      </c>
      <c r="K45" s="41">
        <f t="shared" si="23"/>
        <v>0.82033178795084849</v>
      </c>
      <c r="L45" s="30" t="str">
        <f t="shared" si="11"/>
        <v>PRT</v>
      </c>
      <c r="M45" s="41">
        <f t="shared" si="24"/>
        <v>0.90716135201027748</v>
      </c>
      <c r="N45" s="30" t="str">
        <f t="shared" si="12"/>
        <v>SRN</v>
      </c>
      <c r="O45" s="41">
        <f t="shared" si="25"/>
        <v>0.93936764953211438</v>
      </c>
      <c r="P45" s="41" t="str">
        <f t="shared" si="13"/>
        <v>WSX</v>
      </c>
      <c r="Q45" s="41">
        <f t="shared" si="26"/>
        <v>0.94939098430254576</v>
      </c>
      <c r="R45" s="41" t="str">
        <f t="shared" si="14"/>
        <v>WSX</v>
      </c>
      <c r="S45" s="41">
        <f t="shared" si="27"/>
        <v>0.94939098430254576</v>
      </c>
      <c r="T45" s="30" t="str">
        <f t="shared" si="15"/>
        <v>WSX</v>
      </c>
      <c r="U45" s="41">
        <f t="shared" si="28"/>
        <v>0.94939098430254565</v>
      </c>
    </row>
    <row r="46" spans="1:43" ht="14.5" x14ac:dyDescent="0.3">
      <c r="B46" s="38" t="s">
        <v>6</v>
      </c>
      <c r="C46" s="40">
        <f t="shared" si="16"/>
        <v>1.1624669490795236</v>
      </c>
      <c r="D46" s="40">
        <f t="shared" si="17"/>
        <v>0.95789623049163597</v>
      </c>
      <c r="E46" s="40">
        <f t="shared" si="18"/>
        <v>1.0098674900534845</v>
      </c>
      <c r="F46" s="40">
        <f t="shared" si="19"/>
        <v>1.0240957365853756</v>
      </c>
      <c r="G46" s="40">
        <f t="shared" si="20"/>
        <v>1.0240957365853756</v>
      </c>
      <c r="H46" s="40">
        <f t="shared" si="21"/>
        <v>1.0240957365853758</v>
      </c>
      <c r="I46" s="31">
        <v>5</v>
      </c>
      <c r="J46" s="30" t="str">
        <f t="shared" si="22"/>
        <v>SEW</v>
      </c>
      <c r="K46" s="41">
        <f t="shared" si="23"/>
        <v>0.82039391757908153</v>
      </c>
      <c r="L46" s="30" t="str">
        <f t="shared" si="11"/>
        <v>NWT</v>
      </c>
      <c r="M46" s="41">
        <f t="shared" si="24"/>
        <v>0.91809623963551479</v>
      </c>
      <c r="N46" s="30" t="str">
        <f t="shared" si="12"/>
        <v>WSX</v>
      </c>
      <c r="O46" s="41">
        <f t="shared" si="25"/>
        <v>0.95775530350071991</v>
      </c>
      <c r="P46" s="41" t="str">
        <f t="shared" si="13"/>
        <v>SWB</v>
      </c>
      <c r="Q46" s="41">
        <f t="shared" si="26"/>
        <v>0.95210806052764874</v>
      </c>
      <c r="R46" s="41" t="str">
        <f t="shared" si="14"/>
        <v>SWB</v>
      </c>
      <c r="S46" s="41">
        <f t="shared" si="27"/>
        <v>0.95210806052764874</v>
      </c>
      <c r="T46" s="30" t="str">
        <f t="shared" si="15"/>
        <v>SWB</v>
      </c>
      <c r="U46" s="41">
        <f t="shared" si="28"/>
        <v>0.95210806052764874</v>
      </c>
    </row>
    <row r="47" spans="1:43" ht="14.5" x14ac:dyDescent="0.3">
      <c r="B47" s="38" t="s">
        <v>17</v>
      </c>
      <c r="C47" s="40">
        <f t="shared" si="16"/>
        <v>1.1280455695222198</v>
      </c>
      <c r="D47" s="40">
        <f t="shared" si="17"/>
        <v>0.76997295991426729</v>
      </c>
      <c r="E47" s="40">
        <f t="shared" si="18"/>
        <v>0.98195261289608737</v>
      </c>
      <c r="F47" s="40">
        <f t="shared" si="19"/>
        <v>0.95210806052764874</v>
      </c>
      <c r="G47" s="40">
        <f t="shared" si="20"/>
        <v>0.95210806052764874</v>
      </c>
      <c r="H47" s="40">
        <f t="shared" si="21"/>
        <v>0.95210806052764874</v>
      </c>
      <c r="I47" s="31">
        <v>6</v>
      </c>
      <c r="J47" s="30" t="str">
        <f t="shared" si="22"/>
        <v>ANH</v>
      </c>
      <c r="K47" s="41">
        <f t="shared" si="23"/>
        <v>0.84453445422931173</v>
      </c>
      <c r="L47" s="30" t="str">
        <f t="shared" si="11"/>
        <v>DVW</v>
      </c>
      <c r="M47" s="41">
        <f t="shared" si="24"/>
        <v>0.94954145367337239</v>
      </c>
      <c r="N47" s="30" t="str">
        <f t="shared" si="12"/>
        <v>NES</v>
      </c>
      <c r="O47" s="41">
        <f t="shared" si="25"/>
        <v>0.96901593424087273</v>
      </c>
      <c r="P47" s="41" t="str">
        <f t="shared" si="13"/>
        <v>SRN</v>
      </c>
      <c r="Q47" s="41">
        <f t="shared" si="26"/>
        <v>0.96221671108902329</v>
      </c>
      <c r="R47" s="41" t="str">
        <f t="shared" si="14"/>
        <v>SRN</v>
      </c>
      <c r="S47" s="41">
        <f t="shared" si="27"/>
        <v>0.96221671108902329</v>
      </c>
      <c r="T47" s="30" t="str">
        <f t="shared" si="15"/>
        <v>SRN</v>
      </c>
      <c r="U47" s="41">
        <f t="shared" si="28"/>
        <v>0.96221671108902318</v>
      </c>
    </row>
    <row r="48" spans="1:43" ht="14.5" x14ac:dyDescent="0.3">
      <c r="B48" s="38" t="s">
        <v>7</v>
      </c>
      <c r="C48" s="40">
        <f t="shared" si="16"/>
        <v>1.107566419496042</v>
      </c>
      <c r="D48" s="40">
        <f t="shared" si="17"/>
        <v>0.96059270369494576</v>
      </c>
      <c r="E48" s="40">
        <f t="shared" si="18"/>
        <v>1.0270260114113909</v>
      </c>
      <c r="F48" s="40">
        <f t="shared" si="19"/>
        <v>1.0155186966427434</v>
      </c>
      <c r="G48" s="40">
        <f t="shared" si="20"/>
        <v>1.0155186966427436</v>
      </c>
      <c r="H48" s="40">
        <f t="shared" si="21"/>
        <v>1.0155186966427436</v>
      </c>
      <c r="I48" s="31">
        <v>7</v>
      </c>
      <c r="J48" s="30" t="str">
        <f t="shared" si="22"/>
        <v>DVW</v>
      </c>
      <c r="K48" s="41">
        <f t="shared" si="23"/>
        <v>0.86130559065262147</v>
      </c>
      <c r="L48" s="30" t="str">
        <f t="shared" si="11"/>
        <v>SES</v>
      </c>
      <c r="M48" s="41">
        <f t="shared" si="24"/>
        <v>0.9544777555684647</v>
      </c>
      <c r="N48" s="30" t="str">
        <f t="shared" si="12"/>
        <v>SWB</v>
      </c>
      <c r="O48" s="41">
        <f t="shared" si="25"/>
        <v>0.98195261289608737</v>
      </c>
      <c r="P48" s="41" t="str">
        <f t="shared" si="13"/>
        <v>SSC</v>
      </c>
      <c r="Q48" s="41">
        <f t="shared" si="26"/>
        <v>0.97724892114254835</v>
      </c>
      <c r="R48" s="41" t="str">
        <f t="shared" si="14"/>
        <v>SSC</v>
      </c>
      <c r="S48" s="41">
        <f t="shared" si="27"/>
        <v>0.97724892114254835</v>
      </c>
      <c r="T48" s="30" t="str">
        <f t="shared" si="15"/>
        <v>SSC</v>
      </c>
      <c r="U48" s="41">
        <f t="shared" si="28"/>
        <v>0.97724892114254835</v>
      </c>
    </row>
    <row r="49" spans="1:23" ht="14.5" x14ac:dyDescent="0.3">
      <c r="B49" s="38" t="s">
        <v>26</v>
      </c>
      <c r="C49" s="40">
        <f t="shared" si="16"/>
        <v>1.3754921134075764</v>
      </c>
      <c r="D49" s="40">
        <f t="shared" si="17"/>
        <v>1.0689160488161051</v>
      </c>
      <c r="E49" s="40">
        <f t="shared" si="18"/>
        <v>1.1682168737122645</v>
      </c>
      <c r="F49" s="43">
        <f t="shared" si="19"/>
        <v>1.1837082030943953</v>
      </c>
      <c r="G49" s="40">
        <f t="shared" si="20"/>
        <v>1.1837082030943953</v>
      </c>
      <c r="H49" s="40">
        <f t="shared" si="21"/>
        <v>1.1837082030943953</v>
      </c>
      <c r="I49" s="31">
        <v>8</v>
      </c>
      <c r="J49" s="30" t="str">
        <f t="shared" si="22"/>
        <v>NES</v>
      </c>
      <c r="K49" s="41">
        <f t="shared" si="23"/>
        <v>0.96488397794152814</v>
      </c>
      <c r="L49" s="30" t="str">
        <f t="shared" si="11"/>
        <v>SVT</v>
      </c>
      <c r="M49" s="41">
        <f t="shared" si="24"/>
        <v>0.95789623049163597</v>
      </c>
      <c r="N49" s="30" t="str">
        <f t="shared" si="12"/>
        <v>SSC</v>
      </c>
      <c r="O49" s="41">
        <f t="shared" si="25"/>
        <v>0.98211386501972031</v>
      </c>
      <c r="P49" s="41" t="str">
        <f t="shared" si="13"/>
        <v>NES</v>
      </c>
      <c r="Q49" s="41">
        <f t="shared" si="26"/>
        <v>0.98305678513221828</v>
      </c>
      <c r="R49" s="41" t="str">
        <f t="shared" si="14"/>
        <v>NES</v>
      </c>
      <c r="S49" s="41">
        <f t="shared" si="27"/>
        <v>0.98305678513221828</v>
      </c>
      <c r="T49" s="30" t="str">
        <f t="shared" si="15"/>
        <v>NES</v>
      </c>
      <c r="U49" s="41">
        <f t="shared" si="28"/>
        <v>0.98305678513221828</v>
      </c>
    </row>
    <row r="50" spans="1:23" ht="14.5" x14ac:dyDescent="0.3">
      <c r="B50" s="38" t="s">
        <v>8</v>
      </c>
      <c r="C50" s="40">
        <f t="shared" si="16"/>
        <v>1.0237054402850885</v>
      </c>
      <c r="D50" s="40">
        <f t="shared" si="17"/>
        <v>0.88563258302105696</v>
      </c>
      <c r="E50" s="40">
        <f t="shared" si="18"/>
        <v>0.95775530350071991</v>
      </c>
      <c r="F50" s="40">
        <f t="shared" si="19"/>
        <v>0.94939098430254576</v>
      </c>
      <c r="G50" s="40">
        <f t="shared" si="20"/>
        <v>0.94939098430254576</v>
      </c>
      <c r="H50" s="40">
        <f t="shared" si="21"/>
        <v>0.94939098430254565</v>
      </c>
      <c r="I50" s="31">
        <v>9</v>
      </c>
      <c r="J50" s="30" t="str">
        <f t="shared" si="22"/>
        <v>WSX</v>
      </c>
      <c r="K50" s="41">
        <f t="shared" si="23"/>
        <v>1.0237054402850885</v>
      </c>
      <c r="L50" s="30" t="str">
        <f t="shared" si="11"/>
        <v>TMS</v>
      </c>
      <c r="M50" s="41">
        <f t="shared" si="24"/>
        <v>0.96059270369494576</v>
      </c>
      <c r="N50" s="30" t="str">
        <f t="shared" si="12"/>
        <v>BRL</v>
      </c>
      <c r="O50" s="41">
        <f t="shared" si="25"/>
        <v>0.99609735431054458</v>
      </c>
      <c r="P50" s="41" t="str">
        <f t="shared" si="13"/>
        <v>ANH</v>
      </c>
      <c r="Q50" s="41">
        <f t="shared" si="26"/>
        <v>0.99386923914287406</v>
      </c>
      <c r="R50" s="41" t="str">
        <f t="shared" si="14"/>
        <v>ANH</v>
      </c>
      <c r="S50" s="41">
        <f t="shared" si="27"/>
        <v>0.99386923914287417</v>
      </c>
      <c r="T50" s="30" t="str">
        <f t="shared" si="15"/>
        <v>ANH</v>
      </c>
      <c r="U50" s="41">
        <f t="shared" si="28"/>
        <v>0.99386923914287417</v>
      </c>
    </row>
    <row r="51" spans="1:23" ht="14.5" x14ac:dyDescent="0.3">
      <c r="B51" s="38" t="s">
        <v>9</v>
      </c>
      <c r="C51" s="40">
        <f t="shared" si="16"/>
        <v>0.82033178795084849</v>
      </c>
      <c r="D51" s="40">
        <f t="shared" si="17"/>
        <v>0.98735495634098769</v>
      </c>
      <c r="E51" s="40">
        <f t="shared" si="18"/>
        <v>0.81723996441549218</v>
      </c>
      <c r="F51" s="40">
        <f t="shared" si="19"/>
        <v>0.8602986645987013</v>
      </c>
      <c r="G51" s="40">
        <f t="shared" si="20"/>
        <v>0.86029866459870119</v>
      </c>
      <c r="H51" s="40">
        <f t="shared" si="21"/>
        <v>0.8602986645987013</v>
      </c>
      <c r="I51" s="31">
        <v>10</v>
      </c>
      <c r="J51" s="30" t="str">
        <f t="shared" si="22"/>
        <v>TMS</v>
      </c>
      <c r="K51" s="41">
        <f t="shared" si="23"/>
        <v>1.107566419496042</v>
      </c>
      <c r="L51" s="30" t="str">
        <f t="shared" si="11"/>
        <v>YKY</v>
      </c>
      <c r="M51" s="41">
        <f t="shared" si="24"/>
        <v>0.98735495634098769</v>
      </c>
      <c r="N51" s="30" t="str">
        <f t="shared" si="12"/>
        <v>AFW</v>
      </c>
      <c r="O51" s="41">
        <f t="shared" si="25"/>
        <v>0.99960185313648242</v>
      </c>
      <c r="P51" s="41" t="str">
        <f t="shared" si="13"/>
        <v>TMS</v>
      </c>
      <c r="Q51" s="41">
        <f t="shared" si="26"/>
        <v>1.0155186966427434</v>
      </c>
      <c r="R51" s="41" t="str">
        <f t="shared" si="14"/>
        <v>TMS</v>
      </c>
      <c r="S51" s="41">
        <f t="shared" si="27"/>
        <v>1.0155186966427436</v>
      </c>
      <c r="T51" s="30" t="str">
        <f t="shared" si="15"/>
        <v>TMS</v>
      </c>
      <c r="U51" s="41">
        <f t="shared" si="28"/>
        <v>1.0155186966427436</v>
      </c>
    </row>
    <row r="52" spans="1:23" ht="14.5" x14ac:dyDescent="0.3">
      <c r="B52" s="38" t="s">
        <v>10</v>
      </c>
      <c r="C52" s="40">
        <f t="shared" si="16"/>
        <v>0.80738611269720739</v>
      </c>
      <c r="D52" s="40">
        <f t="shared" si="17"/>
        <v>1.290607532676556</v>
      </c>
      <c r="E52" s="40">
        <f t="shared" si="18"/>
        <v>0.99960185313648242</v>
      </c>
      <c r="F52" s="40">
        <f t="shared" si="19"/>
        <v>1.0474487562561039</v>
      </c>
      <c r="G52" s="40">
        <f t="shared" si="20"/>
        <v>1.0474487562561039</v>
      </c>
      <c r="H52" s="40">
        <f t="shared" si="21"/>
        <v>1.0474487562561039</v>
      </c>
      <c r="I52" s="31">
        <v>11</v>
      </c>
      <c r="J52" s="30" t="str">
        <f t="shared" si="22"/>
        <v>SWB</v>
      </c>
      <c r="K52" s="41">
        <f t="shared" si="23"/>
        <v>1.1280455695222198</v>
      </c>
      <c r="L52" s="30" t="str">
        <f t="shared" si="11"/>
        <v>NES</v>
      </c>
      <c r="M52" s="41">
        <f t="shared" si="24"/>
        <v>1.0273761359246603</v>
      </c>
      <c r="N52" s="30" t="str">
        <f t="shared" si="12"/>
        <v>SVT</v>
      </c>
      <c r="O52" s="41">
        <f t="shared" si="25"/>
        <v>1.0098674900534845</v>
      </c>
      <c r="P52" s="41" t="str">
        <f t="shared" si="13"/>
        <v>SEW</v>
      </c>
      <c r="Q52" s="41">
        <f t="shared" si="26"/>
        <v>1.0228249136896539</v>
      </c>
      <c r="R52" s="41" t="str">
        <f t="shared" si="14"/>
        <v>SEW</v>
      </c>
      <c r="S52" s="41">
        <f t="shared" si="27"/>
        <v>1.0228249136896541</v>
      </c>
      <c r="T52" s="30" t="str">
        <f t="shared" si="15"/>
        <v>SEW</v>
      </c>
      <c r="U52" s="41">
        <f t="shared" si="28"/>
        <v>1.0228249136896541</v>
      </c>
    </row>
    <row r="53" spans="1:23" ht="14.5" x14ac:dyDescent="0.3">
      <c r="B53" s="38" t="s">
        <v>11</v>
      </c>
      <c r="C53" s="40">
        <f t="shared" si="16"/>
        <v>1.1881667119470616</v>
      </c>
      <c r="D53" s="40">
        <f t="shared" si="17"/>
        <v>1.1445265429191163</v>
      </c>
      <c r="E53" s="40">
        <f t="shared" si="18"/>
        <v>0.99609735431054458</v>
      </c>
      <c r="F53" s="40">
        <f t="shared" si="19"/>
        <v>1.073066380389003</v>
      </c>
      <c r="G53" s="40">
        <f t="shared" si="20"/>
        <v>1.073066380389003</v>
      </c>
      <c r="H53" s="40">
        <f t="shared" si="21"/>
        <v>1.073066380389003</v>
      </c>
      <c r="I53" s="31">
        <v>12</v>
      </c>
      <c r="J53" s="30" t="str">
        <f t="shared" si="22"/>
        <v>SRN</v>
      </c>
      <c r="K53" s="41">
        <f t="shared" si="23"/>
        <v>1.1426670264982459</v>
      </c>
      <c r="L53" s="30" t="str">
        <f t="shared" si="11"/>
        <v>ANH</v>
      </c>
      <c r="M53" s="41">
        <f t="shared" si="24"/>
        <v>1.0406078455196428</v>
      </c>
      <c r="N53" s="30" t="str">
        <f t="shared" si="12"/>
        <v>SEW</v>
      </c>
      <c r="O53" s="41">
        <f t="shared" si="25"/>
        <v>1.0105979762105377</v>
      </c>
      <c r="P53" s="41" t="str">
        <f t="shared" si="13"/>
        <v>SVT</v>
      </c>
      <c r="Q53" s="41">
        <f t="shared" si="26"/>
        <v>1.0240957365853756</v>
      </c>
      <c r="R53" s="41" t="str">
        <f t="shared" si="14"/>
        <v>SVT</v>
      </c>
      <c r="S53" s="41">
        <f t="shared" si="27"/>
        <v>1.0240957365853756</v>
      </c>
      <c r="T53" s="30" t="str">
        <f t="shared" si="15"/>
        <v>SVT</v>
      </c>
      <c r="U53" s="41">
        <f t="shared" si="28"/>
        <v>1.0240957365853758</v>
      </c>
    </row>
    <row r="54" spans="1:23" ht="14.5" x14ac:dyDescent="0.3">
      <c r="B54" s="38" t="s">
        <v>12</v>
      </c>
      <c r="C54" s="40">
        <f t="shared" si="16"/>
        <v>0.86130559065262147</v>
      </c>
      <c r="D54" s="40">
        <f t="shared" si="17"/>
        <v>0.94954145367337239</v>
      </c>
      <c r="E54" s="40">
        <f t="shared" si="18"/>
        <v>0.83038606532795112</v>
      </c>
      <c r="F54" s="40">
        <f t="shared" si="19"/>
        <v>0.86458914772669904</v>
      </c>
      <c r="G54" s="40">
        <f t="shared" si="20"/>
        <v>0.86458914772669893</v>
      </c>
      <c r="H54" s="40">
        <f t="shared" si="21"/>
        <v>0.86458914772669893</v>
      </c>
      <c r="I54" s="31">
        <v>13</v>
      </c>
      <c r="J54" s="30" t="str">
        <f t="shared" si="22"/>
        <v>SVT</v>
      </c>
      <c r="K54" s="41">
        <f t="shared" si="23"/>
        <v>1.1624669490795236</v>
      </c>
      <c r="L54" s="30" t="str">
        <f t="shared" si="11"/>
        <v>WSH</v>
      </c>
      <c r="M54" s="41">
        <f t="shared" si="24"/>
        <v>1.0689160488161051</v>
      </c>
      <c r="N54" s="30" t="str">
        <f t="shared" si="12"/>
        <v>TMS</v>
      </c>
      <c r="O54" s="41">
        <f t="shared" si="25"/>
        <v>1.0270260114113909</v>
      </c>
      <c r="P54" s="41" t="str">
        <f t="shared" si="13"/>
        <v>AFW</v>
      </c>
      <c r="Q54" s="41">
        <f t="shared" si="26"/>
        <v>1.0474487562561039</v>
      </c>
      <c r="R54" s="41" t="str">
        <f t="shared" si="14"/>
        <v>AFW</v>
      </c>
      <c r="S54" s="41">
        <f t="shared" si="27"/>
        <v>1.0474487562561039</v>
      </c>
      <c r="T54" s="30" t="str">
        <f t="shared" si="15"/>
        <v>AFW</v>
      </c>
      <c r="U54" s="41">
        <f t="shared" si="28"/>
        <v>1.0474487562561039</v>
      </c>
    </row>
    <row r="55" spans="1:23" ht="14.5" x14ac:dyDescent="0.3">
      <c r="B55" s="38" t="s">
        <v>13</v>
      </c>
      <c r="C55" s="40">
        <f t="shared" si="16"/>
        <v>0.65760595428919077</v>
      </c>
      <c r="D55" s="40">
        <f t="shared" si="17"/>
        <v>0.90716135201027748</v>
      </c>
      <c r="E55" s="40">
        <f t="shared" si="18"/>
        <v>0.83662541582754757</v>
      </c>
      <c r="F55" s="40">
        <f t="shared" si="19"/>
        <v>0.82417059798987957</v>
      </c>
      <c r="G55" s="40">
        <f t="shared" si="20"/>
        <v>0.82417059798987946</v>
      </c>
      <c r="H55" s="40">
        <f t="shared" si="21"/>
        <v>0.82417059798987946</v>
      </c>
      <c r="I55" s="31">
        <v>14</v>
      </c>
      <c r="J55" s="30" t="str">
        <f t="shared" si="22"/>
        <v>BRL</v>
      </c>
      <c r="K55" s="41">
        <f t="shared" si="23"/>
        <v>1.1881667119470616</v>
      </c>
      <c r="L55" s="30" t="str">
        <f t="shared" si="11"/>
        <v>BRL</v>
      </c>
      <c r="M55" s="41">
        <f t="shared" si="24"/>
        <v>1.1445265429191163</v>
      </c>
      <c r="N55" s="30" t="str">
        <f t="shared" si="12"/>
        <v>ANH</v>
      </c>
      <c r="O55" s="41">
        <f t="shared" si="25"/>
        <v>1.0498036237923598</v>
      </c>
      <c r="P55" s="41" t="str">
        <f t="shared" si="13"/>
        <v>NWT</v>
      </c>
      <c r="Q55" s="41">
        <f t="shared" si="26"/>
        <v>1.0682692422799991</v>
      </c>
      <c r="R55" s="41" t="str">
        <f t="shared" si="14"/>
        <v>NWT</v>
      </c>
      <c r="S55" s="41">
        <f t="shared" si="27"/>
        <v>1.0682692422799993</v>
      </c>
      <c r="T55" s="30" t="str">
        <f t="shared" si="15"/>
        <v>NWT</v>
      </c>
      <c r="U55" s="41">
        <f t="shared" si="28"/>
        <v>1.0682692422799991</v>
      </c>
    </row>
    <row r="56" spans="1:23" ht="14.5" x14ac:dyDescent="0.3">
      <c r="B56" s="38" t="s">
        <v>14</v>
      </c>
      <c r="C56" s="40">
        <f t="shared" si="16"/>
        <v>1.3390434824861972</v>
      </c>
      <c r="D56" s="40">
        <f t="shared" si="17"/>
        <v>0.9544777555684647</v>
      </c>
      <c r="E56" s="40">
        <f t="shared" si="18"/>
        <v>1.1108026670461646</v>
      </c>
      <c r="F56" s="40">
        <f t="shared" si="19"/>
        <v>1.1141429567618917</v>
      </c>
      <c r="G56" s="40">
        <f t="shared" si="20"/>
        <v>1.1141429567618915</v>
      </c>
      <c r="H56" s="40">
        <f t="shared" si="21"/>
        <v>1.1141429567618917</v>
      </c>
      <c r="I56" s="31">
        <v>15</v>
      </c>
      <c r="J56" s="30" t="str">
        <f t="shared" si="22"/>
        <v>NWT</v>
      </c>
      <c r="K56" s="41">
        <f t="shared" si="23"/>
        <v>1.2748845154535982</v>
      </c>
      <c r="L56" s="30" t="str">
        <f t="shared" si="11"/>
        <v>SSC</v>
      </c>
      <c r="M56" s="41">
        <f t="shared" si="24"/>
        <v>1.2551707217077408</v>
      </c>
      <c r="N56" s="30" t="str">
        <f t="shared" si="12"/>
        <v>NWT</v>
      </c>
      <c r="O56" s="41">
        <f t="shared" si="25"/>
        <v>1.0597549375792692</v>
      </c>
      <c r="P56" s="41" t="str">
        <f t="shared" si="13"/>
        <v>BRL</v>
      </c>
      <c r="Q56" s="41">
        <f t="shared" si="26"/>
        <v>1.073066380389003</v>
      </c>
      <c r="R56" s="41" t="str">
        <f t="shared" si="14"/>
        <v>BRL</v>
      </c>
      <c r="S56" s="41">
        <f t="shared" si="27"/>
        <v>1.073066380389003</v>
      </c>
      <c r="T56" s="30" t="str">
        <f t="shared" si="15"/>
        <v>BRL</v>
      </c>
      <c r="U56" s="41">
        <f t="shared" si="28"/>
        <v>1.073066380389003</v>
      </c>
    </row>
    <row r="57" spans="1:23" ht="14.5" x14ac:dyDescent="0.3">
      <c r="B57" s="38" t="s">
        <v>15</v>
      </c>
      <c r="C57" s="40">
        <f t="shared" si="16"/>
        <v>0.82039391757908153</v>
      </c>
      <c r="D57" s="40">
        <f t="shared" si="17"/>
        <v>1.2743445947995333</v>
      </c>
      <c r="E57" s="40">
        <f t="shared" si="18"/>
        <v>1.0105979762105377</v>
      </c>
      <c r="F57" s="40">
        <f t="shared" si="19"/>
        <v>1.0228249136896539</v>
      </c>
      <c r="G57" s="40">
        <f t="shared" si="20"/>
        <v>1.0228249136896541</v>
      </c>
      <c r="H57" s="40">
        <f t="shared" si="21"/>
        <v>1.0228249136896541</v>
      </c>
      <c r="I57" s="31">
        <v>16</v>
      </c>
      <c r="J57" s="30" t="str">
        <f t="shared" si="22"/>
        <v>SES</v>
      </c>
      <c r="K57" s="41">
        <f t="shared" si="23"/>
        <v>1.3390434824861972</v>
      </c>
      <c r="L57" s="30" t="str">
        <f t="shared" si="11"/>
        <v>SEW</v>
      </c>
      <c r="M57" s="41">
        <f t="shared" si="24"/>
        <v>1.2743445947995333</v>
      </c>
      <c r="N57" s="30" t="str">
        <f t="shared" si="12"/>
        <v>SES</v>
      </c>
      <c r="O57" s="41">
        <f t="shared" si="25"/>
        <v>1.1108026670461646</v>
      </c>
      <c r="P57" s="41" t="str">
        <f t="shared" si="13"/>
        <v>SES</v>
      </c>
      <c r="Q57" s="41">
        <f t="shared" si="26"/>
        <v>1.1141429567618917</v>
      </c>
      <c r="R57" s="41" t="str">
        <f t="shared" si="14"/>
        <v>SES</v>
      </c>
      <c r="S57" s="41">
        <f t="shared" si="27"/>
        <v>1.1141429567618915</v>
      </c>
      <c r="T57" s="30" t="str">
        <f t="shared" si="15"/>
        <v>SES</v>
      </c>
      <c r="U57" s="41">
        <f t="shared" si="28"/>
        <v>1.1141429567618917</v>
      </c>
    </row>
    <row r="58" spans="1:23" ht="14.5" x14ac:dyDescent="0.3">
      <c r="B58" s="38" t="s">
        <v>16</v>
      </c>
      <c r="C58" s="40">
        <f t="shared" si="16"/>
        <v>0.60357059411515412</v>
      </c>
      <c r="D58" s="40">
        <f t="shared" si="17"/>
        <v>1.2551707217077408</v>
      </c>
      <c r="E58" s="40">
        <f t="shared" si="18"/>
        <v>0.98211386501972031</v>
      </c>
      <c r="F58" s="40">
        <f t="shared" si="19"/>
        <v>0.97724892114254835</v>
      </c>
      <c r="G58" s="40">
        <f t="shared" si="20"/>
        <v>0.97724892114254835</v>
      </c>
      <c r="H58" s="40">
        <f t="shared" si="21"/>
        <v>0.97724892114254835</v>
      </c>
      <c r="I58" s="31">
        <v>17</v>
      </c>
      <c r="J58" s="30" t="str">
        <f t="shared" si="22"/>
        <v>WSH</v>
      </c>
      <c r="K58" s="41">
        <f t="shared" si="23"/>
        <v>1.3754921134075764</v>
      </c>
      <c r="L58" s="30" t="str">
        <f t="shared" si="11"/>
        <v>AFW</v>
      </c>
      <c r="M58" s="41">
        <f t="shared" si="24"/>
        <v>1.290607532676556</v>
      </c>
      <c r="N58" s="30" t="str">
        <f t="shared" si="12"/>
        <v>WSH</v>
      </c>
      <c r="O58" s="41">
        <f t="shared" si="25"/>
        <v>1.1682168737122645</v>
      </c>
      <c r="P58" s="41" t="str">
        <f t="shared" si="13"/>
        <v>WSH</v>
      </c>
      <c r="Q58" s="41">
        <f t="shared" si="26"/>
        <v>1.1837082030943953</v>
      </c>
      <c r="R58" s="41" t="str">
        <f t="shared" si="14"/>
        <v>WSH</v>
      </c>
      <c r="S58" s="41">
        <f t="shared" si="27"/>
        <v>1.1837082030943953</v>
      </c>
      <c r="T58" s="30" t="str">
        <f t="shared" si="15"/>
        <v>WSH</v>
      </c>
      <c r="U58" s="41">
        <f t="shared" si="28"/>
        <v>1.1837082030943953</v>
      </c>
    </row>
    <row r="62" spans="1:23" s="4" customFormat="1" x14ac:dyDescent="0.3">
      <c r="A62" s="3"/>
      <c r="B62" s="45" t="s">
        <v>23</v>
      </c>
      <c r="C62" s="45"/>
      <c r="D62" s="45"/>
      <c r="E62" s="45"/>
      <c r="U62" s="3"/>
      <c r="V62" s="3"/>
      <c r="W62" s="3"/>
    </row>
    <row r="63" spans="1:23" s="4" customFormat="1" x14ac:dyDescent="0.3">
      <c r="A63" s="3"/>
      <c r="B63" s="46" t="s">
        <v>24</v>
      </c>
      <c r="C63" s="47"/>
      <c r="D63" s="47"/>
      <c r="E63" s="48" t="s">
        <v>125</v>
      </c>
      <c r="H63" s="56"/>
      <c r="I63" s="56"/>
      <c r="K63" s="49"/>
      <c r="U63" s="3"/>
      <c r="V63" s="3"/>
      <c r="W63" s="3"/>
    </row>
    <row r="64" spans="1:23" s="4" customFormat="1" x14ac:dyDescent="0.3">
      <c r="A64" s="3"/>
      <c r="B64" s="50" t="s">
        <v>25</v>
      </c>
      <c r="C64" s="51"/>
      <c r="D64" s="51"/>
      <c r="E64" s="52"/>
      <c r="H64" s="56"/>
      <c r="I64" s="56"/>
      <c r="K64" s="32"/>
      <c r="U64" s="3"/>
      <c r="V64" s="3"/>
      <c r="W64" s="3"/>
    </row>
    <row r="65" spans="1:23" s="4" customFormat="1" x14ac:dyDescent="0.3">
      <c r="A65" s="3"/>
      <c r="B65" s="53" t="s">
        <v>65</v>
      </c>
      <c r="C65" s="54"/>
      <c r="D65" s="54"/>
      <c r="E65" s="55">
        <v>7</v>
      </c>
      <c r="H65" s="56"/>
      <c r="I65" s="56"/>
      <c r="K65" s="56"/>
      <c r="U65" s="3"/>
      <c r="V65" s="3"/>
      <c r="W65" s="3"/>
    </row>
    <row r="66" spans="1:23" s="4" customFormat="1" x14ac:dyDescent="0.3">
      <c r="A66" s="3"/>
      <c r="B66" s="53" t="s">
        <v>66</v>
      </c>
      <c r="C66" s="54"/>
      <c r="D66" s="54"/>
      <c r="E66" s="55">
        <v>7</v>
      </c>
      <c r="H66" s="56"/>
      <c r="I66" s="56"/>
      <c r="K66" s="56"/>
      <c r="U66" s="3"/>
      <c r="V66" s="3"/>
      <c r="W66" s="3"/>
    </row>
    <row r="67" spans="1:23" s="4" customFormat="1" x14ac:dyDescent="0.3">
      <c r="A67" s="3"/>
      <c r="B67" s="53" t="s">
        <v>67</v>
      </c>
      <c r="C67" s="54"/>
      <c r="D67" s="54"/>
      <c r="E67" s="55">
        <v>7</v>
      </c>
      <c r="H67" s="56"/>
      <c r="I67" s="56"/>
      <c r="K67" s="56"/>
      <c r="U67" s="3"/>
      <c r="V67" s="3"/>
      <c r="W67" s="3"/>
    </row>
    <row r="68" spans="1:23" s="4" customFormat="1" x14ac:dyDescent="0.3">
      <c r="A68" s="3"/>
      <c r="U68" s="3"/>
      <c r="V68" s="3"/>
      <c r="W68" s="3"/>
    </row>
    <row r="69" spans="1:23" s="4" customFormat="1" x14ac:dyDescent="0.3">
      <c r="A69" s="3"/>
      <c r="B69" s="3" t="s">
        <v>129</v>
      </c>
      <c r="C69" s="3"/>
      <c r="D69" s="3"/>
      <c r="E69" s="3"/>
      <c r="U69" s="3"/>
      <c r="V69" s="3"/>
      <c r="W69" s="3"/>
    </row>
    <row r="71" spans="1:23" x14ac:dyDescent="0.3">
      <c r="B71" s="3" t="s">
        <v>130</v>
      </c>
    </row>
    <row r="73" spans="1:23" x14ac:dyDescent="0.3">
      <c r="B73" s="3" t="s">
        <v>131</v>
      </c>
    </row>
    <row r="74" spans="1:23" x14ac:dyDescent="0.3">
      <c r="B74" s="3" t="s">
        <v>145</v>
      </c>
    </row>
    <row r="75" spans="1:23" x14ac:dyDescent="0.3">
      <c r="B75" s="3" t="s">
        <v>134</v>
      </c>
    </row>
    <row r="76" spans="1:23" x14ac:dyDescent="0.3">
      <c r="B76" s="3" t="s">
        <v>135</v>
      </c>
    </row>
    <row r="77" spans="1:23" x14ac:dyDescent="0.3">
      <c r="B77" s="3" t="s">
        <v>136</v>
      </c>
    </row>
    <row r="78" spans="1:23" x14ac:dyDescent="0.3">
      <c r="B78" s="3" t="s">
        <v>137</v>
      </c>
    </row>
    <row r="79" spans="1:23" x14ac:dyDescent="0.3">
      <c r="B79" s="3" t="s">
        <v>138</v>
      </c>
    </row>
    <row r="80" spans="1:23" x14ac:dyDescent="0.3">
      <c r="B80" s="3" t="s">
        <v>139</v>
      </c>
    </row>
    <row r="82" spans="2:2" x14ac:dyDescent="0.3">
      <c r="B82" s="3" t="s">
        <v>132</v>
      </c>
    </row>
    <row r="84" spans="2:2" x14ac:dyDescent="0.3">
      <c r="B84" s="3" t="s">
        <v>133</v>
      </c>
    </row>
    <row r="85" spans="2:2" x14ac:dyDescent="0.3">
      <c r="B85" s="3" t="s">
        <v>140</v>
      </c>
    </row>
  </sheetData>
  <mergeCells count="6">
    <mergeCell ref="B16:B18"/>
    <mergeCell ref="J16:N16"/>
    <mergeCell ref="O16:S17"/>
    <mergeCell ref="T16:U17"/>
    <mergeCell ref="J17:K17"/>
    <mergeCell ref="M17:N17"/>
  </mergeCells>
  <conditionalFormatting sqref="C42:C58">
    <cfRule type="colorScale" priority="5">
      <colorScale>
        <cfvo type="min"/>
        <cfvo type="percentile" val="50"/>
        <cfvo type="max"/>
        <color theme="7"/>
        <color rgb="FFFFC000"/>
        <color theme="9"/>
      </colorScale>
    </cfRule>
  </conditionalFormatting>
  <conditionalFormatting sqref="D42:D58">
    <cfRule type="colorScale" priority="6">
      <colorScale>
        <cfvo type="min"/>
        <cfvo type="percentile" val="50"/>
        <cfvo type="max"/>
        <color theme="7"/>
        <color rgb="FFFFC000"/>
        <color theme="9"/>
      </colorScale>
    </cfRule>
  </conditionalFormatting>
  <conditionalFormatting sqref="E42:G58">
    <cfRule type="colorScale" priority="7">
      <colorScale>
        <cfvo type="min"/>
        <cfvo type="percentile" val="50"/>
        <cfvo type="max"/>
        <color theme="7"/>
        <color rgb="FFFFC000"/>
        <color theme="9"/>
      </colorScale>
    </cfRule>
  </conditionalFormatting>
  <conditionalFormatting sqref="H42:H58">
    <cfRule type="colorScale" priority="8">
      <colorScale>
        <cfvo type="min"/>
        <cfvo type="percentile" val="50"/>
        <cfvo type="max"/>
        <color theme="7"/>
        <color rgb="FFFFC000"/>
        <color theme="9"/>
      </colorScale>
    </cfRule>
  </conditionalFormatting>
  <conditionalFormatting sqref="K42:K58">
    <cfRule type="colorScale" priority="9">
      <colorScale>
        <cfvo type="min"/>
        <cfvo type="percentile" val="50"/>
        <cfvo type="max"/>
        <color theme="7"/>
        <color rgb="FFFFC000"/>
        <color theme="9"/>
      </colorScale>
    </cfRule>
  </conditionalFormatting>
  <conditionalFormatting sqref="M42:M58">
    <cfRule type="colorScale" priority="10">
      <colorScale>
        <cfvo type="min"/>
        <cfvo type="percentile" val="50"/>
        <cfvo type="max"/>
        <color theme="7"/>
        <color rgb="FFFFC000"/>
        <color theme="9"/>
      </colorScale>
    </cfRule>
  </conditionalFormatting>
  <conditionalFormatting sqref="R43:R58 P43:P58 O42:O58">
    <cfRule type="colorScale" priority="11">
      <colorScale>
        <cfvo type="min"/>
        <cfvo type="percentile" val="50"/>
        <cfvo type="max"/>
        <color theme="7"/>
        <color rgb="FFFFC000"/>
        <color theme="9"/>
      </colorScale>
    </cfRule>
  </conditionalFormatting>
  <conditionalFormatting sqref="U42:U58">
    <cfRule type="colorScale" priority="12">
      <colorScale>
        <cfvo type="min"/>
        <cfvo type="percentile" val="50"/>
        <cfvo type="max"/>
        <color theme="7"/>
        <color rgb="FFFFC000"/>
        <color theme="9"/>
      </colorScale>
    </cfRule>
  </conditionalFormatting>
  <conditionalFormatting sqref="P42:P58">
    <cfRule type="colorScale" priority="3">
      <colorScale>
        <cfvo type="min"/>
        <cfvo type="percentile" val="50"/>
        <cfvo type="max"/>
        <color theme="7"/>
        <color rgb="FFFFC000"/>
        <color theme="9"/>
      </colorScale>
    </cfRule>
  </conditionalFormatting>
  <conditionalFormatting sqref="R42:R58">
    <cfRule type="colorScale" priority="4">
      <colorScale>
        <cfvo type="min"/>
        <cfvo type="percentile" val="50"/>
        <cfvo type="max"/>
        <color theme="7"/>
        <color rgb="FFFFC000"/>
        <color theme="9"/>
      </colorScale>
    </cfRule>
  </conditionalFormatting>
  <conditionalFormatting sqref="Q42:Q58">
    <cfRule type="colorScale" priority="2">
      <colorScale>
        <cfvo type="min"/>
        <cfvo type="percentile" val="50"/>
        <cfvo type="max"/>
        <color theme="7"/>
        <color rgb="FFFFC000"/>
        <color theme="9"/>
      </colorScale>
    </cfRule>
  </conditionalFormatting>
  <conditionalFormatting sqref="S42:S58">
    <cfRule type="colorScale" priority="1">
      <colorScale>
        <cfvo type="min"/>
        <cfvo type="percentile" val="50"/>
        <cfvo type="max"/>
        <color theme="7"/>
        <color rgb="FFFFC000"/>
        <color theme="9"/>
      </colorScale>
    </cfRule>
  </conditionalFormatting>
  <dataValidations count="1">
    <dataValidation type="list" allowBlank="1" showInputMessage="1" showErrorMessage="1" sqref="J8">
      <formula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Controls</vt:lpstr>
      <vt:lpstr>Inputs&gt;&gt;</vt:lpstr>
      <vt:lpstr>Model coeffs</vt:lpstr>
      <vt:lpstr>Actual costs</vt:lpstr>
      <vt:lpstr>Cost drivers</vt:lpstr>
      <vt:lpstr>Outputs&gt;&gt;</vt:lpstr>
      <vt:lpstr>Modelled costs</vt:lpstr>
      <vt:lpstr>Efficiency</vt:lpstr>
      <vt:lpstr>Interface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2019-01-21T13:06:22Z</dcterms:created>
  <dcterms:modified xsi:type="dcterms:W3CDTF">2019-01-24T11:50:44Z</dcterms:modified>
</cp:coreProperties>
</file>