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bookViews>
    <workbookView xWindow="0" yWindow="0" windowWidth="12000" windowHeight="3360" tabRatio="808"/>
  </bookViews>
  <sheets>
    <sheet name="Cover" sheetId="93" r:id="rId1"/>
    <sheet name="Controls" sheetId="73" r:id="rId2"/>
    <sheet name="Inputs&gt;&gt;" sheetId="15" r:id="rId3"/>
    <sheet name="BP costs" sheetId="88" r:id="rId4"/>
    <sheet name="Forecast drivers" sheetId="57" r:id="rId5"/>
    <sheet name="Model Coeffs" sheetId="66" r:id="rId6"/>
    <sheet name="Outputs&gt;&gt;" sheetId="61" r:id="rId7"/>
    <sheet name="Modelled costs" sheetId="59" r:id="rId8"/>
    <sheet name="Apportion" sheetId="92" r:id="rId9"/>
    <sheet name="Final allowances" sheetId="85"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4" i="85" l="1"/>
  <c r="D64" i="85"/>
  <c r="C64" i="85"/>
  <c r="D48" i="85"/>
  <c r="C48" i="85"/>
  <c r="I31" i="85"/>
  <c r="H31" i="85" s="1"/>
  <c r="Q31" i="85" s="1"/>
  <c r="G15" i="85" s="1"/>
  <c r="I30" i="85"/>
  <c r="G30" i="85" s="1"/>
  <c r="P30" i="85" s="1"/>
  <c r="F14" i="85" s="1"/>
  <c r="I29" i="85"/>
  <c r="G29" i="85" s="1"/>
  <c r="P29" i="85" s="1"/>
  <c r="F13" i="85" s="1"/>
  <c r="I28" i="85"/>
  <c r="G28" i="85" s="1"/>
  <c r="P28" i="85" s="1"/>
  <c r="F12" i="85" s="1"/>
  <c r="I27" i="85"/>
  <c r="H27" i="85" s="1"/>
  <c r="Q27" i="85" s="1"/>
  <c r="G11" i="85" s="1"/>
  <c r="I26" i="85"/>
  <c r="G26" i="85" s="1"/>
  <c r="P26" i="85" s="1"/>
  <c r="F10" i="85" s="1"/>
  <c r="I25" i="85"/>
  <c r="G25" i="85" s="1"/>
  <c r="I24" i="85"/>
  <c r="G24" i="85" s="1"/>
  <c r="P24" i="85" s="1"/>
  <c r="F8" i="85" s="1"/>
  <c r="I23" i="85"/>
  <c r="H23" i="85" s="1"/>
  <c r="I22" i="85"/>
  <c r="G22" i="85" s="1"/>
  <c r="I21" i="85"/>
  <c r="G21" i="85" s="1"/>
  <c r="P21" i="85" s="1"/>
  <c r="N32" i="85"/>
  <c r="M32" i="85"/>
  <c r="O31" i="85"/>
  <c r="O30" i="85"/>
  <c r="O29" i="85"/>
  <c r="O28" i="85"/>
  <c r="O27" i="85"/>
  <c r="O26" i="85"/>
  <c r="O25" i="85"/>
  <c r="O24" i="85"/>
  <c r="O23" i="85"/>
  <c r="O22" i="85"/>
  <c r="O21" i="85"/>
  <c r="K32" i="85"/>
  <c r="J32" i="85"/>
  <c r="L31" i="85"/>
  <c r="L30" i="85"/>
  <c r="L29" i="85"/>
  <c r="L28" i="85"/>
  <c r="L27" i="85"/>
  <c r="L26" i="85"/>
  <c r="L25" i="85"/>
  <c r="L24" i="85"/>
  <c r="L23" i="85"/>
  <c r="L22" i="85"/>
  <c r="L21" i="85"/>
  <c r="D31" i="85"/>
  <c r="D30" i="85"/>
  <c r="D29" i="85"/>
  <c r="D28" i="85"/>
  <c r="D27" i="85"/>
  <c r="D26" i="85"/>
  <c r="D25" i="85"/>
  <c r="D24" i="85"/>
  <c r="D23" i="85"/>
  <c r="D22" i="85"/>
  <c r="D21" i="85"/>
  <c r="C31" i="85"/>
  <c r="C30" i="85"/>
  <c r="C29" i="85"/>
  <c r="C28" i="85"/>
  <c r="C27" i="85"/>
  <c r="C26" i="85"/>
  <c r="C25" i="85"/>
  <c r="C24" i="85"/>
  <c r="C23" i="85"/>
  <c r="C22" i="85"/>
  <c r="C21" i="85"/>
  <c r="D15" i="85"/>
  <c r="C15" i="85"/>
  <c r="D14" i="85"/>
  <c r="C14" i="85"/>
  <c r="D13" i="85"/>
  <c r="C13" i="85"/>
  <c r="D12" i="85"/>
  <c r="C12" i="85"/>
  <c r="D11" i="85"/>
  <c r="C11" i="85"/>
  <c r="D10" i="85"/>
  <c r="C10" i="85"/>
  <c r="D9" i="85"/>
  <c r="C9" i="85"/>
  <c r="D8" i="85"/>
  <c r="C8" i="85"/>
  <c r="D7" i="85"/>
  <c r="C7" i="85"/>
  <c r="D6" i="85"/>
  <c r="C6" i="85"/>
  <c r="D5" i="85"/>
  <c r="C5" i="85"/>
  <c r="H24" i="85" l="1"/>
  <c r="H28" i="85"/>
  <c r="Q28" i="85" s="1"/>
  <c r="G12" i="85" s="1"/>
  <c r="G23" i="85"/>
  <c r="P23" i="85" s="1"/>
  <c r="F7" i="85" s="1"/>
  <c r="G31" i="85"/>
  <c r="P31" i="85" s="1"/>
  <c r="F15" i="85" s="1"/>
  <c r="H21" i="85"/>
  <c r="Q21" i="85" s="1"/>
  <c r="G5" i="85" s="1"/>
  <c r="H25" i="85"/>
  <c r="Q25" i="85" s="1"/>
  <c r="G9" i="85" s="1"/>
  <c r="H29" i="85"/>
  <c r="G27" i="85"/>
  <c r="P27" i="85" s="1"/>
  <c r="H22" i="85"/>
  <c r="Q22" i="85" s="1"/>
  <c r="G6" i="85" s="1"/>
  <c r="H26" i="85"/>
  <c r="Q26" i="85" s="1"/>
  <c r="G10" i="85" s="1"/>
  <c r="H30" i="85"/>
  <c r="Q30" i="85" s="1"/>
  <c r="G14" i="85" s="1"/>
  <c r="P22" i="85"/>
  <c r="Q23" i="85"/>
  <c r="G7" i="85" s="1"/>
  <c r="P25" i="85"/>
  <c r="F9" i="85" s="1"/>
  <c r="Q29" i="85"/>
  <c r="E48" i="85"/>
  <c r="H32" i="85"/>
  <c r="E11" i="85"/>
  <c r="E15" i="85"/>
  <c r="Q24" i="85"/>
  <c r="G8" i="85" s="1"/>
  <c r="R28" i="85"/>
  <c r="H12" i="85" s="1"/>
  <c r="I32" i="85"/>
  <c r="R25" i="85"/>
  <c r="H9" i="85" s="1"/>
  <c r="L32" i="85"/>
  <c r="R23" i="85"/>
  <c r="H7" i="85" s="1"/>
  <c r="R30" i="85"/>
  <c r="H14" i="85" s="1"/>
  <c r="O32" i="85"/>
  <c r="D32" i="85"/>
  <c r="C32" i="85"/>
  <c r="E21" i="85"/>
  <c r="E22" i="85"/>
  <c r="F22" i="85" s="1"/>
  <c r="E23" i="85"/>
  <c r="F23" i="85" s="1"/>
  <c r="E24" i="85"/>
  <c r="F24" i="85" s="1"/>
  <c r="E25" i="85"/>
  <c r="F25" i="85" s="1"/>
  <c r="E26" i="85"/>
  <c r="F26" i="85" s="1"/>
  <c r="E27" i="85"/>
  <c r="F27" i="85" s="1"/>
  <c r="E28" i="85"/>
  <c r="F28" i="85" s="1"/>
  <c r="E29" i="85"/>
  <c r="F29" i="85" s="1"/>
  <c r="E30" i="85"/>
  <c r="F30" i="85" s="1"/>
  <c r="E31" i="85"/>
  <c r="F31" i="85" s="1"/>
  <c r="E9" i="85"/>
  <c r="E6" i="85"/>
  <c r="E10" i="85"/>
  <c r="E12" i="85"/>
  <c r="E14" i="85"/>
  <c r="C16" i="85"/>
  <c r="D16" i="85"/>
  <c r="E7" i="85"/>
  <c r="E8" i="85"/>
  <c r="E13" i="85"/>
  <c r="E5" i="85"/>
  <c r="R29" i="85" l="1"/>
  <c r="H13" i="85" s="1"/>
  <c r="G13" i="85"/>
  <c r="G16" i="85" s="1"/>
  <c r="R27" i="85"/>
  <c r="H11" i="85" s="1"/>
  <c r="F11" i="85"/>
  <c r="R22" i="85"/>
  <c r="H6" i="85" s="1"/>
  <c r="F6" i="85"/>
  <c r="R31" i="85"/>
  <c r="H15" i="85" s="1"/>
  <c r="R26" i="85"/>
  <c r="H10" i="85" s="1"/>
  <c r="G32" i="85"/>
  <c r="Q32" i="85"/>
  <c r="R24" i="85"/>
  <c r="H8" i="85" s="1"/>
  <c r="E32" i="85"/>
  <c r="F32" i="85" s="1"/>
  <c r="F21" i="85"/>
  <c r="E16" i="85"/>
  <c r="B14" i="73" l="1"/>
  <c r="E14" i="73" l="1"/>
  <c r="C66" i="59"/>
  <c r="C65" i="59"/>
  <c r="C64" i="59"/>
  <c r="C63" i="59"/>
  <c r="C62" i="59"/>
  <c r="AI22" i="88" l="1"/>
  <c r="AH35" i="88"/>
  <c r="AI17" i="88"/>
  <c r="AI27" i="88"/>
  <c r="AI9" i="88"/>
  <c r="AH41" i="88"/>
  <c r="AH29" i="88"/>
  <c r="AI7" i="88"/>
  <c r="AH32" i="88"/>
  <c r="AH11" i="88"/>
  <c r="AH14" i="88"/>
  <c r="AI24" i="88"/>
  <c r="AH27" i="88"/>
  <c r="AH33" i="88"/>
  <c r="AH40" i="88"/>
  <c r="AH7" i="88"/>
  <c r="AH12" i="88"/>
  <c r="AI14" i="88"/>
  <c r="AH17" i="88"/>
  <c r="AI19" i="88"/>
  <c r="AI44" i="88"/>
  <c r="AI49" i="88"/>
  <c r="AH19" i="88"/>
  <c r="AH22" i="88"/>
  <c r="AH24" i="88"/>
  <c r="AI33" i="88"/>
  <c r="AH43" i="88" l="1"/>
  <c r="AI53" i="88"/>
  <c r="AI35" i="88"/>
  <c r="AH53" i="88"/>
  <c r="AI32" i="88"/>
  <c r="AI46" i="88"/>
  <c r="AI31" i="88"/>
  <c r="AH38" i="88"/>
  <c r="AH48" i="88"/>
  <c r="AH46" i="88"/>
  <c r="AH44" i="88"/>
  <c r="AH51" i="88"/>
  <c r="AH49" i="88"/>
  <c r="AI41" i="88"/>
  <c r="AI51" i="88"/>
  <c r="AI38" i="88"/>
  <c r="AH60" i="88"/>
  <c r="AH8" i="88"/>
  <c r="AI26" i="88"/>
  <c r="AI16" i="88"/>
  <c r="AI21" i="88"/>
  <c r="AH39" i="88"/>
  <c r="AH64" i="88"/>
  <c r="AI45" i="88"/>
  <c r="AH34" i="88"/>
  <c r="AH52" i="88"/>
  <c r="AH42" i="88"/>
  <c r="AH36" i="88"/>
  <c r="AH56" i="88"/>
  <c r="AH62" i="88"/>
  <c r="AH61" i="88"/>
  <c r="AH58" i="88"/>
  <c r="AH57" i="88"/>
  <c r="AH54" i="88"/>
  <c r="AH50" i="88"/>
  <c r="AI47" i="88"/>
  <c r="AH45" i="88"/>
  <c r="AI43" i="88"/>
  <c r="AH37" i="88"/>
  <c r="AH28" i="88"/>
  <c r="AH26" i="88"/>
  <c r="AH15" i="88"/>
  <c r="AI69" i="88"/>
  <c r="AI67" i="88"/>
  <c r="AI29" i="88"/>
  <c r="AI48" i="88"/>
  <c r="AI39" i="88"/>
  <c r="AI8" i="88"/>
  <c r="AH59" i="88"/>
  <c r="AI56" i="88"/>
  <c r="AI54" i="88"/>
  <c r="AI10" i="88"/>
  <c r="AH47" i="88"/>
  <c r="AI57" i="88"/>
  <c r="AI50" i="88"/>
  <c r="AH9" i="88"/>
  <c r="AH71" i="88"/>
  <c r="AH70" i="88"/>
  <c r="AI68" i="88"/>
  <c r="AH67" i="88"/>
  <c r="AH66" i="88"/>
  <c r="AH63" i="88"/>
  <c r="AI62" i="88"/>
  <c r="AI59" i="88"/>
  <c r="AI58" i="88"/>
  <c r="AH55" i="88"/>
  <c r="AI55" i="88"/>
  <c r="AH68" i="88"/>
  <c r="AH65" i="88"/>
  <c r="AI61" i="88"/>
  <c r="AH31" i="88"/>
  <c r="AH25" i="88"/>
  <c r="AH20" i="88"/>
  <c r="AH10" i="88"/>
  <c r="AI63" i="88"/>
  <c r="AI66" i="88"/>
  <c r="AI64" i="88"/>
  <c r="AI60" i="88"/>
  <c r="AI34" i="88"/>
  <c r="AI28" i="88"/>
  <c r="AI23" i="88"/>
  <c r="AI18" i="88"/>
  <c r="AI13" i="88"/>
  <c r="AH69" i="88"/>
  <c r="AI65" i="88"/>
  <c r="AI71" i="88"/>
  <c r="AH23" i="88"/>
  <c r="AH21" i="88"/>
  <c r="AH18" i="88"/>
  <c r="AH16" i="88"/>
  <c r="AI70" i="88"/>
  <c r="AI40" i="88"/>
  <c r="AH13" i="88"/>
  <c r="AI11" i="88"/>
  <c r="AI30" i="88"/>
  <c r="AI36" i="88"/>
  <c r="AH30" i="88"/>
  <c r="AI25" i="88"/>
  <c r="AI20" i="88"/>
  <c r="AI15" i="88"/>
  <c r="AI12" i="88"/>
  <c r="AI52" i="88"/>
  <c r="AI37" i="88"/>
  <c r="AI42" i="88"/>
  <c r="C58" i="88" l="1"/>
  <c r="C59" i="88"/>
  <c r="C60" i="88"/>
  <c r="C61" i="88"/>
  <c r="C8" i="88"/>
  <c r="C9" i="88"/>
  <c r="C10" i="88"/>
  <c r="C11" i="88"/>
  <c r="C12" i="88"/>
  <c r="C13" i="88"/>
  <c r="C14" i="88"/>
  <c r="C15" i="88"/>
  <c r="C16" i="88"/>
  <c r="C17" i="88"/>
  <c r="C18" i="88"/>
  <c r="C19" i="88"/>
  <c r="C20" i="88"/>
  <c r="C21" i="88"/>
  <c r="C22" i="88"/>
  <c r="C23" i="88"/>
  <c r="C24" i="88"/>
  <c r="C25" i="88"/>
  <c r="C26" i="88"/>
  <c r="C27" i="88"/>
  <c r="C28" i="88"/>
  <c r="C29" i="88"/>
  <c r="C30" i="88"/>
  <c r="C31" i="88"/>
  <c r="C32" i="88"/>
  <c r="C33" i="88"/>
  <c r="C34" i="88"/>
  <c r="C35" i="88"/>
  <c r="C36" i="88"/>
  <c r="C37" i="88"/>
  <c r="C38" i="88"/>
  <c r="C39" i="88"/>
  <c r="C40" i="88"/>
  <c r="C41" i="88"/>
  <c r="C42" i="88"/>
  <c r="C43" i="88"/>
  <c r="C44" i="88"/>
  <c r="C45" i="88"/>
  <c r="C46" i="88"/>
  <c r="C47" i="88"/>
  <c r="C48" i="88"/>
  <c r="C49" i="88"/>
  <c r="C50" i="88"/>
  <c r="C51" i="88"/>
  <c r="C52" i="88"/>
  <c r="C53" i="88"/>
  <c r="C54" i="88"/>
  <c r="C55" i="88"/>
  <c r="C56" i="88"/>
  <c r="C57" i="88"/>
  <c r="C7" i="88"/>
  <c r="B58" i="88"/>
  <c r="A58" i="88" s="1"/>
  <c r="B59" i="88"/>
  <c r="B60" i="88"/>
  <c r="B61" i="88"/>
  <c r="B8" i="88"/>
  <c r="B9" i="88"/>
  <c r="B10" i="88"/>
  <c r="B11" i="88"/>
  <c r="B12" i="88"/>
  <c r="A12" i="88" s="1"/>
  <c r="B13" i="88"/>
  <c r="B14" i="88"/>
  <c r="B15" i="88"/>
  <c r="B16" i="88"/>
  <c r="A16" i="88" s="1"/>
  <c r="B17" i="88"/>
  <c r="B18" i="88"/>
  <c r="B19" i="88"/>
  <c r="B20" i="88"/>
  <c r="B21" i="88"/>
  <c r="B22" i="88"/>
  <c r="B23" i="88"/>
  <c r="B24" i="88"/>
  <c r="A24" i="88" s="1"/>
  <c r="B25" i="88"/>
  <c r="B26" i="88"/>
  <c r="B27" i="88"/>
  <c r="B28" i="88"/>
  <c r="A28" i="88" s="1"/>
  <c r="B29" i="88"/>
  <c r="B30" i="88"/>
  <c r="B31" i="88"/>
  <c r="B32" i="88"/>
  <c r="A32" i="88" s="1"/>
  <c r="B33" i="88"/>
  <c r="B34" i="88"/>
  <c r="B35" i="88"/>
  <c r="B36" i="88"/>
  <c r="A36" i="88" s="1"/>
  <c r="B37" i="88"/>
  <c r="B38" i="88"/>
  <c r="B39" i="88"/>
  <c r="B40" i="88"/>
  <c r="A40" i="88" s="1"/>
  <c r="B41" i="88"/>
  <c r="B42" i="88"/>
  <c r="B43" i="88"/>
  <c r="B44" i="88"/>
  <c r="A44" i="88" s="1"/>
  <c r="B45" i="88"/>
  <c r="B46" i="88"/>
  <c r="B47" i="88"/>
  <c r="B48" i="88"/>
  <c r="A48" i="88" s="1"/>
  <c r="B49" i="88"/>
  <c r="B50" i="88"/>
  <c r="B51" i="88"/>
  <c r="B52" i="88"/>
  <c r="A52" i="88" s="1"/>
  <c r="B53" i="88"/>
  <c r="B54" i="88"/>
  <c r="B55" i="88"/>
  <c r="B56" i="88"/>
  <c r="A56" i="88" s="1"/>
  <c r="B57" i="88"/>
  <c r="B7" i="88"/>
  <c r="A22" i="88"/>
  <c r="A38" i="88"/>
  <c r="A62" i="88"/>
  <c r="A63" i="88"/>
  <c r="A64" i="88"/>
  <c r="A65" i="88"/>
  <c r="A66" i="88"/>
  <c r="A67" i="88"/>
  <c r="A68" i="88"/>
  <c r="A69" i="88"/>
  <c r="A70" i="88"/>
  <c r="A71" i="88"/>
  <c r="A59" i="88" l="1"/>
  <c r="A57" i="88"/>
  <c r="A53" i="88"/>
  <c r="A49" i="88"/>
  <c r="A45" i="88"/>
  <c r="A37" i="88"/>
  <c r="A33" i="88"/>
  <c r="A29" i="88"/>
  <c r="A25" i="88"/>
  <c r="A17" i="88"/>
  <c r="A13" i="88"/>
  <c r="A9" i="88"/>
  <c r="AA14" i="59"/>
  <c r="AA10" i="59"/>
  <c r="AA12" i="59"/>
  <c r="AA15" i="59"/>
  <c r="AA7" i="59"/>
  <c r="AA13" i="59"/>
  <c r="AA9" i="59"/>
  <c r="AA16" i="59"/>
  <c r="AA8" i="59"/>
  <c r="AA11" i="59"/>
  <c r="AS7" i="88"/>
  <c r="AS14" i="88"/>
  <c r="AT9" i="88"/>
  <c r="AT15" i="88"/>
  <c r="AR8" i="88"/>
  <c r="AT8" i="88"/>
  <c r="AR14" i="88"/>
  <c r="AS9" i="88"/>
  <c r="AS15" i="88"/>
  <c r="AT11" i="88"/>
  <c r="AT14" i="88"/>
  <c r="AR16" i="88"/>
  <c r="AR12" i="88"/>
  <c r="AT16" i="88"/>
  <c r="AR13" i="88"/>
  <c r="AR7" i="88"/>
  <c r="AS11" i="88"/>
  <c r="AS17" i="88"/>
  <c r="AS10" i="88"/>
  <c r="AS12" i="88"/>
  <c r="AT7" i="88"/>
  <c r="AT12" i="88"/>
  <c r="AR17" i="88"/>
  <c r="AR15" i="88"/>
  <c r="AS16" i="88"/>
  <c r="AS8" i="88"/>
  <c r="AT17" i="88"/>
  <c r="AT13" i="88"/>
  <c r="AR11" i="88"/>
  <c r="AS13" i="88"/>
  <c r="AT10" i="88"/>
  <c r="AR9" i="88"/>
  <c r="AR10" i="88"/>
  <c r="AW10" i="88"/>
  <c r="AV15" i="88"/>
  <c r="AW8" i="88"/>
  <c r="AW17" i="88"/>
  <c r="AV11" i="88"/>
  <c r="AW11" i="88"/>
  <c r="AW16" i="88"/>
  <c r="AW13" i="88"/>
  <c r="AV7" i="88"/>
  <c r="AV10" i="88"/>
  <c r="AV17" i="88"/>
  <c r="AV14" i="88"/>
  <c r="AV13" i="88"/>
  <c r="AV16" i="88"/>
  <c r="AV12" i="88"/>
  <c r="AW7" i="88"/>
  <c r="AW14" i="88"/>
  <c r="AV8" i="88"/>
  <c r="AV9" i="88"/>
  <c r="AW9" i="88"/>
  <c r="AW15" i="88"/>
  <c r="AW12" i="88"/>
  <c r="AG64" i="88"/>
  <c r="AG71" i="88"/>
  <c r="AG63" i="88"/>
  <c r="AG66" i="88"/>
  <c r="AG62" i="88"/>
  <c r="AG68" i="88"/>
  <c r="AG69" i="88"/>
  <c r="AG65" i="88"/>
  <c r="A47" i="88"/>
  <c r="A39" i="88"/>
  <c r="A15" i="88"/>
  <c r="A54" i="88"/>
  <c r="A42" i="88"/>
  <c r="A10" i="88"/>
  <c r="A60" i="88"/>
  <c r="A50" i="88"/>
  <c r="A46" i="88"/>
  <c r="A34" i="88"/>
  <c r="A30" i="88"/>
  <c r="A26" i="88"/>
  <c r="A18" i="88"/>
  <c r="A14" i="88"/>
  <c r="AG48" i="88"/>
  <c r="AG36" i="88"/>
  <c r="AG24" i="88"/>
  <c r="AG12" i="88"/>
  <c r="AG56" i="88"/>
  <c r="AG44" i="88"/>
  <c r="AG32" i="88"/>
  <c r="AG16" i="88"/>
  <c r="AG40" i="88"/>
  <c r="AG28" i="88"/>
  <c r="A7" i="88"/>
  <c r="AG52" i="88"/>
  <c r="A41" i="88"/>
  <c r="A21" i="88"/>
  <c r="A20" i="88"/>
  <c r="A8" i="88"/>
  <c r="A61" i="88"/>
  <c r="A55" i="88"/>
  <c r="A51" i="88"/>
  <c r="A43" i="88"/>
  <c r="A35" i="88"/>
  <c r="A31" i="88"/>
  <c r="A27" i="88"/>
  <c r="A23" i="88"/>
  <c r="A19" i="88"/>
  <c r="A11" i="88"/>
  <c r="AA17" i="59" l="1"/>
  <c r="AN8" i="88"/>
  <c r="AU12" i="88"/>
  <c r="AL9" i="88"/>
  <c r="AL8" i="88"/>
  <c r="AL12" i="88"/>
  <c r="AM8" i="88"/>
  <c r="AM12" i="88"/>
  <c r="AN9" i="88"/>
  <c r="AN12" i="88"/>
  <c r="AG70" i="88"/>
  <c r="AG67" i="88"/>
  <c r="AG60" i="88"/>
  <c r="AM9" i="88"/>
  <c r="AG50" i="88"/>
  <c r="AG26" i="88"/>
  <c r="AG49" i="88"/>
  <c r="AG39" i="88"/>
  <c r="AG47" i="88"/>
  <c r="AG33" i="88"/>
  <c r="AG9" i="88"/>
  <c r="AG58" i="88"/>
  <c r="AG14" i="88"/>
  <c r="AG18" i="88"/>
  <c r="AG30" i="88"/>
  <c r="AG34" i="88"/>
  <c r="AG22" i="88"/>
  <c r="AG38" i="88"/>
  <c r="AG10" i="88"/>
  <c r="AM11" i="88"/>
  <c r="AL11" i="88"/>
  <c r="AN15" i="88"/>
  <c r="AM15" i="88"/>
  <c r="AL15" i="88"/>
  <c r="AG8" i="88"/>
  <c r="AL16" i="88"/>
  <c r="AG20" i="88"/>
  <c r="AL17" i="88"/>
  <c r="AG37" i="88"/>
  <c r="AG17" i="88"/>
  <c r="AG29" i="88"/>
  <c r="AG59" i="88"/>
  <c r="AG25" i="88"/>
  <c r="AG57" i="88"/>
  <c r="AG13" i="88"/>
  <c r="AG53" i="88"/>
  <c r="AG46" i="88"/>
  <c r="AG45" i="88"/>
  <c r="AG42" i="88"/>
  <c r="AN13" i="88"/>
  <c r="AM13" i="88"/>
  <c r="AL13" i="88"/>
  <c r="AM14" i="88"/>
  <c r="AN14" i="88"/>
  <c r="AL14" i="88"/>
  <c r="D17" i="73"/>
  <c r="D16" i="73"/>
  <c r="C16" i="73"/>
  <c r="E16" i="73" l="1"/>
  <c r="AN10" i="88"/>
  <c r="AN7" i="88"/>
  <c r="AM7" i="88"/>
  <c r="AU8" i="88"/>
  <c r="AM16" i="88"/>
  <c r="AM10" i="88"/>
  <c r="AN17" i="88"/>
  <c r="AL7" i="88"/>
  <c r="AL10" i="88"/>
  <c r="AN11" i="88"/>
  <c r="AM17" i="88"/>
  <c r="AN16" i="88"/>
  <c r="AG54" i="88"/>
  <c r="AG15" i="88"/>
  <c r="AU9" i="88" s="1"/>
  <c r="AG21" i="88"/>
  <c r="AG55" i="88"/>
  <c r="AG31" i="88"/>
  <c r="AG11" i="88"/>
  <c r="AG51" i="88"/>
  <c r="AU16" i="88" s="1"/>
  <c r="AG27" i="88"/>
  <c r="AG43" i="88"/>
  <c r="AU15" i="88" s="1"/>
  <c r="AG23" i="88"/>
  <c r="AU11" i="88" s="1"/>
  <c r="AG7" i="88"/>
  <c r="AG41" i="88"/>
  <c r="AU14" i="88" s="1"/>
  <c r="AG61" i="88"/>
  <c r="AG35" i="88"/>
  <c r="AU13" i="88" s="1"/>
  <c r="AG19" i="88"/>
  <c r="AU10" i="88" l="1"/>
  <c r="AU7" i="88"/>
  <c r="AU17" i="88"/>
  <c r="D20" i="73" l="1"/>
  <c r="C18" i="73"/>
  <c r="C20" i="73" l="1"/>
  <c r="E20" i="73" s="1"/>
  <c r="D19" i="73"/>
  <c r="C19" i="73"/>
  <c r="D18" i="73"/>
  <c r="E18" i="73" s="1"/>
  <c r="C17" i="73"/>
  <c r="E17" i="73" s="1"/>
  <c r="E19" i="73" l="1"/>
  <c r="C58" i="59"/>
  <c r="C59" i="59"/>
  <c r="C60" i="59"/>
  <c r="C61" i="59"/>
  <c r="C57" i="59"/>
  <c r="B56" i="59"/>
  <c r="A56" i="59"/>
  <c r="B55" i="59"/>
  <c r="A55" i="59"/>
  <c r="B54" i="59"/>
  <c r="A54" i="59"/>
  <c r="B53" i="59"/>
  <c r="A53" i="59"/>
  <c r="B52" i="59"/>
  <c r="A52" i="59"/>
  <c r="B51" i="59"/>
  <c r="A51" i="59"/>
  <c r="B50" i="59"/>
  <c r="A50" i="59"/>
  <c r="B49" i="59"/>
  <c r="A49" i="59"/>
  <c r="B48" i="59"/>
  <c r="A48" i="59"/>
  <c r="B47" i="59"/>
  <c r="A47" i="59"/>
  <c r="B46" i="59"/>
  <c r="A46" i="59"/>
  <c r="B45" i="59"/>
  <c r="A45" i="59"/>
  <c r="B44" i="59"/>
  <c r="A44" i="59"/>
  <c r="B43" i="59"/>
  <c r="A43" i="59"/>
  <c r="B42" i="59"/>
  <c r="A42" i="59"/>
  <c r="B41" i="59"/>
  <c r="A41" i="59"/>
  <c r="B40" i="59"/>
  <c r="A40" i="59"/>
  <c r="B39" i="59"/>
  <c r="A39" i="59"/>
  <c r="B38" i="59"/>
  <c r="A38" i="59"/>
  <c r="B37" i="59"/>
  <c r="A37" i="59"/>
  <c r="B36" i="59"/>
  <c r="A36" i="59"/>
  <c r="B35" i="59"/>
  <c r="A35" i="59"/>
  <c r="B34" i="59"/>
  <c r="A34" i="59"/>
  <c r="B33" i="59"/>
  <c r="A33" i="59"/>
  <c r="B32" i="59"/>
  <c r="A32" i="59"/>
  <c r="B31" i="59"/>
  <c r="A31" i="59"/>
  <c r="B30" i="59"/>
  <c r="A30" i="59"/>
  <c r="B29" i="59"/>
  <c r="A29" i="59"/>
  <c r="B28" i="59"/>
  <c r="A28" i="59"/>
  <c r="B27" i="59"/>
  <c r="A27" i="59"/>
  <c r="B26" i="59"/>
  <c r="A26" i="59"/>
  <c r="B25" i="59"/>
  <c r="A25" i="59"/>
  <c r="B24" i="59"/>
  <c r="A24" i="59"/>
  <c r="B23" i="59"/>
  <c r="A23" i="59"/>
  <c r="B22" i="59"/>
  <c r="A22" i="59"/>
  <c r="B21" i="59"/>
  <c r="A21" i="59"/>
  <c r="B20" i="59"/>
  <c r="A20" i="59"/>
  <c r="B19" i="59"/>
  <c r="A19" i="59"/>
  <c r="B18" i="59"/>
  <c r="A18" i="59"/>
  <c r="B17" i="59"/>
  <c r="A17" i="59"/>
  <c r="B16" i="59"/>
  <c r="A16" i="59"/>
  <c r="B15" i="59"/>
  <c r="A15" i="59"/>
  <c r="B14" i="59"/>
  <c r="A14" i="59"/>
  <c r="B13" i="59"/>
  <c r="A13" i="59"/>
  <c r="B12" i="59"/>
  <c r="A12" i="59"/>
  <c r="B11" i="59"/>
  <c r="A11" i="59"/>
  <c r="B10" i="59"/>
  <c r="A10" i="59"/>
  <c r="B9" i="59"/>
  <c r="A9" i="59"/>
  <c r="B8" i="59"/>
  <c r="A8" i="59"/>
  <c r="B7" i="59"/>
  <c r="A7" i="59"/>
  <c r="C6" i="59"/>
  <c r="B6" i="59"/>
  <c r="A6" i="59"/>
  <c r="S5" i="59"/>
  <c r="K5" i="59"/>
  <c r="J5" i="59"/>
  <c r="I5" i="59"/>
  <c r="G5" i="59"/>
  <c r="F5" i="59"/>
  <c r="E5" i="59"/>
  <c r="D5" i="59"/>
  <c r="H5" i="59" l="1"/>
  <c r="R5" i="59"/>
  <c r="A62" i="57" l="1"/>
  <c r="C56" i="59" s="1"/>
  <c r="A61" i="57"/>
  <c r="C55" i="59" s="1"/>
  <c r="A60" i="57"/>
  <c r="C54" i="59" s="1"/>
  <c r="A59" i="57"/>
  <c r="C53" i="59" s="1"/>
  <c r="A58" i="57"/>
  <c r="C52" i="59" s="1"/>
  <c r="A57" i="57"/>
  <c r="C51" i="59" s="1"/>
  <c r="A56" i="57"/>
  <c r="C50" i="59" s="1"/>
  <c r="A55" i="57"/>
  <c r="C49" i="59" s="1"/>
  <c r="A54" i="57"/>
  <c r="C48" i="59" s="1"/>
  <c r="A53" i="57"/>
  <c r="C47" i="59" s="1"/>
  <c r="A52" i="57"/>
  <c r="C46" i="59" s="1"/>
  <c r="A51" i="57"/>
  <c r="C45" i="59" s="1"/>
  <c r="A50" i="57"/>
  <c r="C44" i="59" s="1"/>
  <c r="A49" i="57"/>
  <c r="C43" i="59" s="1"/>
  <c r="A48" i="57"/>
  <c r="C42" i="59" s="1"/>
  <c r="A47" i="57"/>
  <c r="C41" i="59" s="1"/>
  <c r="A46" i="57"/>
  <c r="C40" i="59" s="1"/>
  <c r="A45" i="57"/>
  <c r="C39" i="59" s="1"/>
  <c r="A44" i="57"/>
  <c r="C38" i="59" s="1"/>
  <c r="A43" i="57"/>
  <c r="C37" i="59" s="1"/>
  <c r="A42" i="57"/>
  <c r="C36" i="59" s="1"/>
  <c r="A41" i="57"/>
  <c r="C35" i="59" s="1"/>
  <c r="A40" i="57"/>
  <c r="C34" i="59" s="1"/>
  <c r="A39" i="57"/>
  <c r="C33" i="59" s="1"/>
  <c r="A38" i="57"/>
  <c r="C32" i="59" s="1"/>
  <c r="A37" i="57"/>
  <c r="C31" i="59" s="1"/>
  <c r="A36" i="57"/>
  <c r="C30" i="59" s="1"/>
  <c r="A35" i="57"/>
  <c r="C29" i="59" s="1"/>
  <c r="A34" i="57"/>
  <c r="C28" i="59" s="1"/>
  <c r="A33" i="57"/>
  <c r="C27" i="59" s="1"/>
  <c r="A32" i="57"/>
  <c r="A31" i="57"/>
  <c r="A30" i="57"/>
  <c r="A29" i="57"/>
  <c r="A28" i="57"/>
  <c r="A27" i="57"/>
  <c r="C26" i="59" s="1"/>
  <c r="A26" i="57"/>
  <c r="C25" i="59" s="1"/>
  <c r="A25" i="57"/>
  <c r="C24" i="59" s="1"/>
  <c r="A24" i="57"/>
  <c r="C23" i="59" s="1"/>
  <c r="A23" i="57"/>
  <c r="C22" i="59" s="1"/>
  <c r="A22" i="57"/>
  <c r="C21" i="59" s="1"/>
  <c r="A21" i="57"/>
  <c r="C20" i="59" s="1"/>
  <c r="A20" i="57"/>
  <c r="C19" i="59" s="1"/>
  <c r="A19" i="57"/>
  <c r="C18" i="59" s="1"/>
  <c r="A18" i="57"/>
  <c r="C17" i="59" s="1"/>
  <c r="A17" i="57"/>
  <c r="C16" i="59" s="1"/>
  <c r="A16" i="57"/>
  <c r="C15" i="59" s="1"/>
  <c r="A15" i="57"/>
  <c r="C14" i="59" s="1"/>
  <c r="A14" i="57"/>
  <c r="C13" i="59" s="1"/>
  <c r="A13" i="57"/>
  <c r="C12" i="59" s="1"/>
  <c r="A12" i="57"/>
  <c r="C11" i="59" s="1"/>
  <c r="A11" i="57"/>
  <c r="C10" i="59" s="1"/>
  <c r="A10" i="57"/>
  <c r="C9" i="59" s="1"/>
  <c r="A9" i="57"/>
  <c r="C8" i="59" s="1"/>
  <c r="A8" i="57"/>
  <c r="C7" i="59" l="1"/>
  <c r="AQ17" i="88" l="1"/>
  <c r="AQ11" i="88"/>
  <c r="AQ10" i="88"/>
  <c r="AQ16" i="88"/>
  <c r="AQ14" i="88"/>
  <c r="AP14" i="88" l="1"/>
  <c r="AP16" i="88" l="1"/>
  <c r="AO14" i="88"/>
  <c r="AO17" i="88"/>
  <c r="AO11" i="88"/>
  <c r="AP10" i="88"/>
  <c r="AP11" i="88"/>
  <c r="AP17" i="88"/>
  <c r="AO16" i="88"/>
  <c r="AO10" i="88"/>
  <c r="AP7" i="88" l="1"/>
  <c r="AQ7" i="88" l="1"/>
  <c r="AO7" i="88"/>
  <c r="AP15" i="88" l="1"/>
  <c r="AQ15" i="88" l="1"/>
  <c r="AO15" i="88"/>
  <c r="AP8" i="88" l="1"/>
  <c r="AQ8" i="88" l="1"/>
  <c r="AO8" i="88"/>
  <c r="AP9" i="88" l="1"/>
  <c r="AQ9" i="88" l="1"/>
  <c r="AO9" i="88"/>
  <c r="AP12" i="88" l="1"/>
  <c r="AQ12" i="88" l="1"/>
  <c r="AO12" i="88"/>
  <c r="AP13" i="88" l="1"/>
  <c r="AQ13" i="88" l="1"/>
  <c r="AO13" i="88"/>
  <c r="M55" i="57" l="1"/>
  <c r="M39" i="57"/>
  <c r="M35" i="57"/>
  <c r="M17" i="57"/>
  <c r="M49" i="57"/>
  <c r="M25" i="57"/>
  <c r="M44" i="57"/>
  <c r="M45" i="57"/>
  <c r="M53" i="57"/>
  <c r="M19" i="57"/>
  <c r="M20" i="57"/>
  <c r="M42" i="57"/>
  <c r="F35" i="57"/>
  <c r="F37" i="57"/>
  <c r="M36" i="57"/>
  <c r="M13" i="57"/>
  <c r="M43" i="57"/>
  <c r="F33" i="57"/>
  <c r="M34" i="57"/>
  <c r="M51" i="57"/>
  <c r="M27" i="57"/>
  <c r="M50" i="57"/>
  <c r="M23" i="57"/>
  <c r="M46" i="57"/>
  <c r="M57" i="57"/>
  <c r="M56" i="57"/>
  <c r="M21" i="57"/>
  <c r="M38" i="57"/>
  <c r="F36" i="57"/>
  <c r="M33" i="57"/>
  <c r="M14" i="57"/>
  <c r="M16" i="57"/>
  <c r="M26" i="57"/>
  <c r="M22" i="57"/>
  <c r="M40" i="57"/>
  <c r="M52" i="57"/>
  <c r="M48" i="57"/>
  <c r="M24" i="57"/>
  <c r="M47" i="57"/>
  <c r="M54" i="57"/>
  <c r="M18" i="57"/>
  <c r="M41" i="57"/>
  <c r="F34" i="57"/>
  <c r="M37" i="57"/>
  <c r="M15" i="57"/>
  <c r="M11" i="57" l="1"/>
  <c r="M12" i="57"/>
  <c r="L33" i="57"/>
  <c r="L35" i="57"/>
  <c r="M10" i="57"/>
  <c r="M8" i="57"/>
  <c r="M9" i="57"/>
  <c r="L34" i="57"/>
  <c r="L36" i="57"/>
  <c r="L37" i="57"/>
  <c r="F53" i="57" l="1"/>
  <c r="F39" i="57"/>
  <c r="L16" i="57"/>
  <c r="F58" i="57"/>
  <c r="L47" i="57"/>
  <c r="F38" i="57"/>
  <c r="F42" i="57"/>
  <c r="L23" i="57"/>
  <c r="L14" i="57"/>
  <c r="F49" i="57"/>
  <c r="F47" i="57"/>
  <c r="F24" i="57"/>
  <c r="F20" i="57"/>
  <c r="F18" i="57"/>
  <c r="M29" i="57"/>
  <c r="F15" i="57"/>
  <c r="L45" i="57"/>
  <c r="L26" i="57"/>
  <c r="F62" i="57"/>
  <c r="F50" i="57"/>
  <c r="F25" i="57"/>
  <c r="F21" i="57"/>
  <c r="F16" i="57"/>
  <c r="F57" i="57"/>
  <c r="L44" i="57"/>
  <c r="F40" i="57"/>
  <c r="L27" i="57"/>
  <c r="L15" i="57"/>
  <c r="F60" i="57"/>
  <c r="F59" i="57"/>
  <c r="F48" i="57"/>
  <c r="F46" i="57"/>
  <c r="F44" i="57"/>
  <c r="F26" i="57"/>
  <c r="F23" i="57"/>
  <c r="F19" i="57"/>
  <c r="F22" i="57"/>
  <c r="M32" i="57"/>
  <c r="F13" i="57"/>
  <c r="F55" i="57"/>
  <c r="F51" i="57"/>
  <c r="M28" i="57"/>
  <c r="F14" i="57"/>
  <c r="F56" i="57"/>
  <c r="L46" i="57"/>
  <c r="F54" i="57"/>
  <c r="L43" i="57"/>
  <c r="F41" i="57"/>
  <c r="L25" i="57"/>
  <c r="L24" i="57"/>
  <c r="L17" i="57"/>
  <c r="L13" i="57"/>
  <c r="F61" i="57"/>
  <c r="F52" i="57"/>
  <c r="F45" i="57"/>
  <c r="F43" i="57"/>
  <c r="F27" i="57"/>
  <c r="M30" i="57"/>
  <c r="M31" i="57"/>
  <c r="F17" i="57"/>
  <c r="M59" i="57" l="1"/>
  <c r="L59" i="57"/>
  <c r="L52" i="57"/>
  <c r="F29" i="57"/>
  <c r="L57" i="57"/>
  <c r="L60" i="57"/>
  <c r="L21" i="57"/>
  <c r="M58" i="57"/>
  <c r="L42" i="57"/>
  <c r="L50" i="57"/>
  <c r="L49" i="57"/>
  <c r="F9" i="57"/>
  <c r="F28" i="57"/>
  <c r="L54" i="57"/>
  <c r="L39" i="57"/>
  <c r="F10" i="57"/>
  <c r="M61" i="57"/>
  <c r="F30" i="57"/>
  <c r="F12" i="57"/>
  <c r="L62" i="57"/>
  <c r="F8" i="57"/>
  <c r="L40" i="57"/>
  <c r="M62" i="57"/>
  <c r="F32" i="57"/>
  <c r="L56" i="57"/>
  <c r="L20" i="57"/>
  <c r="L61" i="57"/>
  <c r="L22" i="57"/>
  <c r="L51" i="57"/>
  <c r="F31" i="57"/>
  <c r="L53" i="57"/>
  <c r="L55" i="57"/>
  <c r="L58" i="57"/>
  <c r="L19" i="57"/>
  <c r="L18" i="57"/>
  <c r="L38" i="57"/>
  <c r="L41" i="57"/>
  <c r="M60" i="57"/>
  <c r="L48" i="57"/>
  <c r="F11" i="57"/>
  <c r="L28" i="57" l="1"/>
  <c r="L10" i="57"/>
  <c r="D12" i="57"/>
  <c r="L30" i="57"/>
  <c r="L32" i="57"/>
  <c r="L8" i="57"/>
  <c r="L11" i="57"/>
  <c r="L31" i="57"/>
  <c r="L29" i="57"/>
  <c r="L12" i="57"/>
  <c r="L9" i="57"/>
  <c r="D8" i="57" l="1"/>
  <c r="D9" i="57"/>
  <c r="D11" i="57"/>
  <c r="D10" i="57"/>
  <c r="K11" i="57" l="1"/>
  <c r="J10" i="57"/>
  <c r="K10" i="57"/>
  <c r="K8" i="57"/>
  <c r="E11" i="57"/>
  <c r="K9" i="57"/>
  <c r="J8" i="57"/>
  <c r="H11" i="57"/>
  <c r="E8" i="57"/>
  <c r="E12" i="57"/>
  <c r="J9" i="57"/>
  <c r="E10" i="57"/>
  <c r="J11" i="57"/>
  <c r="K12" i="57"/>
  <c r="J12" i="57"/>
  <c r="E9" i="57"/>
  <c r="H8" i="57"/>
  <c r="I8" i="57" l="1"/>
  <c r="H10" i="57"/>
  <c r="K8" i="59"/>
  <c r="G8" i="59"/>
  <c r="G7" i="59"/>
  <c r="K7" i="59"/>
  <c r="J9" i="59"/>
  <c r="F9" i="59"/>
  <c r="I11" i="57"/>
  <c r="D10" i="59"/>
  <c r="E10" i="59"/>
  <c r="I10" i="57"/>
  <c r="H9" i="57"/>
  <c r="I9" i="57"/>
  <c r="I12" i="57"/>
  <c r="E8" i="59"/>
  <c r="K11" i="59"/>
  <c r="G11" i="59"/>
  <c r="F10" i="59"/>
  <c r="J10" i="59"/>
  <c r="E7" i="59"/>
  <c r="H12" i="57"/>
  <c r="J11" i="59"/>
  <c r="Q11" i="59" s="1"/>
  <c r="F11" i="59"/>
  <c r="J8" i="59"/>
  <c r="F8" i="59"/>
  <c r="J7" i="59"/>
  <c r="Q7" i="59" s="1"/>
  <c r="F7" i="59"/>
  <c r="K9" i="59"/>
  <c r="G9" i="59"/>
  <c r="G10" i="59"/>
  <c r="K10" i="59"/>
  <c r="N11" i="59" l="1"/>
  <c r="Q8" i="59"/>
  <c r="N8" i="59"/>
  <c r="N9" i="59"/>
  <c r="Q9" i="59"/>
  <c r="Q10" i="59"/>
  <c r="M10" i="59"/>
  <c r="N10" i="59"/>
  <c r="G56" i="57"/>
  <c r="G38" i="57"/>
  <c r="G23" i="57"/>
  <c r="G52" i="57"/>
  <c r="G57" i="57"/>
  <c r="N7" i="59"/>
  <c r="D9" i="59"/>
  <c r="G18" i="57"/>
  <c r="G43" i="57"/>
  <c r="G42" i="57"/>
  <c r="G37" i="57"/>
  <c r="G47" i="57"/>
  <c r="G26" i="57"/>
  <c r="G41" i="57"/>
  <c r="G55" i="57"/>
  <c r="G40" i="57"/>
  <c r="G20" i="57"/>
  <c r="G46" i="57"/>
  <c r="G39" i="57"/>
  <c r="G49" i="57"/>
  <c r="G48" i="57"/>
  <c r="G17" i="57"/>
  <c r="G27" i="57"/>
  <c r="E9" i="59"/>
  <c r="G51" i="57"/>
  <c r="G25" i="57"/>
  <c r="G54" i="57"/>
  <c r="G21" i="57"/>
  <c r="G50" i="57"/>
  <c r="G19" i="57"/>
  <c r="G24" i="57"/>
  <c r="G53" i="57"/>
  <c r="E11" i="59"/>
  <c r="D8" i="59"/>
  <c r="M8" i="59" s="1"/>
  <c r="D11" i="59"/>
  <c r="D7" i="59"/>
  <c r="M7" i="59" s="1"/>
  <c r="M11" i="59" l="1"/>
  <c r="O11" i="59" s="1"/>
  <c r="M9" i="59"/>
  <c r="O9" i="59" s="1"/>
  <c r="S10" i="59"/>
  <c r="O10" i="59"/>
  <c r="O8" i="59"/>
  <c r="S8" i="59"/>
  <c r="S9" i="59"/>
  <c r="C8" i="92"/>
  <c r="F8" i="92"/>
  <c r="O7" i="59"/>
  <c r="S7" i="59"/>
  <c r="H18" i="59"/>
  <c r="H20" i="59"/>
  <c r="H43" i="59"/>
  <c r="H34" i="59"/>
  <c r="H35" i="59"/>
  <c r="H36" i="59"/>
  <c r="H17" i="59"/>
  <c r="H32" i="59"/>
  <c r="G11" i="57"/>
  <c r="G8" i="57"/>
  <c r="H47" i="59"/>
  <c r="H24" i="59"/>
  <c r="H42" i="59"/>
  <c r="H33" i="59"/>
  <c r="H49" i="59"/>
  <c r="H46" i="59"/>
  <c r="H45" i="59"/>
  <c r="H26" i="59"/>
  <c r="H19" i="59"/>
  <c r="H25" i="59"/>
  <c r="H31" i="59"/>
  <c r="G22" i="57"/>
  <c r="H23" i="59"/>
  <c r="H44" i="59"/>
  <c r="H48" i="59"/>
  <c r="H16" i="59"/>
  <c r="H40" i="59"/>
  <c r="H41" i="59"/>
  <c r="H37" i="59"/>
  <c r="H51" i="59"/>
  <c r="H22" i="59"/>
  <c r="H50" i="59"/>
  <c r="B8" i="92" l="1"/>
  <c r="S11" i="59"/>
  <c r="J62" i="57"/>
  <c r="K61" i="57"/>
  <c r="D33" i="57"/>
  <c r="K58" i="57"/>
  <c r="J41" i="57"/>
  <c r="G12" i="57"/>
  <c r="J61" i="57"/>
  <c r="D44" i="57"/>
  <c r="D8" i="92"/>
  <c r="D36" i="57"/>
  <c r="K60" i="57"/>
  <c r="K59" i="57"/>
  <c r="J58" i="57"/>
  <c r="D45" i="57"/>
  <c r="G62" i="57"/>
  <c r="H7" i="59"/>
  <c r="D34" i="57"/>
  <c r="D35" i="57"/>
  <c r="K62" i="57"/>
  <c r="J60" i="57"/>
  <c r="J59" i="57"/>
  <c r="H21" i="59"/>
  <c r="H10" i="59"/>
  <c r="K56" i="59" l="1"/>
  <c r="G56" i="59"/>
  <c r="H56" i="59"/>
  <c r="K54" i="59"/>
  <c r="G54" i="59"/>
  <c r="J55" i="59"/>
  <c r="F55" i="59"/>
  <c r="K55" i="59"/>
  <c r="G55" i="59"/>
  <c r="J54" i="59"/>
  <c r="F54" i="59"/>
  <c r="K53" i="59"/>
  <c r="G53" i="59"/>
  <c r="K52" i="59"/>
  <c r="G52" i="59"/>
  <c r="J53" i="59"/>
  <c r="F53" i="59"/>
  <c r="J52" i="59"/>
  <c r="F52" i="59"/>
  <c r="J56" i="59"/>
  <c r="F56" i="59"/>
  <c r="E60" i="57"/>
  <c r="J38" i="57"/>
  <c r="H49" i="57"/>
  <c r="N22" i="57"/>
  <c r="I21" i="59" s="1"/>
  <c r="P21" i="59" s="1"/>
  <c r="I54" i="57"/>
  <c r="I29" i="57"/>
  <c r="J43" i="57"/>
  <c r="K53" i="57"/>
  <c r="J23" i="57"/>
  <c r="K36" i="57"/>
  <c r="H60" i="57"/>
  <c r="J57" i="57"/>
  <c r="K38" i="57"/>
  <c r="N40" i="57"/>
  <c r="I34" i="59" s="1"/>
  <c r="P34" i="59" s="1"/>
  <c r="K43" i="57"/>
  <c r="H11" i="59"/>
  <c r="J20" i="57"/>
  <c r="J48" i="57"/>
  <c r="J51" i="57"/>
  <c r="E62" i="57"/>
  <c r="D56" i="57"/>
  <c r="K18" i="57"/>
  <c r="K21" i="57"/>
  <c r="D49" i="57"/>
  <c r="D24" i="57"/>
  <c r="I61" i="57"/>
  <c r="I60" i="57"/>
  <c r="H59" i="57"/>
  <c r="I55" i="57"/>
  <c r="N17" i="57"/>
  <c r="I16" i="59" s="1"/>
  <c r="P16" i="59" s="1"/>
  <c r="J39" i="57"/>
  <c r="I18" i="57"/>
  <c r="I28" i="57"/>
  <c r="J31" i="57"/>
  <c r="N54" i="57"/>
  <c r="I48" i="59" s="1"/>
  <c r="P48" i="59" s="1"/>
  <c r="K57" i="57"/>
  <c r="I46" i="57"/>
  <c r="I44" i="57"/>
  <c r="J26" i="57"/>
  <c r="K37" i="57"/>
  <c r="K29" i="57"/>
  <c r="H62" i="57"/>
  <c r="D60" i="57"/>
  <c r="N11" i="57"/>
  <c r="I10" i="59" s="1"/>
  <c r="D15" i="57"/>
  <c r="D41" i="57"/>
  <c r="D55" i="57"/>
  <c r="K24" i="57"/>
  <c r="K51" i="57"/>
  <c r="K50" i="57"/>
  <c r="D25" i="57"/>
  <c r="D58" i="57"/>
  <c r="D18" i="57"/>
  <c r="E29" i="57"/>
  <c r="D39" i="57"/>
  <c r="D46" i="57"/>
  <c r="K47" i="57"/>
  <c r="K46" i="57"/>
  <c r="N8" i="57"/>
  <c r="I7" i="59" s="1"/>
  <c r="P7" i="59" s="1"/>
  <c r="H55" i="57"/>
  <c r="N50" i="57"/>
  <c r="I44" i="59" s="1"/>
  <c r="P44" i="59" s="1"/>
  <c r="N23" i="57"/>
  <c r="I22" i="59" s="1"/>
  <c r="P22" i="59" s="1"/>
  <c r="J50" i="57"/>
  <c r="N21" i="57"/>
  <c r="I20" i="59" s="1"/>
  <c r="P20" i="59" s="1"/>
  <c r="N57" i="57"/>
  <c r="I51" i="59" s="1"/>
  <c r="P51" i="59" s="1"/>
  <c r="N27" i="57"/>
  <c r="I26" i="59" s="1"/>
  <c r="P26" i="59" s="1"/>
  <c r="D61" i="57"/>
  <c r="I26" i="57"/>
  <c r="N42" i="57"/>
  <c r="I36" i="59" s="1"/>
  <c r="P36" i="59" s="1"/>
  <c r="I30" i="57"/>
  <c r="J28" i="57"/>
  <c r="J27" i="57"/>
  <c r="K32" i="57"/>
  <c r="D14" i="57"/>
  <c r="K27" i="57"/>
  <c r="K48" i="57"/>
  <c r="N20" i="57"/>
  <c r="I19" i="59" s="1"/>
  <c r="P19" i="59" s="1"/>
  <c r="D16" i="57"/>
  <c r="N43" i="57"/>
  <c r="I37" i="59" s="1"/>
  <c r="P37" i="59" s="1"/>
  <c r="D50" i="57"/>
  <c r="D23" i="57"/>
  <c r="J35" i="57"/>
  <c r="J18" i="57"/>
  <c r="J52" i="57"/>
  <c r="N56" i="57"/>
  <c r="I50" i="59" s="1"/>
  <c r="P50" i="59" s="1"/>
  <c r="D52" i="57"/>
  <c r="N49" i="57"/>
  <c r="I43" i="59" s="1"/>
  <c r="P43" i="59" s="1"/>
  <c r="N24" i="57"/>
  <c r="I23" i="59" s="1"/>
  <c r="P23" i="59" s="1"/>
  <c r="I59" i="57"/>
  <c r="D59" i="57"/>
  <c r="E58" i="57"/>
  <c r="I24" i="57"/>
  <c r="I23" i="57"/>
  <c r="I57" i="57"/>
  <c r="D17" i="57"/>
  <c r="D42" i="57"/>
  <c r="I22" i="57"/>
  <c r="I31" i="57"/>
  <c r="J30" i="57"/>
  <c r="J47" i="57"/>
  <c r="J46" i="57"/>
  <c r="J36" i="57"/>
  <c r="K54" i="57"/>
  <c r="D37" i="57"/>
  <c r="D48" i="57"/>
  <c r="I43" i="57"/>
  <c r="J24" i="57"/>
  <c r="K35" i="57"/>
  <c r="K31" i="57"/>
  <c r="D62" i="57"/>
  <c r="E59" i="57"/>
  <c r="D19" i="57"/>
  <c r="N41" i="57"/>
  <c r="I35" i="59" s="1"/>
  <c r="P35" i="59" s="1"/>
  <c r="N55" i="57"/>
  <c r="I49" i="59" s="1"/>
  <c r="P49" i="59" s="1"/>
  <c r="J53" i="57"/>
  <c r="K25" i="57"/>
  <c r="K41" i="57"/>
  <c r="K42" i="57"/>
  <c r="K52" i="57"/>
  <c r="N25" i="57"/>
  <c r="I24" i="59" s="1"/>
  <c r="P24" i="59" s="1"/>
  <c r="N18" i="57"/>
  <c r="I17" i="59" s="1"/>
  <c r="P17" i="59" s="1"/>
  <c r="E30" i="57"/>
  <c r="N39" i="57"/>
  <c r="I33" i="59" s="1"/>
  <c r="P33" i="59" s="1"/>
  <c r="N46" i="57"/>
  <c r="I40" i="59" s="1"/>
  <c r="P40" i="59" s="1"/>
  <c r="I34" i="57"/>
  <c r="I33" i="57"/>
  <c r="K45" i="57"/>
  <c r="D53" i="57"/>
  <c r="J34" i="57"/>
  <c r="F35" i="59"/>
  <c r="J21" i="57"/>
  <c r="N12" i="57"/>
  <c r="I11" i="59" s="1"/>
  <c r="N38" i="57"/>
  <c r="I32" i="59" s="1"/>
  <c r="P32" i="59" s="1"/>
  <c r="K19" i="57"/>
  <c r="I58" i="57"/>
  <c r="I27" i="57"/>
  <c r="N47" i="57"/>
  <c r="I41" i="59" s="1"/>
  <c r="P41" i="59" s="1"/>
  <c r="D54" i="57"/>
  <c r="K55" i="57"/>
  <c r="K28" i="57"/>
  <c r="J54" i="57"/>
  <c r="K23" i="57"/>
  <c r="K49" i="57"/>
  <c r="N51" i="57"/>
  <c r="I45" i="59" s="1"/>
  <c r="P45" i="59" s="1"/>
  <c r="N26" i="57"/>
  <c r="I25" i="59" s="1"/>
  <c r="P25" i="59" s="1"/>
  <c r="H58" i="57"/>
  <c r="E28" i="57"/>
  <c r="J42" i="57"/>
  <c r="I37" i="57"/>
  <c r="J19" i="57"/>
  <c r="J22" i="57"/>
  <c r="J49" i="57"/>
  <c r="D21" i="57"/>
  <c r="D13" i="57"/>
  <c r="D38" i="57"/>
  <c r="D57" i="57"/>
  <c r="K20" i="57"/>
  <c r="K22" i="57"/>
  <c r="N52" i="57"/>
  <c r="I46" i="59" s="1"/>
  <c r="P46" i="59" s="1"/>
  <c r="D27" i="57"/>
  <c r="I62" i="57"/>
  <c r="I38" i="57"/>
  <c r="H61" i="57"/>
  <c r="D22" i="57"/>
  <c r="I25" i="57"/>
  <c r="I56" i="57"/>
  <c r="I53" i="57"/>
  <c r="D47" i="57"/>
  <c r="I19" i="57"/>
  <c r="I32" i="57"/>
  <c r="J29" i="57"/>
  <c r="J32" i="57"/>
  <c r="J45" i="57"/>
  <c r="J44" i="57"/>
  <c r="K56" i="57"/>
  <c r="N37" i="57"/>
  <c r="I31" i="59" s="1"/>
  <c r="P31" i="59" s="1"/>
  <c r="N48" i="57"/>
  <c r="I42" i="59" s="1"/>
  <c r="I45" i="57"/>
  <c r="I47" i="57"/>
  <c r="J25" i="57"/>
  <c r="K34" i="57"/>
  <c r="K33" i="57"/>
  <c r="K30" i="57"/>
  <c r="N19" i="57"/>
  <c r="I18" i="59" s="1"/>
  <c r="P18" i="59" s="1"/>
  <c r="J33" i="57"/>
  <c r="J56" i="57"/>
  <c r="J55" i="57"/>
  <c r="K26" i="57"/>
  <c r="K40" i="57"/>
  <c r="K39" i="57"/>
  <c r="D51" i="57"/>
  <c r="D26" i="57"/>
  <c r="E61" i="57"/>
  <c r="D20" i="57"/>
  <c r="E31" i="57"/>
  <c r="J40" i="57"/>
  <c r="D40" i="57"/>
  <c r="D43" i="57"/>
  <c r="I36" i="57"/>
  <c r="I35" i="57"/>
  <c r="K44" i="57"/>
  <c r="N53" i="57"/>
  <c r="I47" i="59" s="1"/>
  <c r="P47" i="59" s="1"/>
  <c r="J37" i="57"/>
  <c r="D56" i="59" l="1"/>
  <c r="E56" i="59"/>
  <c r="E53" i="59"/>
  <c r="D53" i="59"/>
  <c r="D55" i="59"/>
  <c r="E55" i="59"/>
  <c r="D52" i="59"/>
  <c r="E52" i="59"/>
  <c r="D54" i="59"/>
  <c r="E54" i="59"/>
  <c r="E17" i="92"/>
  <c r="P42" i="59"/>
  <c r="P11" i="59"/>
  <c r="R11" i="59" s="1"/>
  <c r="T11" i="59" s="1"/>
  <c r="V11" i="59" s="1"/>
  <c r="W11" i="59" s="1"/>
  <c r="X11" i="59" s="1"/>
  <c r="P10" i="59"/>
  <c r="R10" i="59" s="1"/>
  <c r="T10" i="59" s="1"/>
  <c r="V10" i="59" s="1"/>
  <c r="W10" i="59" s="1"/>
  <c r="X10" i="59" s="1"/>
  <c r="E15" i="92"/>
  <c r="E18" i="92"/>
  <c r="E12" i="92"/>
  <c r="E11" i="92"/>
  <c r="R7" i="59"/>
  <c r="K15" i="57"/>
  <c r="H26" i="57"/>
  <c r="K14" i="57"/>
  <c r="E23" i="57"/>
  <c r="D32" i="57"/>
  <c r="D28" i="57"/>
  <c r="I42" i="57"/>
  <c r="E15" i="57"/>
  <c r="D31" i="57"/>
  <c r="K13" i="57"/>
  <c r="I49" i="57"/>
  <c r="E21" i="57"/>
  <c r="H34" i="57"/>
  <c r="H15" i="57"/>
  <c r="I20" i="57"/>
  <c r="H42" i="57"/>
  <c r="K27" i="59"/>
  <c r="G27" i="59"/>
  <c r="G50" i="59"/>
  <c r="K50" i="59"/>
  <c r="J39" i="59"/>
  <c r="F39" i="59"/>
  <c r="K19" i="59"/>
  <c r="G19" i="59"/>
  <c r="F21" i="59"/>
  <c r="J21" i="59"/>
  <c r="J20" i="59"/>
  <c r="F20" i="59"/>
  <c r="F28" i="59"/>
  <c r="J28" i="59"/>
  <c r="F17" i="59"/>
  <c r="J17" i="59"/>
  <c r="G26" i="59"/>
  <c r="K26" i="59"/>
  <c r="G40" i="59"/>
  <c r="K40" i="59"/>
  <c r="K23" i="59"/>
  <c r="G23" i="59"/>
  <c r="G31" i="59"/>
  <c r="K31" i="59"/>
  <c r="J45" i="59"/>
  <c r="F45" i="59"/>
  <c r="K47" i="59"/>
  <c r="G47" i="59"/>
  <c r="F32" i="59"/>
  <c r="J32" i="59"/>
  <c r="E32" i="57"/>
  <c r="H53" i="57"/>
  <c r="E36" i="57"/>
  <c r="E53" i="57"/>
  <c r="H37" i="57"/>
  <c r="I14" i="57"/>
  <c r="H50" i="57"/>
  <c r="H54" i="57"/>
  <c r="H25" i="57"/>
  <c r="E33" i="57"/>
  <c r="H52" i="57"/>
  <c r="E24" i="57"/>
  <c r="J14" i="57"/>
  <c r="H20" i="57"/>
  <c r="H35" i="57"/>
  <c r="K17" i="57"/>
  <c r="E22" i="57"/>
  <c r="E45" i="57"/>
  <c r="I50" i="57"/>
  <c r="N62" i="57"/>
  <c r="H46" i="57"/>
  <c r="I15" i="57"/>
  <c r="H51" i="57"/>
  <c r="J17" i="57"/>
  <c r="I40" i="57"/>
  <c r="E25" i="57"/>
  <c r="H33" i="57"/>
  <c r="I17" i="57"/>
  <c r="E41" i="57"/>
  <c r="E19" i="57"/>
  <c r="E57" i="57"/>
  <c r="E54" i="57"/>
  <c r="E43" i="57"/>
  <c r="E55" i="57"/>
  <c r="J13" i="57"/>
  <c r="H22" i="57"/>
  <c r="H31" i="57"/>
  <c r="E40" i="57"/>
  <c r="E13" i="57"/>
  <c r="H45" i="57"/>
  <c r="E26" i="57"/>
  <c r="I51" i="57"/>
  <c r="J15" i="57"/>
  <c r="H21" i="57"/>
  <c r="E48" i="57"/>
  <c r="E37" i="57"/>
  <c r="E47" i="57"/>
  <c r="E49" i="57"/>
  <c r="I13" i="57"/>
  <c r="H39" i="57"/>
  <c r="H27" i="57"/>
  <c r="J34" i="59"/>
  <c r="F34" i="59"/>
  <c r="K33" i="59"/>
  <c r="G33" i="59"/>
  <c r="K25" i="59"/>
  <c r="G25" i="59"/>
  <c r="F50" i="59"/>
  <c r="J50" i="59"/>
  <c r="J24" i="59"/>
  <c r="F24" i="59"/>
  <c r="K43" i="59"/>
  <c r="G43" i="59"/>
  <c r="F48" i="59"/>
  <c r="J48" i="59"/>
  <c r="K49" i="59"/>
  <c r="G49" i="59"/>
  <c r="J29" i="59"/>
  <c r="G42" i="59"/>
  <c r="K42" i="59"/>
  <c r="F26" i="59"/>
  <c r="N26" i="59" s="1"/>
  <c r="J26" i="59"/>
  <c r="K44" i="59"/>
  <c r="G44" i="59"/>
  <c r="J33" i="59"/>
  <c r="Q33" i="59" s="1"/>
  <c r="F33" i="59"/>
  <c r="K20" i="59"/>
  <c r="G20" i="59"/>
  <c r="F19" i="59"/>
  <c r="N19" i="59" s="1"/>
  <c r="J19" i="59"/>
  <c r="J51" i="59"/>
  <c r="F51" i="59"/>
  <c r="K30" i="59"/>
  <c r="G30" i="59"/>
  <c r="H41" i="57"/>
  <c r="D29" i="57"/>
  <c r="H43" i="57"/>
  <c r="E44" i="57"/>
  <c r="H30" i="57"/>
  <c r="E16" i="57"/>
  <c r="Q56" i="59"/>
  <c r="Q61" i="59" s="1"/>
  <c r="Q66" i="59" s="1"/>
  <c r="J36" i="59"/>
  <c r="F36" i="59"/>
  <c r="G24" i="59"/>
  <c r="K24" i="59"/>
  <c r="J30" i="59"/>
  <c r="F30" i="59"/>
  <c r="N30" i="59" s="1"/>
  <c r="J41" i="59"/>
  <c r="F41" i="59"/>
  <c r="J46" i="59"/>
  <c r="F46" i="59"/>
  <c r="J44" i="59"/>
  <c r="F44" i="59"/>
  <c r="K45" i="59"/>
  <c r="G45" i="59"/>
  <c r="F25" i="59"/>
  <c r="J25" i="59"/>
  <c r="E51" i="57"/>
  <c r="E39" i="57"/>
  <c r="H19" i="57"/>
  <c r="E17" i="57"/>
  <c r="H40" i="57"/>
  <c r="H17" i="57"/>
  <c r="E18" i="57"/>
  <c r="H47" i="57"/>
  <c r="I16" i="57"/>
  <c r="H57" i="57"/>
  <c r="K21" i="59"/>
  <c r="G21" i="59"/>
  <c r="J43" i="59"/>
  <c r="F43" i="59"/>
  <c r="G22" i="59"/>
  <c r="K22" i="59"/>
  <c r="K36" i="59"/>
  <c r="G36" i="59"/>
  <c r="F29" i="59"/>
  <c r="K29" i="59"/>
  <c r="G29" i="59"/>
  <c r="H23" i="57"/>
  <c r="J16" i="57"/>
  <c r="H32" i="57"/>
  <c r="E27" i="57"/>
  <c r="E50" i="57"/>
  <c r="E14" i="57"/>
  <c r="E52" i="57"/>
  <c r="H24" i="57"/>
  <c r="E20" i="57"/>
  <c r="H28" i="57"/>
  <c r="M52" i="59" s="1"/>
  <c r="H29" i="57"/>
  <c r="I39" i="57"/>
  <c r="E35" i="57"/>
  <c r="E56" i="57"/>
  <c r="E42" i="57"/>
  <c r="I41" i="57"/>
  <c r="H36" i="57"/>
  <c r="H44" i="57"/>
  <c r="I52" i="57"/>
  <c r="I48" i="57"/>
  <c r="H18" i="57"/>
  <c r="D30" i="57"/>
  <c r="E34" i="57"/>
  <c r="E46" i="57"/>
  <c r="K16" i="57"/>
  <c r="E38" i="57"/>
  <c r="I21" i="57"/>
  <c r="H13" i="57"/>
  <c r="H56" i="57"/>
  <c r="H48" i="57"/>
  <c r="H38" i="57"/>
  <c r="J31" i="59"/>
  <c r="F31" i="59"/>
  <c r="G38" i="59"/>
  <c r="K38" i="59"/>
  <c r="M55" i="59"/>
  <c r="G34" i="59"/>
  <c r="K34" i="59"/>
  <c r="F49" i="59"/>
  <c r="J49" i="59"/>
  <c r="Q49" i="59" s="1"/>
  <c r="J27" i="59"/>
  <c r="F27" i="59"/>
  <c r="G28" i="59"/>
  <c r="K28" i="59"/>
  <c r="J38" i="59"/>
  <c r="F38" i="59"/>
  <c r="J18" i="59"/>
  <c r="F18" i="59"/>
  <c r="G18" i="59"/>
  <c r="K18" i="59"/>
  <c r="G39" i="59"/>
  <c r="K39" i="59"/>
  <c r="K46" i="59"/>
  <c r="G46" i="59"/>
  <c r="J35" i="59"/>
  <c r="K35" i="59"/>
  <c r="G35" i="59"/>
  <c r="N35" i="59" s="1"/>
  <c r="J47" i="59"/>
  <c r="F47" i="59"/>
  <c r="F23" i="59"/>
  <c r="J23" i="59"/>
  <c r="Q23" i="59" s="1"/>
  <c r="G48" i="59"/>
  <c r="K48" i="59"/>
  <c r="F40" i="59"/>
  <c r="J40" i="59"/>
  <c r="Q40" i="59" s="1"/>
  <c r="Q54" i="59"/>
  <c r="Q59" i="59" s="1"/>
  <c r="Q64" i="59" s="1"/>
  <c r="N54" i="59"/>
  <c r="N59" i="59" s="1"/>
  <c r="N64" i="59" s="1"/>
  <c r="G41" i="59"/>
  <c r="K41" i="59"/>
  <c r="G51" i="59"/>
  <c r="K51" i="59"/>
  <c r="G17" i="59"/>
  <c r="K17" i="59"/>
  <c r="F42" i="59"/>
  <c r="J42" i="59"/>
  <c r="K37" i="59"/>
  <c r="G37" i="59"/>
  <c r="G32" i="59"/>
  <c r="K32" i="59"/>
  <c r="J22" i="59"/>
  <c r="Q22" i="59" s="1"/>
  <c r="F22" i="59"/>
  <c r="J37" i="59"/>
  <c r="F37" i="59"/>
  <c r="Q25" i="59" l="1"/>
  <c r="N40" i="59"/>
  <c r="N42" i="59"/>
  <c r="Q44" i="59"/>
  <c r="N50" i="59"/>
  <c r="N18" i="59"/>
  <c r="N43" i="59"/>
  <c r="I56" i="59"/>
  <c r="Q42" i="59"/>
  <c r="N49" i="59"/>
  <c r="Q43" i="59"/>
  <c r="N23" i="59"/>
  <c r="N27" i="59"/>
  <c r="N33" i="59"/>
  <c r="Q26" i="59"/>
  <c r="N47" i="59"/>
  <c r="M53" i="59"/>
  <c r="Q55" i="59"/>
  <c r="Q60" i="59" s="1"/>
  <c r="Q65" i="59" s="1"/>
  <c r="Q47" i="59"/>
  <c r="N38" i="59"/>
  <c r="N31" i="59"/>
  <c r="N25" i="59"/>
  <c r="Q30" i="59"/>
  <c r="Q19" i="59"/>
  <c r="Q50" i="59"/>
  <c r="Q27" i="59"/>
  <c r="N22" i="59"/>
  <c r="Q38" i="59"/>
  <c r="Q31" i="59"/>
  <c r="N44" i="59"/>
  <c r="N56" i="59"/>
  <c r="N61" i="59" s="1"/>
  <c r="N66" i="59" s="1"/>
  <c r="M54" i="59"/>
  <c r="S54" i="59" s="1"/>
  <c r="Q41" i="59"/>
  <c r="N51" i="59"/>
  <c r="Q29" i="59"/>
  <c r="Q48" i="59"/>
  <c r="N24" i="59"/>
  <c r="N34" i="59"/>
  <c r="N17" i="59"/>
  <c r="Q20" i="59"/>
  <c r="Q39" i="59"/>
  <c r="N37" i="59"/>
  <c r="N55" i="59"/>
  <c r="N60" i="59" s="1"/>
  <c r="N65" i="59" s="1"/>
  <c r="Q35" i="59"/>
  <c r="Q18" i="59"/>
  <c r="M58" i="59"/>
  <c r="N46" i="59"/>
  <c r="N36" i="59"/>
  <c r="Q51" i="59"/>
  <c r="N48" i="59"/>
  <c r="Q24" i="59"/>
  <c r="Q34" i="59"/>
  <c r="Q28" i="59"/>
  <c r="Q21" i="59"/>
  <c r="Q53" i="59"/>
  <c r="Q58" i="59" s="1"/>
  <c r="Q63" i="59" s="1"/>
  <c r="Q37" i="59"/>
  <c r="M57" i="59"/>
  <c r="N29" i="59"/>
  <c r="Q46" i="59"/>
  <c r="Q36" i="59"/>
  <c r="Q52" i="59"/>
  <c r="Q57" i="59" s="1"/>
  <c r="Q62" i="59" s="1"/>
  <c r="Q32" i="59"/>
  <c r="N45" i="59"/>
  <c r="N28" i="59"/>
  <c r="N21" i="59"/>
  <c r="N53" i="59"/>
  <c r="N58" i="59" s="1"/>
  <c r="N63" i="59" s="1"/>
  <c r="M60" i="59"/>
  <c r="N41" i="59"/>
  <c r="O54" i="59"/>
  <c r="O59" i="59" s="1"/>
  <c r="O64" i="59" s="1"/>
  <c r="N52" i="59"/>
  <c r="N57" i="59" s="1"/>
  <c r="N62" i="59" s="1"/>
  <c r="N32" i="59"/>
  <c r="Q45" i="59"/>
  <c r="Q17" i="59"/>
  <c r="N20" i="59"/>
  <c r="N39" i="59"/>
  <c r="T7" i="59"/>
  <c r="V7" i="59" s="1"/>
  <c r="E19" i="59"/>
  <c r="D19" i="59"/>
  <c r="E45" i="59"/>
  <c r="D45" i="59"/>
  <c r="E43" i="59"/>
  <c r="D43" i="59"/>
  <c r="E31" i="59"/>
  <c r="D31" i="59"/>
  <c r="F12" i="59"/>
  <c r="J12" i="59"/>
  <c r="E48" i="59"/>
  <c r="D48" i="59"/>
  <c r="H16" i="57"/>
  <c r="D15" i="59" s="1"/>
  <c r="D32" i="59"/>
  <c r="E32" i="59"/>
  <c r="D40" i="59"/>
  <c r="E40" i="59"/>
  <c r="E36" i="59"/>
  <c r="D36" i="59"/>
  <c r="D29" i="59"/>
  <c r="E29" i="59"/>
  <c r="E13" i="59"/>
  <c r="E17" i="59"/>
  <c r="D17" i="59"/>
  <c r="E16" i="59"/>
  <c r="D16" i="59"/>
  <c r="D12" i="59"/>
  <c r="E12" i="59"/>
  <c r="D18" i="59"/>
  <c r="E18" i="59"/>
  <c r="E35" i="59"/>
  <c r="D35" i="59"/>
  <c r="E24" i="59"/>
  <c r="D24" i="59"/>
  <c r="F16" i="59"/>
  <c r="J16" i="59"/>
  <c r="D21" i="59"/>
  <c r="E21" i="59"/>
  <c r="F13" i="59"/>
  <c r="J13" i="59"/>
  <c r="E47" i="59"/>
  <c r="D47" i="59"/>
  <c r="M56" i="59"/>
  <c r="K14" i="59"/>
  <c r="G14" i="59"/>
  <c r="E23" i="59"/>
  <c r="D23" i="59"/>
  <c r="D27" i="59"/>
  <c r="E27" i="59"/>
  <c r="E22" i="59"/>
  <c r="D22" i="59"/>
  <c r="H14" i="57"/>
  <c r="D13" i="59" s="1"/>
  <c r="E50" i="59"/>
  <c r="D50" i="59"/>
  <c r="D26" i="59"/>
  <c r="E26" i="59"/>
  <c r="E41" i="59"/>
  <c r="D41" i="59"/>
  <c r="D42" i="59"/>
  <c r="E42" i="59"/>
  <c r="F14" i="59"/>
  <c r="J14" i="59"/>
  <c r="D34" i="59"/>
  <c r="E34" i="59"/>
  <c r="D49" i="59"/>
  <c r="E49" i="59"/>
  <c r="D37" i="59"/>
  <c r="E37" i="59"/>
  <c r="E51" i="59"/>
  <c r="D51" i="59"/>
  <c r="G16" i="59"/>
  <c r="K16" i="59"/>
  <c r="D30" i="59"/>
  <c r="E30" i="59"/>
  <c r="E14" i="59"/>
  <c r="D14" i="59"/>
  <c r="G13" i="59"/>
  <c r="K13" i="59"/>
  <c r="N32" i="57"/>
  <c r="P56" i="59" s="1"/>
  <c r="P61" i="59" s="1"/>
  <c r="P66" i="59" s="1"/>
  <c r="G15" i="59"/>
  <c r="K15" i="59"/>
  <c r="D28" i="59"/>
  <c r="E28" i="59"/>
  <c r="E46" i="59"/>
  <c r="D46" i="59"/>
  <c r="D44" i="59"/>
  <c r="E44" i="59"/>
  <c r="J15" i="59"/>
  <c r="F15" i="59"/>
  <c r="D33" i="59"/>
  <c r="E33" i="59"/>
  <c r="E15" i="59"/>
  <c r="D38" i="59"/>
  <c r="E38" i="59"/>
  <c r="E25" i="59"/>
  <c r="D25" i="59"/>
  <c r="E39" i="59"/>
  <c r="D39" i="59"/>
  <c r="D20" i="59"/>
  <c r="E20" i="59"/>
  <c r="K12" i="59"/>
  <c r="G12" i="59"/>
  <c r="M35" i="59" l="1"/>
  <c r="M17" i="59"/>
  <c r="M48" i="59"/>
  <c r="M31" i="59"/>
  <c r="R31" i="59" s="1"/>
  <c r="M45" i="59"/>
  <c r="M59" i="59"/>
  <c r="M38" i="59"/>
  <c r="M33" i="59"/>
  <c r="O33" i="59" s="1"/>
  <c r="Q14" i="59"/>
  <c r="S53" i="59"/>
  <c r="N14" i="59"/>
  <c r="M47" i="59"/>
  <c r="R47" i="59" s="1"/>
  <c r="M24" i="59"/>
  <c r="R24" i="59" s="1"/>
  <c r="M16" i="59"/>
  <c r="M32" i="59"/>
  <c r="M43" i="59"/>
  <c r="S43" i="59" s="1"/>
  <c r="M19" i="59"/>
  <c r="S19" i="59" s="1"/>
  <c r="S55" i="59"/>
  <c r="M15" i="59"/>
  <c r="Q15" i="59"/>
  <c r="S15" i="59" s="1"/>
  <c r="M13" i="59"/>
  <c r="M37" i="59"/>
  <c r="S37" i="59" s="1"/>
  <c r="M34" i="59"/>
  <c r="M42" i="59"/>
  <c r="R42" i="59" s="1"/>
  <c r="M26" i="59"/>
  <c r="S26" i="59" s="1"/>
  <c r="M27" i="59"/>
  <c r="O27" i="59" s="1"/>
  <c r="M29" i="59"/>
  <c r="M40" i="59"/>
  <c r="R40" i="59" s="1"/>
  <c r="M20" i="59"/>
  <c r="S20" i="59" s="1"/>
  <c r="M44" i="59"/>
  <c r="O44" i="59" s="1"/>
  <c r="M28" i="59"/>
  <c r="S28" i="59" s="1"/>
  <c r="M51" i="59"/>
  <c r="S51" i="59" s="1"/>
  <c r="M41" i="59"/>
  <c r="O41" i="59" s="1"/>
  <c r="M50" i="59"/>
  <c r="R50" i="59" s="1"/>
  <c r="M22" i="59"/>
  <c r="R22" i="59" s="1"/>
  <c r="M23" i="59"/>
  <c r="S23" i="59" s="1"/>
  <c r="O55" i="59"/>
  <c r="O60" i="59" s="1"/>
  <c r="O65" i="59" s="1"/>
  <c r="S38" i="59"/>
  <c r="O38" i="59"/>
  <c r="S33" i="59"/>
  <c r="S44" i="59"/>
  <c r="O28" i="59"/>
  <c r="S41" i="59"/>
  <c r="O50" i="59"/>
  <c r="S22" i="59"/>
  <c r="O22" i="59"/>
  <c r="R56" i="59"/>
  <c r="M61" i="59"/>
  <c r="S56" i="59"/>
  <c r="O56" i="59"/>
  <c r="O61" i="59" s="1"/>
  <c r="O66" i="59" s="1"/>
  <c r="N13" i="59"/>
  <c r="N16" i="59"/>
  <c r="O16" i="59" s="1"/>
  <c r="M12" i="59"/>
  <c r="M36" i="59"/>
  <c r="S57" i="59"/>
  <c r="M62" i="59"/>
  <c r="O53" i="59"/>
  <c r="O58" i="59" s="1"/>
  <c r="O63" i="59" s="1"/>
  <c r="M25" i="59"/>
  <c r="N15" i="59"/>
  <c r="O15" i="59" s="1"/>
  <c r="M46" i="59"/>
  <c r="M30" i="59"/>
  <c r="M49" i="59"/>
  <c r="R32" i="59"/>
  <c r="S32" i="59"/>
  <c r="O32" i="59"/>
  <c r="Q12" i="59"/>
  <c r="R43" i="59"/>
  <c r="M64" i="59"/>
  <c r="S59" i="59"/>
  <c r="M14" i="59"/>
  <c r="M21" i="59"/>
  <c r="M18" i="59"/>
  <c r="N12" i="59"/>
  <c r="S60" i="59"/>
  <c r="M65" i="59"/>
  <c r="O52" i="59"/>
  <c r="O57" i="59" s="1"/>
  <c r="O62" i="59" s="1"/>
  <c r="M39" i="59"/>
  <c r="R37" i="59"/>
  <c r="O34" i="59"/>
  <c r="S34" i="59"/>
  <c r="R34" i="59"/>
  <c r="Q13" i="59"/>
  <c r="Q16" i="59"/>
  <c r="S16" i="59" s="1"/>
  <c r="S35" i="59"/>
  <c r="O35" i="59"/>
  <c r="R35" i="59"/>
  <c r="S17" i="59"/>
  <c r="O17" i="59"/>
  <c r="R17" i="59"/>
  <c r="S29" i="59"/>
  <c r="O29" i="59"/>
  <c r="S48" i="59"/>
  <c r="O48" i="59"/>
  <c r="R48" i="59"/>
  <c r="S45" i="59"/>
  <c r="O45" i="59"/>
  <c r="R45" i="59"/>
  <c r="S52" i="59"/>
  <c r="S58" i="59"/>
  <c r="M63" i="59"/>
  <c r="F11" i="92"/>
  <c r="C17" i="92"/>
  <c r="C16" i="92"/>
  <c r="C15" i="92"/>
  <c r="F18" i="92"/>
  <c r="F13" i="92"/>
  <c r="C12" i="92"/>
  <c r="F17" i="92"/>
  <c r="F15" i="92"/>
  <c r="F12" i="92"/>
  <c r="F16" i="92"/>
  <c r="F14" i="92"/>
  <c r="C11" i="92"/>
  <c r="H11" i="92" s="1"/>
  <c r="C9" i="92"/>
  <c r="C13" i="92"/>
  <c r="C14" i="92"/>
  <c r="C18" i="92"/>
  <c r="S42" i="59" l="1"/>
  <c r="T42" i="59" s="1"/>
  <c r="R51" i="59"/>
  <c r="T51" i="59" s="1"/>
  <c r="V51" i="59" s="1"/>
  <c r="T22" i="59"/>
  <c r="S31" i="59"/>
  <c r="T31" i="59" s="1"/>
  <c r="V31" i="59" s="1"/>
  <c r="W31" i="59" s="1"/>
  <c r="X31" i="59" s="1"/>
  <c r="O31" i="59"/>
  <c r="O40" i="59"/>
  <c r="O42" i="59"/>
  <c r="O43" i="59"/>
  <c r="O47" i="59"/>
  <c r="T34" i="59"/>
  <c r="V34" i="59" s="1"/>
  <c r="W34" i="59" s="1"/>
  <c r="X34" i="59" s="1"/>
  <c r="O24" i="59"/>
  <c r="T35" i="59"/>
  <c r="V35" i="59" s="1"/>
  <c r="W35" i="59" s="1"/>
  <c r="X35" i="59" s="1"/>
  <c r="T56" i="59"/>
  <c r="V56" i="59" s="1"/>
  <c r="T45" i="59"/>
  <c r="V45" i="59" s="1"/>
  <c r="W45" i="59" s="1"/>
  <c r="X45" i="59" s="1"/>
  <c r="R23" i="59"/>
  <c r="R19" i="59"/>
  <c r="S24" i="59"/>
  <c r="T24" i="59" s="1"/>
  <c r="V24" i="59" s="1"/>
  <c r="W24" i="59" s="1"/>
  <c r="X24" i="59" s="1"/>
  <c r="S40" i="59"/>
  <c r="T40" i="59" s="1"/>
  <c r="V40" i="59" s="1"/>
  <c r="R26" i="59"/>
  <c r="O19" i="59"/>
  <c r="S47" i="59"/>
  <c r="T47" i="59" s="1"/>
  <c r="O23" i="59"/>
  <c r="O51" i="59"/>
  <c r="R33" i="59"/>
  <c r="T43" i="59"/>
  <c r="V43" i="59" s="1"/>
  <c r="W43" i="59" s="1"/>
  <c r="X43" i="59" s="1"/>
  <c r="O13" i="59"/>
  <c r="O26" i="59"/>
  <c r="R20" i="59"/>
  <c r="T20" i="59" s="1"/>
  <c r="V20" i="59" s="1"/>
  <c r="W20" i="59" s="1"/>
  <c r="X20" i="59" s="1"/>
  <c r="O37" i="59"/>
  <c r="S27" i="59"/>
  <c r="S13" i="59"/>
  <c r="R41" i="59"/>
  <c r="T41" i="59" s="1"/>
  <c r="V41" i="59" s="1"/>
  <c r="W41" i="59" s="1"/>
  <c r="X41" i="59" s="1"/>
  <c r="R44" i="59"/>
  <c r="T44" i="59" s="1"/>
  <c r="V44" i="59" s="1"/>
  <c r="O20" i="59"/>
  <c r="T26" i="59"/>
  <c r="V26" i="59" s="1"/>
  <c r="W26" i="59" s="1"/>
  <c r="X26" i="59" s="1"/>
  <c r="T37" i="59"/>
  <c r="V37" i="59" s="1"/>
  <c r="S50" i="59"/>
  <c r="T50" i="59" s="1"/>
  <c r="V50" i="59" s="1"/>
  <c r="W50" i="59" s="1"/>
  <c r="X50" i="59" s="1"/>
  <c r="V42" i="59"/>
  <c r="S39" i="59"/>
  <c r="O39" i="59"/>
  <c r="O21" i="59"/>
  <c r="S21" i="59"/>
  <c r="R21" i="59"/>
  <c r="S14" i="59"/>
  <c r="O14" i="59"/>
  <c r="T32" i="59"/>
  <c r="S46" i="59"/>
  <c r="O46" i="59"/>
  <c r="R46" i="59"/>
  <c r="O12" i="59"/>
  <c r="S12" i="59"/>
  <c r="S63" i="59"/>
  <c r="S62" i="59"/>
  <c r="S61" i="59"/>
  <c r="M66" i="59"/>
  <c r="R61" i="59"/>
  <c r="S64" i="59"/>
  <c r="R16" i="59"/>
  <c r="T16" i="59" s="1"/>
  <c r="V16" i="59" s="1"/>
  <c r="O49" i="59"/>
  <c r="R49" i="59"/>
  <c r="S49" i="59"/>
  <c r="S25" i="59"/>
  <c r="O25" i="59"/>
  <c r="R25" i="59"/>
  <c r="V22" i="59"/>
  <c r="T48" i="59"/>
  <c r="V48" i="59" s="1"/>
  <c r="T17" i="59"/>
  <c r="S65" i="59"/>
  <c r="S18" i="59"/>
  <c r="O18" i="59"/>
  <c r="R18" i="59"/>
  <c r="T19" i="59"/>
  <c r="V19" i="59" s="1"/>
  <c r="W19" i="59" s="1"/>
  <c r="X19" i="59" s="1"/>
  <c r="S30" i="59"/>
  <c r="O30" i="59"/>
  <c r="R36" i="59"/>
  <c r="S36" i="59"/>
  <c r="O36" i="59"/>
  <c r="T23" i="59"/>
  <c r="V23" i="59" s="1"/>
  <c r="T33" i="59"/>
  <c r="V33" i="59" s="1"/>
  <c r="W33" i="59" s="1"/>
  <c r="X33" i="59" s="1"/>
  <c r="H17" i="92"/>
  <c r="H18" i="92"/>
  <c r="B15" i="92"/>
  <c r="B17" i="92"/>
  <c r="B10" i="92"/>
  <c r="B12" i="92"/>
  <c r="C10" i="92"/>
  <c r="B16" i="92"/>
  <c r="B18" i="92"/>
  <c r="B14" i="92"/>
  <c r="F10" i="92"/>
  <c r="B11" i="92"/>
  <c r="F9" i="92"/>
  <c r="H12" i="92"/>
  <c r="H15" i="92"/>
  <c r="W48" i="59"/>
  <c r="X48" i="59" s="1"/>
  <c r="T36" i="59" l="1"/>
  <c r="V36" i="59" s="1"/>
  <c r="W36" i="59" s="1"/>
  <c r="X36" i="59" s="1"/>
  <c r="T21" i="59"/>
  <c r="V21" i="59" s="1"/>
  <c r="T18" i="59"/>
  <c r="V18" i="59" s="1"/>
  <c r="W18" i="59" s="1"/>
  <c r="X18" i="59" s="1"/>
  <c r="T46" i="59"/>
  <c r="V46" i="59" s="1"/>
  <c r="W46" i="59" s="1"/>
  <c r="X46" i="59" s="1"/>
  <c r="T25" i="59"/>
  <c r="T49" i="59"/>
  <c r="V49" i="59" s="1"/>
  <c r="W49" i="59" s="1"/>
  <c r="X49" i="59" s="1"/>
  <c r="V32" i="59"/>
  <c r="W32" i="59" s="1"/>
  <c r="X32" i="59" s="1"/>
  <c r="AB13" i="59"/>
  <c r="AC13" i="59" s="1"/>
  <c r="T61" i="59"/>
  <c r="V61" i="59" s="1"/>
  <c r="S66" i="59"/>
  <c r="R66" i="59"/>
  <c r="V47" i="59"/>
  <c r="W47" i="59" s="1"/>
  <c r="X47" i="59" s="1"/>
  <c r="V17" i="59"/>
  <c r="W17" i="59" s="1"/>
  <c r="X17" i="59" s="1"/>
  <c r="D17" i="92"/>
  <c r="I17" i="92" s="1"/>
  <c r="J17" i="92" s="1"/>
  <c r="D15" i="92"/>
  <c r="I15" i="92" s="1"/>
  <c r="J15" i="92" s="1"/>
  <c r="W44" i="59"/>
  <c r="X44" i="59" s="1"/>
  <c r="D14" i="92"/>
  <c r="D10" i="92"/>
  <c r="W37" i="59"/>
  <c r="X37" i="59" s="1"/>
  <c r="D18" i="92"/>
  <c r="I18" i="92" s="1"/>
  <c r="J18" i="92" s="1"/>
  <c r="D12" i="92"/>
  <c r="I12" i="92" s="1"/>
  <c r="J12" i="92" s="1"/>
  <c r="D16" i="92"/>
  <c r="B9" i="92"/>
  <c r="B13" i="92"/>
  <c r="D13" i="92"/>
  <c r="D11" i="92"/>
  <c r="I11" i="92" s="1"/>
  <c r="J11" i="92" s="1"/>
  <c r="D9" i="92"/>
  <c r="W16" i="59"/>
  <c r="X16" i="59" s="1"/>
  <c r="W42" i="59"/>
  <c r="X42" i="59" s="1"/>
  <c r="W56" i="59"/>
  <c r="X56" i="59" s="1"/>
  <c r="W40" i="59"/>
  <c r="X40" i="59" s="1"/>
  <c r="W22" i="59"/>
  <c r="X22" i="59" s="1"/>
  <c r="W23" i="59"/>
  <c r="X23" i="59" s="1"/>
  <c r="W21" i="59"/>
  <c r="X21" i="59" s="1"/>
  <c r="AB9" i="59" l="1"/>
  <c r="AC9" i="59" s="1"/>
  <c r="AB15" i="59"/>
  <c r="AC15" i="59" s="1"/>
  <c r="AB16" i="59"/>
  <c r="AC16" i="59" s="1"/>
  <c r="T66" i="59"/>
  <c r="V66" i="59" s="1"/>
  <c r="V25" i="59"/>
  <c r="W25" i="59" s="1"/>
  <c r="X25" i="59" s="1"/>
  <c r="AB10" i="59"/>
  <c r="AC10" i="59" s="1"/>
  <c r="W51" i="59"/>
  <c r="X51" i="59" s="1"/>
  <c r="W66" i="59"/>
  <c r="X66" i="59" s="1"/>
  <c r="W61" i="59"/>
  <c r="X61" i="59" s="1"/>
  <c r="N9" i="57" l="1"/>
  <c r="G9" i="57" l="1"/>
  <c r="H8" i="59" l="1"/>
  <c r="I8" i="59"/>
  <c r="P8" i="59" l="1"/>
  <c r="R8" i="59" s="1"/>
  <c r="T8" i="59" s="1"/>
  <c r="V8" i="59" s="1"/>
  <c r="W8" i="59" s="1"/>
  <c r="X8" i="59" s="1"/>
  <c r="N10" i="57"/>
  <c r="G10" i="57" l="1"/>
  <c r="H9" i="59" l="1"/>
  <c r="I9" i="59"/>
  <c r="P9" i="59" l="1"/>
  <c r="R9" i="59" s="1"/>
  <c r="T9" i="59" s="1"/>
  <c r="E8" i="92"/>
  <c r="V9" i="59" l="1"/>
  <c r="W9" i="59" s="1"/>
  <c r="X9" i="59" s="1"/>
  <c r="AB7" i="59"/>
  <c r="AC7" i="59" l="1"/>
  <c r="H8" i="92"/>
  <c r="I8" i="92"/>
  <c r="J8" i="92" l="1"/>
  <c r="N13" i="57" l="1"/>
  <c r="N16" i="57" l="1"/>
  <c r="N44" i="57" l="1"/>
  <c r="G13" i="57" l="1"/>
  <c r="G16" i="57" l="1"/>
  <c r="I12" i="59"/>
  <c r="H12" i="59"/>
  <c r="P12" i="59" l="1"/>
  <c r="R12" i="59" s="1"/>
  <c r="T12" i="59" s="1"/>
  <c r="V12" i="59" s="1"/>
  <c r="I15" i="59"/>
  <c r="H15" i="59"/>
  <c r="P15" i="59" l="1"/>
  <c r="R15" i="59" s="1"/>
  <c r="T15" i="59" s="1"/>
  <c r="V15" i="59" s="1"/>
  <c r="W15" i="59"/>
  <c r="X15" i="59" s="1"/>
  <c r="W12" i="59"/>
  <c r="X12" i="59" s="1"/>
  <c r="G44" i="57" l="1"/>
  <c r="I38" i="59" l="1"/>
  <c r="H38" i="59"/>
  <c r="P38" i="59" s="1"/>
  <c r="R38" i="59" s="1"/>
  <c r="T38" i="59" s="1"/>
  <c r="V38" i="59" l="1"/>
  <c r="W38" i="59"/>
  <c r="X38" i="59" s="1"/>
  <c r="N45" i="57" l="1"/>
  <c r="G45" i="57" l="1"/>
  <c r="I39" i="59" l="1"/>
  <c r="H39" i="59"/>
  <c r="P39" i="59" l="1"/>
  <c r="R39" i="59" s="1"/>
  <c r="T39" i="59" s="1"/>
  <c r="V39" i="59" s="1"/>
  <c r="AB14" i="59"/>
  <c r="AC14" i="59" s="1"/>
  <c r="E16" i="92"/>
  <c r="W39" i="59" l="1"/>
  <c r="X39" i="59" s="1"/>
  <c r="H16" i="92"/>
  <c r="I16" i="92"/>
  <c r="J16" i="92" l="1"/>
  <c r="N58" i="57" l="1"/>
  <c r="N28" i="57"/>
  <c r="N61" i="57" l="1"/>
  <c r="N31" i="57"/>
  <c r="N14" i="57" l="1"/>
  <c r="G58" i="57" l="1"/>
  <c r="I52" i="59" l="1"/>
  <c r="H52" i="59"/>
  <c r="G61" i="57"/>
  <c r="I55" i="59" l="1"/>
  <c r="H55" i="59"/>
  <c r="P52" i="59"/>
  <c r="P57" i="59" s="1"/>
  <c r="R52" i="59" l="1"/>
  <c r="T52" i="59" s="1"/>
  <c r="V52" i="59" s="1"/>
  <c r="W52" i="59" s="1"/>
  <c r="X52" i="59" s="1"/>
  <c r="P55" i="59"/>
  <c r="P62" i="59"/>
  <c r="R62" i="59" s="1"/>
  <c r="T62" i="59" s="1"/>
  <c r="V62" i="59" s="1"/>
  <c r="R57" i="59"/>
  <c r="T57" i="59" s="1"/>
  <c r="V57" i="59" s="1"/>
  <c r="W57" i="59" s="1"/>
  <c r="X57" i="59" s="1"/>
  <c r="P60" i="59" l="1"/>
  <c r="R55" i="59"/>
  <c r="T55" i="59" s="1"/>
  <c r="V55" i="59" s="1"/>
  <c r="W55" i="59" s="1"/>
  <c r="X55" i="59" s="1"/>
  <c r="W62" i="59"/>
  <c r="X62" i="59" s="1"/>
  <c r="P65" i="59" l="1"/>
  <c r="R65" i="59" s="1"/>
  <c r="T65" i="59" s="1"/>
  <c r="V65" i="59" s="1"/>
  <c r="W65" i="59" s="1"/>
  <c r="X65" i="59" s="1"/>
  <c r="R60" i="59"/>
  <c r="T60" i="59" s="1"/>
  <c r="V60" i="59" s="1"/>
  <c r="W60" i="59" s="1"/>
  <c r="X60" i="59" s="1"/>
  <c r="G14" i="57"/>
  <c r="I13" i="59" l="1"/>
  <c r="H13" i="59"/>
  <c r="P13" i="59" l="1"/>
  <c r="R13" i="59" s="1"/>
  <c r="T13" i="59" s="1"/>
  <c r="V13" i="59" s="1"/>
  <c r="W13" i="59" s="1"/>
  <c r="X13" i="59" s="1"/>
  <c r="N15" i="57" l="1"/>
  <c r="G15" i="57" l="1"/>
  <c r="I14" i="59" l="1"/>
  <c r="H14" i="59"/>
  <c r="P14" i="59" s="1"/>
  <c r="R14" i="59" s="1"/>
  <c r="T14" i="59" s="1"/>
  <c r="V14" i="59" l="1"/>
  <c r="AB8" i="59"/>
  <c r="E10" i="92"/>
  <c r="AC8" i="59" l="1"/>
  <c r="W14" i="59"/>
  <c r="X14" i="59" s="1"/>
  <c r="H10" i="92"/>
  <c r="I10" i="92"/>
  <c r="J10" i="92" l="1"/>
  <c r="N33" i="57" l="1"/>
  <c r="N36" i="57" l="1"/>
  <c r="G33" i="57" l="1"/>
  <c r="I27" i="59" l="1"/>
  <c r="H27" i="59"/>
  <c r="P27" i="59" s="1"/>
  <c r="R27" i="59" s="1"/>
  <c r="T27" i="59" s="1"/>
  <c r="G36" i="57"/>
  <c r="V27" i="59" l="1"/>
  <c r="I30" i="59"/>
  <c r="H30" i="59"/>
  <c r="P30" i="59" s="1"/>
  <c r="R30" i="59" s="1"/>
  <c r="T30" i="59" s="1"/>
  <c r="V30" i="59" s="1"/>
  <c r="W30" i="59" l="1"/>
  <c r="X30" i="59" s="1"/>
  <c r="W27" i="59" l="1"/>
  <c r="X27" i="59" s="1"/>
  <c r="N29" i="57"/>
  <c r="N59" i="57"/>
  <c r="G59" i="57" l="1"/>
  <c r="I53" i="59" l="1"/>
  <c r="H53" i="59"/>
  <c r="P53" i="59" s="1"/>
  <c r="P58" i="59" s="1"/>
  <c r="R53" i="59" l="1"/>
  <c r="T53" i="59" s="1"/>
  <c r="V53" i="59" s="1"/>
  <c r="W53" i="59" s="1"/>
  <c r="X53" i="59" s="1"/>
  <c r="P63" i="59"/>
  <c r="R63" i="59" s="1"/>
  <c r="T63" i="59" s="1"/>
  <c r="V63" i="59" s="1"/>
  <c r="R58" i="59"/>
  <c r="T58" i="59" s="1"/>
  <c r="V58" i="59" s="1"/>
  <c r="W58" i="59" s="1"/>
  <c r="X58" i="59" s="1"/>
  <c r="W63" i="59" l="1"/>
  <c r="X63" i="59" s="1"/>
  <c r="N60" i="57"/>
  <c r="N30" i="57"/>
  <c r="G60" i="57" l="1"/>
  <c r="I54" i="59" l="1"/>
  <c r="H54" i="59"/>
  <c r="P54" i="59" l="1"/>
  <c r="P59" i="59" s="1"/>
  <c r="R59" i="59" s="1"/>
  <c r="T59" i="59" s="1"/>
  <c r="V59" i="59" s="1"/>
  <c r="E13" i="92"/>
  <c r="P64" i="59" l="1"/>
  <c r="R64" i="59" s="1"/>
  <c r="T64" i="59" s="1"/>
  <c r="V64" i="59" s="1"/>
  <c r="R54" i="59"/>
  <c r="T54" i="59" s="1"/>
  <c r="W59" i="59"/>
  <c r="X59" i="59" s="1"/>
  <c r="W64" i="59"/>
  <c r="X64" i="59" s="1"/>
  <c r="E9" i="92"/>
  <c r="H13" i="92"/>
  <c r="I13" i="92"/>
  <c r="AB11" i="59" l="1"/>
  <c r="AC11" i="59" s="1"/>
  <c r="V54" i="59"/>
  <c r="W54" i="59" s="1"/>
  <c r="X54" i="59" s="1"/>
  <c r="J13" i="92"/>
  <c r="H9" i="92"/>
  <c r="I9" i="92"/>
  <c r="J9" i="92" l="1"/>
  <c r="N34" i="57" l="1"/>
  <c r="G34" i="57" l="1"/>
  <c r="I28" i="59" l="1"/>
  <c r="H28" i="59"/>
  <c r="P28" i="59" s="1"/>
  <c r="R28" i="59" s="1"/>
  <c r="T28" i="59" s="1"/>
  <c r="V28" i="59" l="1"/>
  <c r="W28" i="59" s="1"/>
  <c r="X28" i="59" s="1"/>
  <c r="N35" i="57"/>
  <c r="G35" i="57" l="1"/>
  <c r="I29" i="59" l="1"/>
  <c r="H29" i="59"/>
  <c r="P29" i="59" s="1"/>
  <c r="R29" i="59" s="1"/>
  <c r="T29" i="59" s="1"/>
  <c r="V29" i="59" l="1"/>
  <c r="W29" i="59" s="1"/>
  <c r="X29" i="59" s="1"/>
  <c r="AB12" i="59"/>
  <c r="E14" i="92"/>
  <c r="H14" i="92" s="1"/>
  <c r="AC12" i="59" l="1"/>
  <c r="AC20" i="59" s="1"/>
  <c r="E6" i="73" s="1"/>
  <c r="AB17" i="59"/>
  <c r="AC17" i="59" s="1"/>
  <c r="I14" i="92"/>
  <c r="J14" i="92" s="1"/>
  <c r="W7" i="59" l="1"/>
  <c r="X7" i="59" s="1"/>
  <c r="R21" i="85" l="1"/>
  <c r="F5" i="85"/>
  <c r="P32" i="85"/>
  <c r="R32" i="85" l="1"/>
  <c r="H5" i="85"/>
  <c r="H16" i="85" s="1"/>
  <c r="F16" i="85"/>
</calcChain>
</file>

<file path=xl/sharedStrings.xml><?xml version="1.0" encoding="utf-8"?>
<sst xmlns="http://schemas.openxmlformats.org/spreadsheetml/2006/main" count="551" uniqueCount="203">
  <si>
    <t>unit</t>
  </si>
  <si>
    <t>nr</t>
  </si>
  <si>
    <t>ANH</t>
  </si>
  <si>
    <t>NES</t>
  </si>
  <si>
    <t>NWT</t>
  </si>
  <si>
    <t>SRN</t>
  </si>
  <si>
    <t>SVT</t>
  </si>
  <si>
    <t>TMS</t>
  </si>
  <si>
    <t>WSX</t>
  </si>
  <si>
    <t>YKY</t>
  </si>
  <si>
    <t>SWB</t>
  </si>
  <si>
    <t>Company</t>
  </si>
  <si>
    <t>WSH</t>
  </si>
  <si>
    <t>Total</t>
  </si>
  <si>
    <t>Forecast cost drivers</t>
  </si>
  <si>
    <t>Frontier shift</t>
  </si>
  <si>
    <t>SWC1</t>
  </si>
  <si>
    <t>SWC2</t>
  </si>
  <si>
    <t>Sewer length</t>
  </si>
  <si>
    <t>Nr properties/sewer length</t>
  </si>
  <si>
    <t>Pumping capacity/sewer length</t>
  </si>
  <si>
    <t>SWT1</t>
  </si>
  <si>
    <t>SWT2</t>
  </si>
  <si>
    <t>Load</t>
  </si>
  <si>
    <t>Bioresources</t>
  </si>
  <si>
    <t>BR1</t>
  </si>
  <si>
    <t>BR2</t>
  </si>
  <si>
    <t>Sludge produced</t>
  </si>
  <si>
    <t>BRP1</t>
  </si>
  <si>
    <t>BRP2</t>
  </si>
  <si>
    <t>load</t>
  </si>
  <si>
    <t>slprod</t>
  </si>
  <si>
    <t>km</t>
  </si>
  <si>
    <t>Ofwat forecast data</t>
  </si>
  <si>
    <t>kgBOD/day</t>
  </si>
  <si>
    <t>ttds/ year</t>
  </si>
  <si>
    <t>Efficient enhancement costs</t>
  </si>
  <si>
    <t>properties</t>
  </si>
  <si>
    <t>pctnh3below3mg</t>
  </si>
  <si>
    <t>pctbands13</t>
  </si>
  <si>
    <t>Number of properties</t>
  </si>
  <si>
    <t>sewerlength</t>
  </si>
  <si>
    <t>sludgeprod</t>
  </si>
  <si>
    <t>density</t>
  </si>
  <si>
    <t>pumpingcapperlength</t>
  </si>
  <si>
    <t>wedensitywastewater</t>
  </si>
  <si>
    <t>swtwperpro</t>
  </si>
  <si>
    <t>% Load treated in bands 1-3</t>
  </si>
  <si>
    <t>% Load with ammonia &lt;3mg/l</t>
  </si>
  <si>
    <t>Weightyed average density</t>
  </si>
  <si>
    <t>Nr STW/properties</t>
  </si>
  <si>
    <t>nr/km2</t>
  </si>
  <si>
    <t>xy%</t>
  </si>
  <si>
    <t>Triangulation weights</t>
  </si>
  <si>
    <t>realbotexswc</t>
  </si>
  <si>
    <t>realbotexswt</t>
  </si>
  <si>
    <t>realbotexnpww</t>
  </si>
  <si>
    <t>realbotexbr</t>
  </si>
  <si>
    <t>realbotexbrp</t>
  </si>
  <si>
    <t>realbotexwww</t>
  </si>
  <si>
    <t>Weighted average density</t>
  </si>
  <si>
    <t>pctbands6</t>
  </si>
  <si>
    <t>% of load treated in band 6</t>
  </si>
  <si>
    <t>HDD</t>
  </si>
  <si>
    <t>Company code</t>
  </si>
  <si>
    <t>Financial year</t>
  </si>
  <si>
    <t>Business plan</t>
  </si>
  <si>
    <t>SVH</t>
  </si>
  <si>
    <t>Efficiency challenge parameters</t>
  </si>
  <si>
    <t>Historical</t>
  </si>
  <si>
    <t>Within sector catch-up - historical</t>
  </si>
  <si>
    <t>Within sector catch-up - forward looking</t>
  </si>
  <si>
    <t>Rate of productivity improvement</t>
  </si>
  <si>
    <t>Input price pressure</t>
  </si>
  <si>
    <t xml:space="preserve">Model weights </t>
  </si>
  <si>
    <t>Top-down / bttm-up triangulation weights</t>
  </si>
  <si>
    <t>Unique id</t>
  </si>
  <si>
    <t>Natural log</t>
  </si>
  <si>
    <t> kWh/km</t>
  </si>
  <si>
    <t>Totex / outcomes efficiency challenge</t>
  </si>
  <si>
    <t>select &gt;&gt;</t>
  </si>
  <si>
    <t>Year</t>
  </si>
  <si>
    <t>SVE</t>
  </si>
  <si>
    <t>Collection</t>
  </si>
  <si>
    <t>Treatment</t>
  </si>
  <si>
    <t>Network +</t>
  </si>
  <si>
    <t>Bio plus</t>
  </si>
  <si>
    <t>Wholesale wastewater</t>
  </si>
  <si>
    <t>Bottom up</t>
  </si>
  <si>
    <t>Mid level</t>
  </si>
  <si>
    <t>Companies' submitted base costs</t>
  </si>
  <si>
    <t>Forward looking efficiency challenge</t>
  </si>
  <si>
    <t>Our view (average)</t>
  </si>
  <si>
    <t>Efficiency score - business plan</t>
  </si>
  <si>
    <t>FL upper quartile</t>
  </si>
  <si>
    <t>Proportion to bioresources</t>
  </si>
  <si>
    <t>Code</t>
  </si>
  <si>
    <t>Transformed data for model</t>
  </si>
  <si>
    <t>Business plan costs - wastewater</t>
  </si>
  <si>
    <t>S3040TBioresources</t>
  </si>
  <si>
    <t>Wholesale wastewater modelled base costs, £m (base year: 2017-18)</t>
  </si>
  <si>
    <t>Final AMP7 allowances</t>
  </si>
  <si>
    <t>Cost adjustment claims</t>
  </si>
  <si>
    <t>Efficient totex allowance</t>
  </si>
  <si>
    <t>Total frontier shift</t>
  </si>
  <si>
    <t>Companies' submitted totex</t>
  </si>
  <si>
    <t>Efficient costs - wholesale</t>
  </si>
  <si>
    <t>Wholesale</t>
  </si>
  <si>
    <t>Calculating proportion to bioresources based on our modelled costs</t>
  </si>
  <si>
    <t>Business plans base totex</t>
  </si>
  <si>
    <t>Modelled wholesale botex - triangulated</t>
  </si>
  <si>
    <t>S3040TCASC</t>
  </si>
  <si>
    <t>Calculated</t>
  </si>
  <si>
    <t>S3040TCAST</t>
  </si>
  <si>
    <t>Econometric models - estimated coefficients</t>
  </si>
  <si>
    <t>Items excluded/included from our view of totex</t>
  </si>
  <si>
    <t>Third party services - opex - Sewage collection</t>
  </si>
  <si>
    <t>Third party services - capex - Sewage collection</t>
  </si>
  <si>
    <t>Grants and contributions - Sewage collection</t>
  </si>
  <si>
    <t>Pension deficit recovery payments - Sewage collection</t>
  </si>
  <si>
    <t>Third party services - opex - Sewage treatment</t>
  </si>
  <si>
    <t>Third party services - capex - Sewage treatment</t>
  </si>
  <si>
    <t>Grants and contributions - Sewage treatment</t>
  </si>
  <si>
    <t>Pension deficit recovery payments - Sewage treatment</t>
  </si>
  <si>
    <t>Third party services - opex - Sludge transport</t>
  </si>
  <si>
    <t>Third party services - capex - Sludge transport</t>
  </si>
  <si>
    <t>Grants and contributions - Sludge transport</t>
  </si>
  <si>
    <t>Pension deficit recovery payments - Sludge transport</t>
  </si>
  <si>
    <t>Third party services - opex - Sludge treatment</t>
  </si>
  <si>
    <t>Third party services - capex - Sludge treatment</t>
  </si>
  <si>
    <t>Grants and contributions - Sludge treatment</t>
  </si>
  <si>
    <t>Pension deficit recovery payments - Sludge treatment</t>
  </si>
  <si>
    <t>Third party services - opex - Sludge disposal</t>
  </si>
  <si>
    <t>Third party services - capex - Sludge disposal</t>
  </si>
  <si>
    <t>Grants and contributions - Sludge disposal</t>
  </si>
  <si>
    <t>Pension deficit recovery payments - Sludge disposal</t>
  </si>
  <si>
    <t>WWS1010SC</t>
  </si>
  <si>
    <t>WWS1018SC</t>
  </si>
  <si>
    <t>WWS1020SC</t>
  </si>
  <si>
    <t>WWS1022SC</t>
  </si>
  <si>
    <t>WWS1010ST</t>
  </si>
  <si>
    <t>WWS1018ST</t>
  </si>
  <si>
    <t>WWS1020ST</t>
  </si>
  <si>
    <t>WWS1022ST</t>
  </si>
  <si>
    <t>WWS1010STP</t>
  </si>
  <si>
    <t>WWS1018STP</t>
  </si>
  <si>
    <t>WWS1020STP</t>
  </si>
  <si>
    <t>WWS1022STP</t>
  </si>
  <si>
    <t>WWS1010SDD</t>
  </si>
  <si>
    <t>WWS1018SDD</t>
  </si>
  <si>
    <t>WWS1020SDD</t>
  </si>
  <si>
    <t>WWS1022SDD</t>
  </si>
  <si>
    <t>WWS1010SDT</t>
  </si>
  <si>
    <t>WWS1018SDT</t>
  </si>
  <si>
    <t>WWS1020SDT</t>
  </si>
  <si>
    <t>WWS1022SDT</t>
  </si>
  <si>
    <t>Companies' submitted totex 
(gross of Grants and Contributions excluding Pension Deficit Recovery Payments and Third Party Services costs)</t>
  </si>
  <si>
    <t>Ancillary tab to calculate the proportion of bioresources costs out of wholesale wastewater</t>
  </si>
  <si>
    <t>Apportion sheet - apportion costs between bioresources and wastewater netowrk plus control</t>
  </si>
  <si>
    <t>Base costs</t>
  </si>
  <si>
    <t>Total costs</t>
  </si>
  <si>
    <t>OK</t>
  </si>
  <si>
    <t/>
  </si>
  <si>
    <t>Sewage collection</t>
  </si>
  <si>
    <t>Sewage Treatment</t>
  </si>
  <si>
    <t>Bioresources plus</t>
  </si>
  <si>
    <t>re1</t>
  </si>
  <si>
    <t>re2</t>
  </si>
  <si>
    <t>re3</t>
  </si>
  <si>
    <t>re4</t>
  </si>
  <si>
    <t>re5</t>
  </si>
  <si>
    <t>re6</t>
  </si>
  <si>
    <t>re7</t>
  </si>
  <si>
    <t>re8</t>
  </si>
  <si>
    <t>Variable code</t>
  </si>
  <si>
    <t>Full variable name</t>
  </si>
  <si>
    <t>lnsewerlength</t>
  </si>
  <si>
    <t>lnpumpingcapperlength</t>
  </si>
  <si>
    <t>lndensity</t>
  </si>
  <si>
    <t>lnwedensitywastewater</t>
  </si>
  <si>
    <t>lnload</t>
  </si>
  <si>
    <t>% load treated in bands 1-3</t>
  </si>
  <si>
    <t>% load with ammonia&lt;3mg/l</t>
  </si>
  <si>
    <t>% load treated in band 6</t>
  </si>
  <si>
    <t>lnsludgeprod</t>
  </si>
  <si>
    <t>lnswtwperpro</t>
  </si>
  <si>
    <t>Nr STW/nr properties</t>
  </si>
  <si>
    <t>_cons</t>
  </si>
  <si>
    <t>Constant</t>
  </si>
  <si>
    <t>Calculation of totex allowances</t>
  </si>
  <si>
    <t>Version 1.0. 31st January 2019</t>
  </si>
  <si>
    <t>For purpose of apportioning wholesale costs to the bioresources and network plus controls</t>
  </si>
  <si>
    <t xml:space="preserve">Notes: we use companies' forecasts for sludge produced. Therefore, we leave blank those fields for SVT (Severn Trent). This is because we only have forecasts from Severn Trent England (SVE) which already accounts for customers' reconfiguration with HDD </t>
  </si>
  <si>
    <t>Business plans modelled base costs</t>
  </si>
  <si>
    <t>Efficient unmodelled base costs</t>
  </si>
  <si>
    <t>Efficient base costs</t>
  </si>
  <si>
    <t>Efficient modelled base costs</t>
  </si>
  <si>
    <t>Proportion to water bioresources</t>
  </si>
  <si>
    <t>Enhancement Costs</t>
  </si>
  <si>
    <t>Efficient costs (catch-up)</t>
  </si>
  <si>
    <t>Symmetrical adjustments</t>
  </si>
  <si>
    <t>Other costs</t>
  </si>
  <si>
    <t xml:space="preserve">Objective
To calculate an efficient cost allowance for water resources and water network plus controls. 
Guide to model
Inputs: the model takes as inputs the coefficients from our econometric models, the forecasts of the cost drivers, the catch-up and frontier shift challenge.
Base modelled costs are estimated in the “Modelled costs” worksheet by multiplying the coefficients by the forecast of costs drivers.   
       The coefficients are produced by the econometric models as reported in feeder model FM_WWW2 (see worksheet named “Coeffs”) ; and  
       Forecast of costs drivers are imported from feeder model FM_WWW3 (see worksheet named “Forecast drivers”).
Base modelled costs at different levels of aggregation are triangulated to estimate wholesale base modelled costs.
We apply the historical catch-up efficiency (produced by feeder model FM_WWW2) and frontier shift (as specified in our summary document) to obtain efficient costs
Totex allowances are calculated in the “Final allowances” worksheet, 
       The wholesale water modelled base allowance is apportioned into each price control (water resources and network plus water) using companies’ business plan data. 
       Information on other costs produced by other models is incorporated, namely unmodelled base costs, enhancement costs and cost adjustment claims 
Information on weights given to each econometric model across different levels of aggregation, catch-up (including hypothetical forward looking) and frontier shift efficiency challenges can be found in the “Controls” worksheet.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</si>
</sst>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 #,##0_-;_-* &quot;-&quot;??_-;_-@_-"/>
    <numFmt numFmtId="166" formatCode="#,##0.0000"/>
    <numFmt numFmtId="167" formatCode="#,##0_);\(#,##0\);&quot;-  &quot;;&quot; &quot;@&quot; &quot;"/>
    <numFmt numFmtId="168" formatCode="0.0"/>
    <numFmt numFmtId="169" formatCode="0.000"/>
    <numFmt numFmtId="170" formatCode="0.0%"/>
    <numFmt numFmtId="171" formatCode="#,##0.00_ ;\-#,##0.00\ "/>
    <numFmt numFmtId="172" formatCode="_(* #,##0.0000_);_(* \(#,##0.0000\);_(* &quot;-&quot;??_);_(@_)"/>
    <numFmt numFmtId="173" formatCode="_-* #,##0.0_-;\-* #,##0.0_-;_-* &quot;-&quot;??_-;_-@_-"/>
    <numFmt numFmtId="174" formatCode="_(* #,##0_);_(* \(#,##0\);_(* &quot;-&quot;??_);_(@_)"/>
    <numFmt numFmtId="175" formatCode="_(* #,##0.000_);_(* \(#,##0.000\);_(* &quot;-&quot;??_);_(@_)"/>
    <numFmt numFmtId="176" formatCode="#,##0_ ;\-#,##0\ "/>
    <numFmt numFmtId="177" formatCode="#,##0.0"/>
    <numFmt numFmtId="178" formatCode="_(* #,##0.0_);_(* \(#,##0.0\);_(* &quot;-&quot;??_);_(@_)"/>
  </numFmts>
  <fonts count="20" x14ac:knownFonts="1">
    <font>
      <sz val="11"/>
      <color theme="1"/>
      <name val="Arial"/>
      <family val="2"/>
    </font>
    <font>
      <sz val="11"/>
      <color theme="1"/>
      <name val="Arial"/>
      <family val="2"/>
    </font>
    <font>
      <sz val="11"/>
      <color rgb="FFFF0000"/>
      <name val="Arial"/>
      <family val="2"/>
    </font>
    <font>
      <sz val="11"/>
      <color theme="1"/>
      <name val="Arial"/>
      <family val="2"/>
      <scheme val="minor"/>
    </font>
    <font>
      <sz val="10"/>
      <name val="Arial"/>
      <family val="2"/>
    </font>
    <font>
      <sz val="11"/>
      <color theme="1"/>
      <name val="Calibri"/>
      <family val="2"/>
    </font>
    <font>
      <sz val="10"/>
      <name val="Calibri"/>
      <family val="2"/>
    </font>
    <font>
      <sz val="10"/>
      <color theme="1"/>
      <name val="Calibri"/>
      <family val="2"/>
    </font>
    <font>
      <b/>
      <sz val="10"/>
      <name val="Calibri"/>
      <family val="2"/>
    </font>
    <font>
      <b/>
      <sz val="10"/>
      <color theme="1"/>
      <name val="Calibri"/>
      <family val="2"/>
    </font>
    <font>
      <b/>
      <sz val="10"/>
      <color theme="3"/>
      <name val="Calibri"/>
      <family val="2"/>
    </font>
    <font>
      <b/>
      <sz val="10"/>
      <color rgb="FFFF0000"/>
      <name val="Calibri"/>
      <family val="2"/>
    </font>
    <font>
      <sz val="11"/>
      <color indexed="8"/>
      <name val="Arial"/>
      <family val="2"/>
      <scheme val="minor"/>
    </font>
    <font>
      <sz val="10"/>
      <color theme="0" tint="-0.499984740745262"/>
      <name val="Calibri"/>
      <family val="2"/>
    </font>
    <font>
      <b/>
      <sz val="12"/>
      <color theme="3"/>
      <name val="Calibri"/>
      <family val="2"/>
    </font>
    <font>
      <sz val="10"/>
      <color theme="3"/>
      <name val="Calibri"/>
      <family val="2"/>
    </font>
    <font>
      <sz val="12"/>
      <color theme="3"/>
      <name val="Calibri"/>
      <family val="2"/>
    </font>
    <font>
      <sz val="14"/>
      <color theme="3"/>
      <name val="Calibri"/>
      <family val="2"/>
    </font>
    <font>
      <b/>
      <sz val="14"/>
      <color theme="3"/>
      <name val="Arial"/>
      <family val="2"/>
    </font>
    <font>
      <b/>
      <sz val="9"/>
      <color theme="3"/>
      <name val="Arial"/>
      <family val="2"/>
    </font>
  </fonts>
  <fills count="11">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6"/>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3">
    <xf numFmtId="0" fontId="0" fillId="0" borderId="0"/>
    <xf numFmtId="164" fontId="1" fillId="0" borderId="0" applyFont="0" applyFill="0" applyBorder="0" applyAlignment="0" applyProtection="0"/>
    <xf numFmtId="0" fontId="3" fillId="0" borderId="0"/>
    <xf numFmtId="167" fontId="1" fillId="0" borderId="0" applyFont="0" applyFill="0" applyBorder="0" applyProtection="0">
      <alignment vertical="top"/>
    </xf>
    <xf numFmtId="0" fontId="4" fillId="0" borderId="0"/>
    <xf numFmtId="0" fontId="1" fillId="0" borderId="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0" fontId="12" fillId="0" borderId="0"/>
    <xf numFmtId="0" fontId="12" fillId="0" borderId="0"/>
    <xf numFmtId="0" fontId="1" fillId="0" borderId="0"/>
  </cellStyleXfs>
  <cellXfs count="173">
    <xf numFmtId="0" fontId="0" fillId="0" borderId="0" xfId="0"/>
    <xf numFmtId="0" fontId="2" fillId="0" borderId="0" xfId="0" applyFont="1"/>
    <xf numFmtId="0" fontId="5" fillId="0" borderId="0" xfId="0" applyFont="1"/>
    <xf numFmtId="0" fontId="7" fillId="0" borderId="1" xfId="0" applyFont="1" applyFill="1" applyBorder="1" applyAlignment="1">
      <alignment horizontal="center" vertical="center" wrapText="1"/>
    </xf>
    <xf numFmtId="0" fontId="7" fillId="2" borderId="1" xfId="0" applyFont="1" applyFill="1" applyBorder="1" applyAlignment="1">
      <alignment vertical="center"/>
    </xf>
    <xf numFmtId="0" fontId="7" fillId="2" borderId="1" xfId="0" applyFont="1" applyFill="1" applyBorder="1" applyAlignment="1">
      <alignment horizontal="center" vertical="center" wrapText="1"/>
    </xf>
    <xf numFmtId="0" fontId="7" fillId="0" borderId="1" xfId="0" applyFont="1" applyFill="1" applyBorder="1" applyAlignment="1">
      <alignment vertical="center"/>
    </xf>
    <xf numFmtId="0" fontId="7" fillId="0" borderId="1" xfId="0" applyFont="1" applyBorder="1" applyAlignment="1">
      <alignment vertical="center"/>
    </xf>
    <xf numFmtId="0" fontId="7" fillId="0" borderId="0" xfId="0" applyFont="1"/>
    <xf numFmtId="0" fontId="8" fillId="7" borderId="5" xfId="0" applyFont="1" applyFill="1" applyBorder="1" applyAlignment="1">
      <alignment horizontal="center" vertical="center" wrapText="1"/>
    </xf>
    <xf numFmtId="0" fontId="7" fillId="0" borderId="0" xfId="0" applyFont="1" applyAlignment="1">
      <alignment vertical="center"/>
    </xf>
    <xf numFmtId="0" fontId="7" fillId="8" borderId="2" xfId="0" applyFont="1" applyFill="1" applyBorder="1" applyAlignment="1">
      <alignment vertical="center"/>
    </xf>
    <xf numFmtId="0" fontId="7" fillId="6" borderId="2" xfId="0" applyFont="1" applyFill="1" applyBorder="1" applyAlignment="1">
      <alignment vertical="center"/>
    </xf>
    <xf numFmtId="0" fontId="9" fillId="0" borderId="0" xfId="0" applyFont="1" applyFill="1"/>
    <xf numFmtId="0" fontId="7" fillId="0" borderId="0" xfId="0" applyFont="1" applyFill="1"/>
    <xf numFmtId="0" fontId="7" fillId="0" borderId="2" xfId="0" applyFont="1" applyFill="1" applyBorder="1"/>
    <xf numFmtId="0" fontId="7" fillId="0" borderId="3" xfId="0" applyFont="1" applyFill="1" applyBorder="1"/>
    <xf numFmtId="0" fontId="7" fillId="0" borderId="4" xfId="0" applyFont="1" applyFill="1" applyBorder="1"/>
    <xf numFmtId="9" fontId="7" fillId="0" borderId="4" xfId="0" applyNumberFormat="1" applyFont="1" applyFill="1" applyBorder="1"/>
    <xf numFmtId="0" fontId="7" fillId="0" borderId="1" xfId="0" applyFont="1" applyFill="1" applyBorder="1"/>
    <xf numFmtId="0" fontId="7" fillId="0" borderId="1" xfId="0" applyFont="1" applyBorder="1" applyAlignment="1">
      <alignment horizontal="center" wrapText="1"/>
    </xf>
    <xf numFmtId="0" fontId="7" fillId="0" borderId="0" xfId="0" applyFont="1" applyFill="1" applyBorder="1"/>
    <xf numFmtId="170" fontId="7" fillId="0" borderId="0" xfId="8" applyNumberFormat="1" applyFont="1" applyFill="1" applyBorder="1"/>
    <xf numFmtId="0" fontId="7" fillId="0" borderId="0" xfId="0" applyFont="1" applyFill="1" applyBorder="1" applyAlignment="1">
      <alignment horizontal="center" wrapText="1"/>
    </xf>
    <xf numFmtId="0" fontId="8" fillId="7" borderId="1" xfId="0" applyFont="1" applyFill="1" applyBorder="1" applyAlignment="1">
      <alignment horizontal="center" vertical="center" wrapText="1"/>
    </xf>
    <xf numFmtId="0" fontId="7" fillId="0" borderId="1" xfId="0" applyFont="1" applyBorder="1" applyAlignment="1">
      <alignment horizontal="centerContinuous" vertical="center"/>
    </xf>
    <xf numFmtId="0" fontId="10" fillId="0" borderId="0" xfId="0" applyFont="1" applyFill="1" applyBorder="1" applyAlignment="1">
      <alignment horizontal="centerContinuous"/>
    </xf>
    <xf numFmtId="0" fontId="7" fillId="0" borderId="0" xfId="0" applyFont="1" applyFill="1" applyAlignment="1">
      <alignment horizontal="center"/>
    </xf>
    <xf numFmtId="0" fontId="7" fillId="0" borderId="0" xfId="0" applyFont="1" applyAlignment="1">
      <alignment horizontal="center"/>
    </xf>
    <xf numFmtId="0" fontId="11" fillId="0" borderId="0" xfId="0" applyFont="1" applyFill="1"/>
    <xf numFmtId="0" fontId="7" fillId="3" borderId="1" xfId="0" applyFont="1" applyFill="1" applyBorder="1" applyAlignment="1">
      <alignment horizontal="center" vertical="center" wrapText="1"/>
    </xf>
    <xf numFmtId="0" fontId="7" fillId="2" borderId="2" xfId="0" applyFont="1" applyFill="1" applyBorder="1" applyAlignment="1">
      <alignment vertical="center"/>
    </xf>
    <xf numFmtId="0" fontId="7" fillId="0" borderId="0" xfId="0" applyFont="1" applyFill="1" applyBorder="1" applyAlignment="1">
      <alignment horizontal="center"/>
    </xf>
    <xf numFmtId="0" fontId="7" fillId="8" borderId="1" xfId="0" applyFont="1" applyFill="1" applyBorder="1" applyAlignment="1">
      <alignment vertical="center"/>
    </xf>
    <xf numFmtId="0" fontId="7" fillId="6" borderId="1" xfId="0"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Alignment="1">
      <alignment horizontal="centerContinuous" vertical="center"/>
    </xf>
    <xf numFmtId="9" fontId="13" fillId="0" borderId="0" xfId="0" applyNumberFormat="1" applyFont="1" applyFill="1" applyBorder="1" applyAlignment="1">
      <alignment horizontal="center" vertical="center" wrapText="1"/>
    </xf>
    <xf numFmtId="165" fontId="7" fillId="8" borderId="1" xfId="1" applyNumberFormat="1" applyFont="1" applyFill="1" applyBorder="1" applyAlignment="1">
      <alignment vertical="center"/>
    </xf>
    <xf numFmtId="173" fontId="7" fillId="6" borderId="1" xfId="1" applyNumberFormat="1" applyFont="1" applyFill="1" applyBorder="1" applyAlignment="1">
      <alignment vertical="center"/>
    </xf>
    <xf numFmtId="165" fontId="7" fillId="2" borderId="1" xfId="1" applyNumberFormat="1" applyFont="1" applyFill="1" applyBorder="1" applyAlignment="1">
      <alignment horizontal="left" vertical="center"/>
    </xf>
    <xf numFmtId="165" fontId="7" fillId="2" borderId="1" xfId="1" applyNumberFormat="1" applyFont="1" applyFill="1" applyBorder="1" applyAlignment="1">
      <alignment vertical="center"/>
    </xf>
    <xf numFmtId="165" fontId="7" fillId="8" borderId="1" xfId="1" applyNumberFormat="1" applyFont="1" applyFill="1" applyBorder="1" applyAlignment="1">
      <alignment horizontal="left" vertical="center"/>
    </xf>
    <xf numFmtId="165" fontId="7" fillId="3" borderId="1" xfId="1" applyNumberFormat="1" applyFont="1" applyFill="1" applyBorder="1"/>
    <xf numFmtId="170" fontId="7" fillId="0" borderId="4" xfId="0" applyNumberFormat="1" applyFont="1" applyFill="1" applyBorder="1"/>
    <xf numFmtId="170" fontId="7" fillId="0" borderId="0" xfId="0" applyNumberFormat="1" applyFont="1" applyFill="1" applyBorder="1"/>
    <xf numFmtId="170" fontId="7" fillId="0" borderId="1" xfId="0" applyNumberFormat="1" applyFont="1" applyFill="1" applyBorder="1"/>
    <xf numFmtId="0" fontId="6"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6" fillId="3" borderId="1" xfId="0" applyFont="1" applyFill="1" applyBorder="1" applyAlignment="1">
      <alignment vertical="center" wrapText="1"/>
    </xf>
    <xf numFmtId="0" fontId="7" fillId="3" borderId="1" xfId="0" applyFont="1" applyFill="1" applyBorder="1" applyAlignment="1">
      <alignment horizontal="center" vertical="center"/>
    </xf>
    <xf numFmtId="4" fontId="7" fillId="6" borderId="1" xfId="8" applyNumberFormat="1" applyFont="1" applyFill="1" applyBorder="1" applyAlignment="1">
      <alignment vertical="center"/>
    </xf>
    <xf numFmtId="2" fontId="7" fillId="6" borderId="1" xfId="8" applyNumberFormat="1" applyFont="1" applyFill="1" applyBorder="1" applyAlignment="1">
      <alignment vertical="center"/>
    </xf>
    <xf numFmtId="169" fontId="7" fillId="6" borderId="1" xfId="8" applyNumberFormat="1" applyFont="1" applyFill="1" applyBorder="1" applyAlignment="1">
      <alignment vertical="center"/>
    </xf>
    <xf numFmtId="0" fontId="7" fillId="0" borderId="0" xfId="0" applyFont="1" applyAlignment="1">
      <alignment vertical="top" wrapText="1"/>
    </xf>
    <xf numFmtId="174" fontId="7" fillId="0" borderId="1" xfId="1" applyNumberFormat="1" applyFont="1" applyBorder="1"/>
    <xf numFmtId="0" fontId="9" fillId="0" borderId="1" xfId="0" applyFont="1" applyBorder="1"/>
    <xf numFmtId="0" fontId="7" fillId="5" borderId="1" xfId="0" applyFont="1" applyFill="1" applyBorder="1" applyAlignment="1">
      <alignment horizontal="centerContinuous"/>
    </xf>
    <xf numFmtId="0" fontId="7" fillId="0" borderId="1" xfId="0" applyFont="1" applyBorder="1"/>
    <xf numFmtId="0" fontId="7" fillId="2" borderId="1" xfId="0" applyFont="1" applyFill="1" applyBorder="1"/>
    <xf numFmtId="166" fontId="7" fillId="3" borderId="1" xfId="0" quotePrefix="1" applyNumberFormat="1" applyFont="1" applyFill="1" applyBorder="1"/>
    <xf numFmtId="0" fontId="7" fillId="0" borderId="0" xfId="0" quotePrefix="1" applyFont="1"/>
    <xf numFmtId="0" fontId="14" fillId="0" borderId="0" xfId="0" applyFont="1" applyFill="1" applyBorder="1"/>
    <xf numFmtId="174" fontId="7" fillId="0" borderId="0" xfId="1" applyNumberFormat="1" applyFont="1"/>
    <xf numFmtId="174" fontId="7" fillId="0" borderId="0" xfId="1" applyNumberFormat="1" applyFont="1" applyBorder="1"/>
    <xf numFmtId="0" fontId="10" fillId="0" borderId="1" xfId="0" applyFont="1" applyFill="1" applyBorder="1" applyAlignment="1">
      <alignment horizontal="centerContinuous"/>
    </xf>
    <xf numFmtId="0" fontId="7" fillId="0" borderId="1" xfId="0" applyFont="1" applyBorder="1" applyAlignment="1">
      <alignment horizontal="center" vertical="center" wrapText="1"/>
    </xf>
    <xf numFmtId="9" fontId="7" fillId="2" borderId="1" xfId="8"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2" borderId="1" xfId="0" applyFont="1" applyFill="1" applyBorder="1" applyAlignment="1">
      <alignment vertical="center" wrapText="1"/>
    </xf>
    <xf numFmtId="0" fontId="7" fillId="0" borderId="0" xfId="0" applyFont="1" applyBorder="1"/>
    <xf numFmtId="0" fontId="9" fillId="0" borderId="0" xfId="0" applyFont="1"/>
    <xf numFmtId="0" fontId="7" fillId="0" borderId="5" xfId="0" applyFont="1" applyFill="1" applyBorder="1" applyAlignment="1">
      <alignment horizontal="center" vertical="center"/>
    </xf>
    <xf numFmtId="174" fontId="7" fillId="0" borderId="5" xfId="1" applyNumberFormat="1" applyFont="1" applyFill="1" applyBorder="1" applyAlignment="1">
      <alignment vertical="center"/>
    </xf>
    <xf numFmtId="168" fontId="9" fillId="0" borderId="1" xfId="0" applyNumberFormat="1" applyFont="1" applyBorder="1"/>
    <xf numFmtId="174" fontId="9" fillId="0" borderId="1" xfId="1" applyNumberFormat="1" applyFont="1" applyBorder="1"/>
    <xf numFmtId="0" fontId="9" fillId="0" borderId="2" xfId="0" applyFont="1" applyFill="1" applyBorder="1"/>
    <xf numFmtId="0" fontId="9" fillId="0" borderId="3" xfId="0" applyFont="1" applyBorder="1"/>
    <xf numFmtId="175" fontId="9" fillId="0" borderId="4" xfId="1" applyNumberFormat="1" applyFont="1" applyBorder="1" applyAlignment="1">
      <alignment wrapText="1"/>
    </xf>
    <xf numFmtId="0" fontId="9" fillId="0" borderId="2" xfId="0" applyFont="1" applyBorder="1" applyAlignment="1">
      <alignment horizontal="centerContinuous"/>
    </xf>
    <xf numFmtId="0" fontId="9" fillId="0" borderId="4" xfId="0" applyFont="1" applyBorder="1" applyAlignment="1">
      <alignment horizontal="centerContinuous"/>
    </xf>
    <xf numFmtId="170" fontId="7" fillId="0" borderId="1" xfId="8" applyNumberFormat="1" applyFont="1" applyBorder="1"/>
    <xf numFmtId="172" fontId="7" fillId="2" borderId="1" xfId="9" applyNumberFormat="1" applyFont="1" applyFill="1" applyBorder="1"/>
    <xf numFmtId="9" fontId="7" fillId="2" borderId="1" xfId="8" applyFont="1" applyFill="1" applyBorder="1" applyAlignment="1">
      <alignment horizontal="center" vertical="center"/>
    </xf>
    <xf numFmtId="0" fontId="10" fillId="0" borderId="2" xfId="0" applyFont="1" applyBorder="1" applyAlignment="1">
      <alignment horizontal="centerContinuous" vertical="top"/>
    </xf>
    <xf numFmtId="0" fontId="7" fillId="0" borderId="3" xfId="0" applyFont="1" applyBorder="1" applyAlignment="1">
      <alignment horizontal="centerContinuous"/>
    </xf>
    <xf numFmtId="0" fontId="7" fillId="0" borderId="4" xfId="0" applyFont="1" applyBorder="1" applyAlignment="1">
      <alignment horizontal="centerContinuous"/>
    </xf>
    <xf numFmtId="0" fontId="7" fillId="0" borderId="4" xfId="0" applyFont="1" applyFill="1" applyBorder="1" applyAlignment="1">
      <alignment vertical="center"/>
    </xf>
    <xf numFmtId="4" fontId="7" fillId="0" borderId="1" xfId="8" applyNumberFormat="1" applyFont="1" applyFill="1" applyBorder="1" applyAlignment="1">
      <alignment vertical="center"/>
    </xf>
    <xf numFmtId="2" fontId="7" fillId="0" borderId="1" xfId="8" applyNumberFormat="1" applyFont="1" applyFill="1" applyBorder="1" applyAlignment="1">
      <alignment vertical="center"/>
    </xf>
    <xf numFmtId="169" fontId="7" fillId="0" borderId="1" xfId="8" applyNumberFormat="1" applyFont="1" applyFill="1" applyBorder="1" applyAlignment="1">
      <alignment vertical="center"/>
    </xf>
    <xf numFmtId="0" fontId="9" fillId="2" borderId="2" xfId="0" applyFont="1" applyFill="1" applyBorder="1" applyAlignment="1">
      <alignment vertical="center" wrapText="1"/>
    </xf>
    <xf numFmtId="0" fontId="9" fillId="0" borderId="1" xfId="0" applyFont="1" applyBorder="1" applyAlignment="1">
      <alignment horizontal="centerContinuous"/>
    </xf>
    <xf numFmtId="0" fontId="15" fillId="0" borderId="0" xfId="0" applyFont="1"/>
    <xf numFmtId="0" fontId="10" fillId="0" borderId="0" xfId="0" applyFont="1" applyFill="1" applyBorder="1"/>
    <xf numFmtId="165" fontId="9" fillId="3" borderId="1" xfId="1" applyNumberFormat="1" applyFont="1" applyFill="1" applyBorder="1" applyAlignment="1">
      <alignment vertical="center"/>
    </xf>
    <xf numFmtId="0" fontId="9" fillId="9" borderId="1" xfId="0" applyFont="1" applyFill="1" applyBorder="1" applyAlignment="1">
      <alignment horizontal="centerContinuous"/>
    </xf>
    <xf numFmtId="0" fontId="6" fillId="9"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9" fillId="3" borderId="1" xfId="0" applyFont="1" applyFill="1" applyBorder="1" applyAlignment="1">
      <alignment horizontal="centerContinuous"/>
    </xf>
    <xf numFmtId="174" fontId="7" fillId="3" borderId="1" xfId="1" applyNumberFormat="1" applyFont="1" applyFill="1" applyBorder="1" applyAlignment="1">
      <alignment vertical="center"/>
    </xf>
    <xf numFmtId="165" fontId="7" fillId="9" borderId="1" xfId="0" applyNumberFormat="1" applyFont="1" applyFill="1" applyBorder="1"/>
    <xf numFmtId="170" fontId="9" fillId="0" borderId="1" xfId="8" applyNumberFormat="1" applyFont="1" applyBorder="1"/>
    <xf numFmtId="165" fontId="7" fillId="0" borderId="0" xfId="0" applyNumberFormat="1" applyFont="1"/>
    <xf numFmtId="0" fontId="14" fillId="0" borderId="0" xfId="0" applyFont="1"/>
    <xf numFmtId="0" fontId="7" fillId="5" borderId="1" xfId="0" applyFont="1" applyFill="1" applyBorder="1" applyAlignment="1">
      <alignment horizontal="center"/>
    </xf>
    <xf numFmtId="0" fontId="9" fillId="3" borderId="1" xfId="0" applyFont="1" applyFill="1" applyBorder="1" applyAlignment="1">
      <alignment horizontal="centerContinuous" vertical="center"/>
    </xf>
    <xf numFmtId="0" fontId="9" fillId="9" borderId="1" xfId="0" applyFont="1" applyFill="1" applyBorder="1" applyAlignment="1">
      <alignment horizontal="centerContinuous" vertical="center"/>
    </xf>
    <xf numFmtId="0" fontId="9" fillId="7" borderId="1" xfId="0" applyFont="1" applyFill="1" applyBorder="1" applyAlignment="1">
      <alignment horizontal="centerContinuous" vertical="center"/>
    </xf>
    <xf numFmtId="0" fontId="6"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165" fontId="7" fillId="7" borderId="1" xfId="1" applyNumberFormat="1" applyFont="1" applyFill="1" applyBorder="1"/>
    <xf numFmtId="174" fontId="7" fillId="7" borderId="1" xfId="1" applyNumberFormat="1" applyFont="1" applyFill="1" applyBorder="1" applyAlignment="1">
      <alignment vertical="center"/>
    </xf>
    <xf numFmtId="0" fontId="9" fillId="9" borderId="1" xfId="0" applyFont="1" applyFill="1" applyBorder="1" applyAlignment="1">
      <alignment horizontal="centerContinuous" vertical="center" wrapText="1"/>
    </xf>
    <xf numFmtId="2" fontId="7"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2" fontId="7" fillId="2" borderId="1" xfId="0" applyNumberFormat="1" applyFont="1" applyFill="1" applyBorder="1" applyAlignment="1">
      <alignment vertical="center" wrapText="1"/>
    </xf>
    <xf numFmtId="2" fontId="7" fillId="2" borderId="1" xfId="0" applyNumberFormat="1" applyFont="1" applyFill="1" applyBorder="1" applyAlignment="1">
      <alignment horizontal="left" vertical="center" wrapText="1"/>
    </xf>
    <xf numFmtId="2" fontId="6" fillId="2" borderId="1" xfId="0" applyNumberFormat="1" applyFont="1" applyFill="1" applyBorder="1" applyAlignment="1">
      <alignment horizontal="left" vertical="center" wrapText="1"/>
    </xf>
    <xf numFmtId="2" fontId="7" fillId="2" borderId="1" xfId="0" applyNumberFormat="1" applyFont="1" applyFill="1" applyBorder="1" applyAlignment="1">
      <alignment horizontal="center" vertical="center"/>
    </xf>
    <xf numFmtId="2" fontId="7" fillId="2" borderId="1" xfId="0" applyNumberFormat="1" applyFont="1" applyFill="1" applyBorder="1" applyAlignment="1">
      <alignment vertical="center"/>
    </xf>
    <xf numFmtId="2" fontId="7" fillId="0" borderId="1" xfId="0" applyNumberFormat="1" applyFont="1" applyFill="1" applyBorder="1"/>
    <xf numFmtId="2" fontId="7" fillId="0" borderId="1" xfId="1" applyNumberFormat="1" applyFont="1" applyFill="1" applyBorder="1"/>
    <xf numFmtId="2" fontId="7" fillId="6" borderId="1" xfId="0" applyNumberFormat="1" applyFont="1" applyFill="1" applyBorder="1"/>
    <xf numFmtId="2" fontId="7" fillId="6" borderId="1" xfId="1" applyNumberFormat="1" applyFont="1" applyFill="1" applyBorder="1"/>
    <xf numFmtId="0" fontId="16" fillId="0" borderId="0" xfId="0" applyFont="1"/>
    <xf numFmtId="0" fontId="17" fillId="0" borderId="0" xfId="0" applyFont="1"/>
    <xf numFmtId="0" fontId="10" fillId="0" borderId="0" xfId="0" applyFont="1"/>
    <xf numFmtId="0" fontId="7" fillId="0" borderId="0" xfId="0" applyFont="1" applyFill="1" applyAlignment="1">
      <alignment horizontal="centerContinuous" vertical="center"/>
    </xf>
    <xf numFmtId="0" fontId="18" fillId="4" borderId="0" xfId="2" applyFont="1" applyFill="1"/>
    <xf numFmtId="0" fontId="0" fillId="4" borderId="0" xfId="0" applyFill="1"/>
    <xf numFmtId="0" fontId="19" fillId="4" borderId="0" xfId="2" applyFont="1" applyFill="1"/>
    <xf numFmtId="0" fontId="0" fillId="4" borderId="0" xfId="0" applyFill="1" applyBorder="1"/>
    <xf numFmtId="0" fontId="19" fillId="0" borderId="0" xfId="2" applyFont="1" applyBorder="1"/>
    <xf numFmtId="0" fontId="0" fillId="4" borderId="0" xfId="0" applyFill="1" applyBorder="1" applyAlignment="1">
      <alignment vertical="center" wrapText="1"/>
    </xf>
    <xf numFmtId="173" fontId="9" fillId="6" borderId="1" xfId="1" applyNumberFormat="1" applyFont="1" applyFill="1" applyBorder="1" applyAlignment="1">
      <alignment vertical="center"/>
    </xf>
    <xf numFmtId="1" fontId="7" fillId="3" borderId="1" xfId="1" applyNumberFormat="1" applyFont="1" applyFill="1" applyBorder="1" applyAlignment="1">
      <alignment vertical="center"/>
    </xf>
    <xf numFmtId="1" fontId="9" fillId="3" borderId="1" xfId="1" applyNumberFormat="1" applyFont="1" applyFill="1" applyBorder="1" applyAlignment="1">
      <alignment vertical="center"/>
    </xf>
    <xf numFmtId="1" fontId="7" fillId="8" borderId="1" xfId="1" applyNumberFormat="1" applyFont="1" applyFill="1" applyBorder="1" applyAlignment="1">
      <alignment vertical="center"/>
    </xf>
    <xf numFmtId="1" fontId="9" fillId="8" borderId="1" xfId="1" applyNumberFormat="1" applyFont="1" applyFill="1" applyBorder="1" applyAlignment="1">
      <alignment vertical="center"/>
    </xf>
    <xf numFmtId="1" fontId="7" fillId="6" borderId="1" xfId="1" applyNumberFormat="1" applyFont="1" applyFill="1" applyBorder="1" applyAlignment="1">
      <alignment vertical="center"/>
    </xf>
    <xf numFmtId="1" fontId="9" fillId="6" borderId="1" xfId="1" applyNumberFormat="1" applyFont="1" applyFill="1" applyBorder="1" applyAlignment="1">
      <alignment vertical="center"/>
    </xf>
    <xf numFmtId="172" fontId="7" fillId="2" borderId="4" xfId="9" applyNumberFormat="1" applyFont="1" applyFill="1" applyBorder="1"/>
    <xf numFmtId="172" fontId="7" fillId="0" borderId="0" xfId="9" applyNumberFormat="1" applyFont="1" applyFill="1" applyBorder="1"/>
    <xf numFmtId="9" fontId="7" fillId="0" borderId="0" xfId="0" applyNumberFormat="1" applyFont="1" applyFill="1" applyBorder="1"/>
    <xf numFmtId="0" fontId="7" fillId="0" borderId="1" xfId="0" applyFont="1" applyFill="1" applyBorder="1" applyAlignment="1">
      <alignment vertical="center" wrapText="1"/>
    </xf>
    <xf numFmtId="1" fontId="7" fillId="3" borderId="1" xfId="0" applyNumberFormat="1" applyFont="1" applyFill="1" applyBorder="1" applyAlignment="1">
      <alignment vertical="center"/>
    </xf>
    <xf numFmtId="168" fontId="7" fillId="3" borderId="1" xfId="0" applyNumberFormat="1" applyFont="1" applyFill="1" applyBorder="1" applyAlignment="1">
      <alignment vertical="center"/>
    </xf>
    <xf numFmtId="168" fontId="7" fillId="3" borderId="1" xfId="1" applyNumberFormat="1" applyFont="1" applyFill="1" applyBorder="1" applyAlignment="1">
      <alignment vertical="center"/>
    </xf>
    <xf numFmtId="168" fontId="9" fillId="3" borderId="1" xfId="1" applyNumberFormat="1" applyFont="1" applyFill="1" applyBorder="1" applyAlignment="1">
      <alignment vertical="center"/>
    </xf>
    <xf numFmtId="0" fontId="10" fillId="0" borderId="1" xfId="0" applyFont="1" applyBorder="1" applyAlignment="1">
      <alignment horizontal="centerContinuous" vertical="center"/>
    </xf>
    <xf numFmtId="0" fontId="10" fillId="0" borderId="1" xfId="0" applyFont="1" applyFill="1" applyBorder="1" applyAlignment="1">
      <alignment horizontal="centerContinuous" vertical="center"/>
    </xf>
    <xf numFmtId="4" fontId="7" fillId="10" borderId="1" xfId="8" applyNumberFormat="1" applyFont="1" applyFill="1" applyBorder="1" applyAlignment="1">
      <alignment vertical="center"/>
    </xf>
    <xf numFmtId="176" fontId="7" fillId="6" borderId="1" xfId="1" applyNumberFormat="1" applyFont="1" applyFill="1" applyBorder="1" applyAlignment="1">
      <alignment horizontal="right" vertical="center"/>
    </xf>
    <xf numFmtId="2" fontId="7" fillId="10" borderId="1" xfId="1" applyNumberFormat="1" applyFont="1" applyFill="1" applyBorder="1"/>
    <xf numFmtId="171" fontId="7" fillId="0" borderId="1" xfId="1" applyNumberFormat="1" applyFont="1" applyBorder="1" applyAlignment="1">
      <alignment horizontal="right" vertical="center" wrapText="1"/>
    </xf>
    <xf numFmtId="164" fontId="9" fillId="0" borderId="1" xfId="1" applyFont="1" applyBorder="1" applyAlignment="1">
      <alignment horizontal="right" vertical="center"/>
    </xf>
    <xf numFmtId="0" fontId="9" fillId="0" borderId="0" xfId="0" applyFont="1" applyBorder="1"/>
    <xf numFmtId="174" fontId="9" fillId="0" borderId="0" xfId="1" applyNumberFormat="1" applyFont="1" applyBorder="1"/>
    <xf numFmtId="174" fontId="9" fillId="0" borderId="0" xfId="0" applyNumberFormat="1" applyFont="1" applyBorder="1"/>
    <xf numFmtId="3" fontId="7" fillId="0" borderId="1" xfId="1" applyNumberFormat="1" applyFont="1" applyBorder="1"/>
    <xf numFmtId="3" fontId="7" fillId="0" borderId="1" xfId="0" applyNumberFormat="1" applyFont="1" applyBorder="1"/>
    <xf numFmtId="3" fontId="9" fillId="0" borderId="1" xfId="1" applyNumberFormat="1" applyFont="1" applyBorder="1"/>
    <xf numFmtId="3" fontId="9" fillId="0" borderId="1" xfId="0" applyNumberFormat="1" applyFont="1" applyBorder="1"/>
    <xf numFmtId="177" fontId="7" fillId="0" borderId="0" xfId="0" applyNumberFormat="1" applyFont="1"/>
    <xf numFmtId="3" fontId="7" fillId="0" borderId="0" xfId="0" applyNumberFormat="1" applyFont="1"/>
    <xf numFmtId="178" fontId="7" fillId="0" borderId="1" xfId="1" applyNumberFormat="1" applyFont="1" applyBorder="1"/>
    <xf numFmtId="178" fontId="9" fillId="0" borderId="1" xfId="1" applyNumberFormat="1" applyFont="1" applyBorder="1"/>
    <xf numFmtId="0" fontId="0" fillId="4" borderId="0" xfId="0" applyFill="1" applyBorder="1" applyAlignment="1">
      <alignment horizontal="left" vertical="center" wrapText="1"/>
    </xf>
    <xf numFmtId="0" fontId="7" fillId="2" borderId="1" xfId="0" applyFont="1" applyFill="1" applyBorder="1" applyAlignment="1">
      <alignment horizontal="left" vertical="center" wrapText="1"/>
    </xf>
  </cellXfs>
  <cellStyles count="13">
    <cellStyle name="Comma" xfId="1" builtinId="3"/>
    <cellStyle name="Comma 2" xfId="9"/>
    <cellStyle name="Normal" xfId="0" builtinId="0"/>
    <cellStyle name="Normal 12" xfId="7"/>
    <cellStyle name="Normal 2" xfId="2"/>
    <cellStyle name="Normal 2 2" xfId="4"/>
    <cellStyle name="Normal 2 3" xfId="10"/>
    <cellStyle name="Normal 2 4" xfId="11"/>
    <cellStyle name="Normal 2 4 2" xfId="12"/>
    <cellStyle name="Normal 20" xfId="3"/>
    <cellStyle name="Normal 7 5" xfId="5"/>
    <cellStyle name="Normal 7 7" xfId="6"/>
    <cellStyle name="Percent" xfId="8" builtinId="5"/>
  </cellStyles>
  <dxfs count="10">
    <dxf>
      <font>
        <color rgb="FF00B050"/>
      </font>
      <fill>
        <patternFill>
          <bgColor rgb="FFCCFFCC"/>
        </patternFill>
      </fill>
    </dxf>
    <dxf>
      <font>
        <color rgb="FFFF0000"/>
      </font>
      <fill>
        <patternFill>
          <bgColor theme="9" tint="0.79998168889431442"/>
        </patternFill>
      </fill>
    </dxf>
    <dxf>
      <fill>
        <patternFill>
          <bgColor theme="0" tint="-0.14996795556505021"/>
        </patternFill>
      </fill>
    </dxf>
    <dxf>
      <fill>
        <patternFill>
          <bgColor theme="0" tint="-0.14996795556505021"/>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s>
  <tableStyles count="0" defaultTableStyle="TableStyleMedium2" defaultPivotStyle="PivotStyleLight16"/>
  <colors>
    <mruColors>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1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tabSelected="1" zoomScale="80" zoomScaleNormal="80" workbookViewId="0"/>
  </sheetViews>
  <sheetFormatPr defaultColWidth="8.58203125" defaultRowHeight="14" x14ac:dyDescent="0.3"/>
  <cols>
    <col min="1" max="1" width="4.08203125" style="133" customWidth="1"/>
    <col min="2" max="2" width="69.4140625" style="133" bestFit="1" customWidth="1"/>
    <col min="3" max="16384" width="8.58203125" style="133"/>
  </cols>
  <sheetData>
    <row r="1" spans="1:21" ht="18" x14ac:dyDescent="0.4">
      <c r="A1" s="132" t="s">
        <v>189</v>
      </c>
    </row>
    <row r="2" spans="1:21" s="135" customFormat="1" x14ac:dyDescent="0.3">
      <c r="A2" s="134" t="s">
        <v>190</v>
      </c>
    </row>
    <row r="3" spans="1:21" s="135" customFormat="1" x14ac:dyDescent="0.3">
      <c r="A3" s="136"/>
    </row>
    <row r="4" spans="1:21" s="135" customFormat="1" ht="1.25" customHeight="1" x14ac:dyDescent="0.3"/>
    <row r="5" spans="1:21" s="135" customFormat="1" ht="409.6" customHeight="1" x14ac:dyDescent="0.3">
      <c r="B5" s="171" t="s">
        <v>202</v>
      </c>
      <c r="C5" s="171"/>
      <c r="D5" s="171"/>
      <c r="E5" s="171"/>
      <c r="F5" s="171"/>
      <c r="G5" s="171"/>
      <c r="H5" s="171"/>
      <c r="I5" s="171"/>
      <c r="J5" s="137"/>
      <c r="K5" s="137"/>
      <c r="L5" s="137"/>
      <c r="M5" s="137"/>
      <c r="N5" s="137"/>
      <c r="O5" s="137"/>
      <c r="P5" s="137"/>
      <c r="Q5" s="137"/>
      <c r="R5" s="137"/>
      <c r="S5" s="137"/>
      <c r="T5" s="137"/>
      <c r="U5" s="137"/>
    </row>
    <row r="6" spans="1:21" s="135" customFormat="1" x14ac:dyDescent="0.3"/>
    <row r="7" spans="1:21" s="135" customFormat="1" x14ac:dyDescent="0.3"/>
  </sheetData>
  <mergeCells count="1">
    <mergeCell ref="B5:I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64"/>
  <sheetViews>
    <sheetView showGridLines="0" zoomScale="80" zoomScaleNormal="80" workbookViewId="0">
      <pane xSplit="2" ySplit="2" topLeftCell="C3" activePane="bottomRight" state="frozen"/>
      <selection pane="topRight" activeCell="C1" sqref="C1"/>
      <selection pane="bottomLeft" activeCell="A7" sqref="A7"/>
      <selection pane="bottomRight"/>
    </sheetView>
  </sheetViews>
  <sheetFormatPr defaultColWidth="9" defaultRowHeight="13" x14ac:dyDescent="0.3"/>
  <cols>
    <col min="1" max="1" width="2.4140625" style="8" customWidth="1"/>
    <col min="2" max="2" width="15.08203125" style="8" customWidth="1"/>
    <col min="3" max="12" width="9.58203125" style="8" customWidth="1"/>
    <col min="13" max="13" width="10.58203125" style="8" customWidth="1"/>
    <col min="14" max="14" width="10" style="8" customWidth="1"/>
    <col min="15" max="15" width="10.08203125" style="8" bestFit="1" customWidth="1"/>
    <col min="16" max="16" width="11.08203125" style="8" customWidth="1"/>
    <col min="17" max="18" width="10.08203125" style="8" customWidth="1"/>
    <col min="19" max="19" width="10.58203125" style="8" customWidth="1"/>
    <col min="20" max="20" width="9" style="8"/>
    <col min="21" max="21" width="9.6640625" style="8" customWidth="1"/>
    <col min="22" max="22" width="10.5" style="8" customWidth="1"/>
    <col min="23" max="23" width="9" style="8"/>
    <col min="24" max="24" width="9.6640625" style="8" customWidth="1"/>
    <col min="25" max="25" width="10.5" style="8" customWidth="1"/>
    <col min="26" max="26" width="9" style="8"/>
    <col min="27" max="27" width="10" style="8" customWidth="1"/>
    <col min="28" max="16384" width="9" style="8"/>
  </cols>
  <sheetData>
    <row r="1" spans="1:14" x14ac:dyDescent="0.3">
      <c r="A1" s="97" t="s">
        <v>101</v>
      </c>
    </row>
    <row r="3" spans="1:14" x14ac:dyDescent="0.3">
      <c r="B3" s="130" t="s">
        <v>160</v>
      </c>
      <c r="C3" s="82" t="s">
        <v>109</v>
      </c>
      <c r="D3" s="83"/>
      <c r="E3" s="95"/>
      <c r="F3" s="82" t="s">
        <v>103</v>
      </c>
      <c r="G3" s="83"/>
      <c r="H3" s="95"/>
    </row>
    <row r="4" spans="1:14" ht="26" x14ac:dyDescent="0.3">
      <c r="C4" s="5" t="s">
        <v>24</v>
      </c>
      <c r="D4" s="5" t="s">
        <v>85</v>
      </c>
      <c r="E4" s="5" t="s">
        <v>87</v>
      </c>
      <c r="F4" s="5" t="s">
        <v>24</v>
      </c>
      <c r="G4" s="5" t="s">
        <v>85</v>
      </c>
      <c r="H4" s="5" t="s">
        <v>87</v>
      </c>
    </row>
    <row r="5" spans="1:14" x14ac:dyDescent="0.3">
      <c r="B5" s="61" t="s">
        <v>2</v>
      </c>
      <c r="C5" s="163">
        <f>SUMIF('BP costs'!$B$7:$B$71,$B5,'BP costs'!AD$7:AD$71)</f>
        <v>488.63268788237093</v>
      </c>
      <c r="D5" s="163">
        <f>SUMIF('BP costs'!$B$7:$B$71,$B5,'BP costs'!AH$7:AH$71)</f>
        <v>2949.4946219021722</v>
      </c>
      <c r="E5" s="163">
        <f>C5+D5</f>
        <v>3438.1273097845433</v>
      </c>
      <c r="F5" s="164">
        <f>P21+C37+C53</f>
        <v>310.83737540522492</v>
      </c>
      <c r="G5" s="164">
        <f>Q21+D37+D53</f>
        <v>2578.0885618241318</v>
      </c>
      <c r="H5" s="164">
        <f>R21+E37+E53</f>
        <v>2888.9259372293568</v>
      </c>
      <c r="K5" s="168"/>
      <c r="L5" s="168"/>
      <c r="M5" s="168"/>
      <c r="N5" s="168"/>
    </row>
    <row r="6" spans="1:14" x14ac:dyDescent="0.3">
      <c r="B6" s="61" t="s">
        <v>63</v>
      </c>
      <c r="C6" s="163">
        <f>SUMIF('BP costs'!$B$7:$B$71,$B6,'BP costs'!AD$7:AD$71)</f>
        <v>3.6020000000000008</v>
      </c>
      <c r="D6" s="163">
        <f>SUMIF('BP costs'!$B$7:$B$71,$B6,'BP costs'!AH$7:AH$71)</f>
        <v>21.794000000000004</v>
      </c>
      <c r="E6" s="163">
        <f t="shared" ref="E6:E15" si="0">C6+D6</f>
        <v>25.396000000000004</v>
      </c>
      <c r="F6" s="164">
        <f t="shared" ref="F6:H6" si="1">P22+C38+C54</f>
        <v>5.0894074144847794</v>
      </c>
      <c r="G6" s="164">
        <f t="shared" si="1"/>
        <v>21.526377552559218</v>
      </c>
      <c r="H6" s="164">
        <f t="shared" si="1"/>
        <v>26.615784967043997</v>
      </c>
      <c r="L6" s="168"/>
      <c r="M6" s="168"/>
      <c r="N6" s="168"/>
    </row>
    <row r="7" spans="1:14" x14ac:dyDescent="0.3">
      <c r="B7" s="61" t="s">
        <v>3</v>
      </c>
      <c r="C7" s="163">
        <f>SUMIF('BP costs'!$B$7:$B$71,$B7,'BP costs'!AD$7:AD$71)</f>
        <v>74.143000000000001</v>
      </c>
      <c r="D7" s="163">
        <f>SUMIF('BP costs'!$B$7:$B$71,$B7,'BP costs'!AH$7:AH$71)</f>
        <v>1173.1950000000002</v>
      </c>
      <c r="E7" s="163">
        <f t="shared" si="0"/>
        <v>1247.3380000000002</v>
      </c>
      <c r="F7" s="164">
        <f t="shared" ref="F7:H7" si="2">P23+C39+C55</f>
        <v>122.78240802482233</v>
      </c>
      <c r="G7" s="164">
        <f t="shared" si="2"/>
        <v>886.12022987371483</v>
      </c>
      <c r="H7" s="164">
        <f t="shared" si="2"/>
        <v>1008.902637898537</v>
      </c>
      <c r="L7" s="168"/>
      <c r="M7" s="168"/>
      <c r="N7" s="168"/>
    </row>
    <row r="8" spans="1:14" x14ac:dyDescent="0.3">
      <c r="B8" s="61" t="s">
        <v>4</v>
      </c>
      <c r="C8" s="163">
        <f>SUMIF('BP costs'!$B$7:$B$71,$B8,'BP costs'!AD$7:AD$71)</f>
        <v>372.45047147371469</v>
      </c>
      <c r="D8" s="163">
        <f>SUMIF('BP costs'!$B$7:$B$71,$B8,'BP costs'!AH$7:AH$71)</f>
        <v>2661.9364487646508</v>
      </c>
      <c r="E8" s="163">
        <f t="shared" si="0"/>
        <v>3034.3869202383653</v>
      </c>
      <c r="F8" s="164">
        <f t="shared" ref="F8:H8" si="3">P24+C40+C56</f>
        <v>368.81320776255973</v>
      </c>
      <c r="G8" s="164">
        <f t="shared" si="3"/>
        <v>2466.0954699882395</v>
      </c>
      <c r="H8" s="164">
        <f t="shared" si="3"/>
        <v>2834.9086777507996</v>
      </c>
      <c r="K8" s="168"/>
      <c r="L8" s="168"/>
      <c r="M8" s="168"/>
      <c r="N8" s="168"/>
    </row>
    <row r="9" spans="1:14" x14ac:dyDescent="0.3">
      <c r="B9" s="61" t="s">
        <v>5</v>
      </c>
      <c r="C9" s="163">
        <f>SUMIF('BP costs'!$B$7:$B$71,$B9,'BP costs'!AD$7:AD$71)</f>
        <v>204.149</v>
      </c>
      <c r="D9" s="163">
        <f>SUMIF('BP costs'!$B$7:$B$71,$B9,'BP costs'!AH$7:AH$71)</f>
        <v>2440.0859999999998</v>
      </c>
      <c r="E9" s="163">
        <f t="shared" si="0"/>
        <v>2644.2349999999997</v>
      </c>
      <c r="F9" s="164">
        <f t="shared" ref="F9:H9" si="4">P25+C41+C57</f>
        <v>201.16319084027208</v>
      </c>
      <c r="G9" s="164">
        <f t="shared" si="4"/>
        <v>1899.3159182600514</v>
      </c>
      <c r="H9" s="164">
        <f t="shared" si="4"/>
        <v>2100.4791091003235</v>
      </c>
      <c r="K9" s="168"/>
      <c r="L9" s="168"/>
      <c r="M9" s="168"/>
      <c r="N9" s="168"/>
    </row>
    <row r="10" spans="1:14" x14ac:dyDescent="0.3">
      <c r="B10" s="61" t="s">
        <v>82</v>
      </c>
      <c r="C10" s="163">
        <f>SUMIF('BP costs'!$B$7:$B$71,$B10,'BP costs'!AD$7:AD$71)</f>
        <v>311.73463560526437</v>
      </c>
      <c r="D10" s="163">
        <f>SUMIF('BP costs'!$B$7:$B$71,$B10,'BP costs'!AH$7:AH$71)</f>
        <v>2648.3484750752582</v>
      </c>
      <c r="E10" s="163">
        <f t="shared" si="0"/>
        <v>2960.0831106805226</v>
      </c>
      <c r="F10" s="164">
        <f t="shared" ref="F10:H10" si="5">P26+C42+C58</f>
        <v>427.27406676547656</v>
      </c>
      <c r="G10" s="164">
        <f t="shared" si="5"/>
        <v>2642.321070275013</v>
      </c>
      <c r="H10" s="164">
        <f t="shared" si="5"/>
        <v>3069.5951370404891</v>
      </c>
      <c r="K10" s="168"/>
      <c r="L10" s="168"/>
      <c r="M10" s="168"/>
      <c r="N10" s="168"/>
    </row>
    <row r="11" spans="1:14" x14ac:dyDescent="0.3">
      <c r="B11" s="61" t="s">
        <v>10</v>
      </c>
      <c r="C11" s="163">
        <f>SUMIF('BP costs'!$B$7:$B$71,$B11,'BP costs'!AD$7:AD$71)</f>
        <v>101.12299999999999</v>
      </c>
      <c r="D11" s="163">
        <f>SUMIF('BP costs'!$B$7:$B$71,$B11,'BP costs'!AH$7:AH$71)</f>
        <v>882.13699999999994</v>
      </c>
      <c r="E11" s="163">
        <f t="shared" si="0"/>
        <v>983.26</v>
      </c>
      <c r="F11" s="164">
        <f t="shared" ref="F11:G11" si="6">P27+C43+C59</f>
        <v>91.232187426210814</v>
      </c>
      <c r="G11" s="164">
        <f t="shared" si="6"/>
        <v>848.20722336246934</v>
      </c>
      <c r="H11" s="164">
        <f>R27+E43+E59</f>
        <v>939.43941078868011</v>
      </c>
      <c r="I11" s="167"/>
      <c r="L11" s="168"/>
      <c r="M11" s="168"/>
      <c r="N11" s="168"/>
    </row>
    <row r="12" spans="1:14" x14ac:dyDescent="0.3">
      <c r="B12" s="61" t="s">
        <v>7</v>
      </c>
      <c r="C12" s="163">
        <f>SUMIF('BP costs'!$B$7:$B$71,$B12,'BP costs'!AD$7:AD$71)</f>
        <v>675.53054407167906</v>
      </c>
      <c r="D12" s="163">
        <f>SUMIF('BP costs'!$B$7:$B$71,$B12,'BP costs'!AH$7:AH$71)</f>
        <v>4442.3222125069888</v>
      </c>
      <c r="E12" s="163">
        <f t="shared" si="0"/>
        <v>5117.852756578668</v>
      </c>
      <c r="F12" s="164">
        <f t="shared" ref="F12:H12" si="7">P28+C44+C60</f>
        <v>707.90514724025991</v>
      </c>
      <c r="G12" s="164">
        <f t="shared" si="7"/>
        <v>3813.1186519656967</v>
      </c>
      <c r="H12" s="164">
        <f t="shared" si="7"/>
        <v>4521.0237992059565</v>
      </c>
      <c r="K12" s="168"/>
      <c r="L12" s="168"/>
      <c r="M12" s="168"/>
      <c r="N12" s="168"/>
    </row>
    <row r="13" spans="1:14" x14ac:dyDescent="0.3">
      <c r="B13" s="61" t="s">
        <v>12</v>
      </c>
      <c r="C13" s="163">
        <f>SUMIF('BP costs'!$B$7:$B$71,$B13,'BP costs'!AD$7:AD$71)</f>
        <v>125.06200000000001</v>
      </c>
      <c r="D13" s="163">
        <f>SUMIF('BP costs'!$B$7:$B$71,$B13,'BP costs'!AH$7:AH$71)</f>
        <v>1445.6969999999999</v>
      </c>
      <c r="E13" s="163">
        <f t="shared" si="0"/>
        <v>1570.759</v>
      </c>
      <c r="F13" s="164">
        <f t="shared" ref="F13:H13" si="8">P29+C45+C61</f>
        <v>157.95676748620582</v>
      </c>
      <c r="G13" s="164">
        <f t="shared" si="8"/>
        <v>1195.0726995524285</v>
      </c>
      <c r="H13" s="164">
        <f t="shared" si="8"/>
        <v>1353.0294670386343</v>
      </c>
      <c r="K13" s="168"/>
      <c r="L13" s="168"/>
      <c r="M13" s="168"/>
      <c r="N13" s="168"/>
    </row>
    <row r="14" spans="1:14" x14ac:dyDescent="0.3">
      <c r="B14" s="61" t="s">
        <v>8</v>
      </c>
      <c r="C14" s="163">
        <f>SUMIF('BP costs'!$B$7:$B$71,$B14,'BP costs'!AD$7:AD$71)</f>
        <v>124.23024391120892</v>
      </c>
      <c r="D14" s="163">
        <f>SUMIF('BP costs'!$B$7:$B$71,$B14,'BP costs'!AH$7:AH$71)</f>
        <v>1460.090646681344</v>
      </c>
      <c r="E14" s="163">
        <f t="shared" si="0"/>
        <v>1584.3208905925528</v>
      </c>
      <c r="F14" s="164">
        <f t="shared" ref="F14:H14" si="9">P30+C46+C62</f>
        <v>137.18296787349442</v>
      </c>
      <c r="G14" s="164">
        <f t="shared" si="9"/>
        <v>1236.6458178664288</v>
      </c>
      <c r="H14" s="164">
        <f t="shared" si="9"/>
        <v>1373.8287857399232</v>
      </c>
      <c r="K14" s="168"/>
      <c r="L14" s="168"/>
      <c r="M14" s="168"/>
      <c r="N14" s="168"/>
    </row>
    <row r="15" spans="1:14" x14ac:dyDescent="0.3">
      <c r="B15" s="61" t="s">
        <v>9</v>
      </c>
      <c r="C15" s="163">
        <f>SUMIF('BP costs'!$B$7:$B$71,$B15,'BP costs'!AD$7:AD$71)</f>
        <v>377.702</v>
      </c>
      <c r="D15" s="163">
        <f>SUMIF('BP costs'!$B$7:$B$71,$B15,'BP costs'!AH$7:AH$71)</f>
        <v>2558.9769999999999</v>
      </c>
      <c r="E15" s="163">
        <f t="shared" si="0"/>
        <v>2936.6790000000001</v>
      </c>
      <c r="F15" s="164">
        <f t="shared" ref="F15:H15" si="10">P31+C47+C63</f>
        <v>288.99548511638017</v>
      </c>
      <c r="G15" s="164">
        <f t="shared" si="10"/>
        <v>2095.1034472745359</v>
      </c>
      <c r="H15" s="164">
        <f t="shared" si="10"/>
        <v>2384.0989323909162</v>
      </c>
      <c r="K15" s="168"/>
      <c r="L15" s="168"/>
      <c r="M15" s="168"/>
      <c r="N15" s="168"/>
    </row>
    <row r="16" spans="1:14" x14ac:dyDescent="0.3">
      <c r="B16" s="59" t="s">
        <v>13</v>
      </c>
      <c r="C16" s="165">
        <f>SUM(C5:C15)</f>
        <v>2858.3595829442384</v>
      </c>
      <c r="D16" s="165">
        <f t="shared" ref="D16:H16" si="11">SUM(D5:D15)</f>
        <v>22684.078404930413</v>
      </c>
      <c r="E16" s="165">
        <f t="shared" si="11"/>
        <v>25542.437987874655</v>
      </c>
      <c r="F16" s="166">
        <f t="shared" si="11"/>
        <v>2819.2322113553919</v>
      </c>
      <c r="G16" s="166">
        <f t="shared" si="11"/>
        <v>19681.615467795273</v>
      </c>
      <c r="H16" s="166">
        <f t="shared" si="11"/>
        <v>22500.847679150662</v>
      </c>
      <c r="J16" s="168"/>
      <c r="K16" s="168"/>
      <c r="L16" s="168"/>
    </row>
    <row r="17" spans="2:18" x14ac:dyDescent="0.3">
      <c r="B17" s="160"/>
      <c r="C17" s="161"/>
      <c r="D17" s="161"/>
      <c r="E17" s="161"/>
      <c r="F17" s="162"/>
      <c r="G17" s="162"/>
      <c r="H17" s="162"/>
    </row>
    <row r="19" spans="2:18" x14ac:dyDescent="0.3">
      <c r="B19" s="130" t="s">
        <v>159</v>
      </c>
      <c r="C19" s="82" t="s">
        <v>193</v>
      </c>
      <c r="D19" s="83"/>
      <c r="E19" s="83"/>
      <c r="F19" s="95"/>
      <c r="G19" s="82" t="s">
        <v>196</v>
      </c>
      <c r="H19" s="83"/>
      <c r="I19" s="95"/>
      <c r="J19" s="82" t="s">
        <v>194</v>
      </c>
      <c r="K19" s="83"/>
      <c r="L19" s="95"/>
      <c r="M19" s="82" t="s">
        <v>102</v>
      </c>
      <c r="N19" s="83"/>
      <c r="O19" s="95"/>
      <c r="P19" s="82" t="s">
        <v>195</v>
      </c>
      <c r="Q19" s="83"/>
      <c r="R19" s="95"/>
    </row>
    <row r="20" spans="2:18" ht="52" x14ac:dyDescent="0.3">
      <c r="C20" s="5" t="s">
        <v>24</v>
      </c>
      <c r="D20" s="5" t="s">
        <v>85</v>
      </c>
      <c r="E20" s="5" t="s">
        <v>87</v>
      </c>
      <c r="F20" s="5" t="s">
        <v>197</v>
      </c>
      <c r="G20" s="5" t="s">
        <v>24</v>
      </c>
      <c r="H20" s="5" t="s">
        <v>85</v>
      </c>
      <c r="I20" s="5" t="s">
        <v>87</v>
      </c>
      <c r="J20" s="5" t="s">
        <v>24</v>
      </c>
      <c r="K20" s="5" t="s">
        <v>85</v>
      </c>
      <c r="L20" s="5" t="s">
        <v>87</v>
      </c>
      <c r="M20" s="5" t="s">
        <v>24</v>
      </c>
      <c r="N20" s="5" t="s">
        <v>85</v>
      </c>
      <c r="O20" s="5" t="s">
        <v>87</v>
      </c>
      <c r="P20" s="5" t="s">
        <v>24</v>
      </c>
      <c r="Q20" s="5" t="s">
        <v>85</v>
      </c>
      <c r="R20" s="5" t="s">
        <v>87</v>
      </c>
    </row>
    <row r="21" spans="2:18" x14ac:dyDescent="0.3">
      <c r="B21" s="61" t="s">
        <v>2</v>
      </c>
      <c r="C21" s="58">
        <f>SUMIF('BP costs'!$B$7:$B$71,$B21,'BP costs'!D$7:D$71)</f>
        <v>442.21718503969583</v>
      </c>
      <c r="D21" s="58">
        <f>SUMIF('BP costs'!$B$7:$B$71,$B21,'BP costs'!H$7:H$71)</f>
        <v>1590.7696563379536</v>
      </c>
      <c r="E21" s="58">
        <f>C21+D21</f>
        <v>2032.9868413776494</v>
      </c>
      <c r="F21" s="84">
        <f>C21/E21</f>
        <v>0.21752092834011078</v>
      </c>
      <c r="G21" s="58">
        <f>I21*Apportion!J8</f>
        <v>294.70801476417972</v>
      </c>
      <c r="H21" s="58">
        <f>I21*(1-Apportion!J8)</f>
        <v>1386.9395421223148</v>
      </c>
      <c r="I21" s="58">
        <f>SUMIF('Modelled costs'!$A$7:$A$66,$B21,'Modelled costs'!$X$7:$X$66)</f>
        <v>1681.6475568864946</v>
      </c>
      <c r="J21" s="163">
        <v>14.462003198274797</v>
      </c>
      <c r="K21" s="163">
        <v>103.65532070672521</v>
      </c>
      <c r="L21" s="163">
        <f>J21+K21</f>
        <v>118.11732390500001</v>
      </c>
      <c r="M21" s="169">
        <v>0</v>
      </c>
      <c r="N21" s="169">
        <v>0</v>
      </c>
      <c r="O21" s="169">
        <f>M21+N21</f>
        <v>0</v>
      </c>
      <c r="P21" s="163">
        <f>G21+J21+M21</f>
        <v>309.17001796245449</v>
      </c>
      <c r="Q21" s="163">
        <f>H21+K21+N21</f>
        <v>1490.59486282904</v>
      </c>
      <c r="R21" s="163">
        <f>P21+Q21</f>
        <v>1799.7648807914945</v>
      </c>
    </row>
    <row r="22" spans="2:18" x14ac:dyDescent="0.3">
      <c r="B22" s="61" t="s">
        <v>63</v>
      </c>
      <c r="C22" s="58">
        <f>SUMIF('BP costs'!$B$7:$B$71,$B22,'BP costs'!D$7:D$71)</f>
        <v>2.8399157116782576</v>
      </c>
      <c r="D22" s="58">
        <f>SUMIF('BP costs'!$B$7:$B$71,$B22,'BP costs'!H$7:H$71)</f>
        <v>17.920968387188189</v>
      </c>
      <c r="E22" s="58">
        <f t="shared" ref="E22:E31" si="12">C22+D22</f>
        <v>20.760884098866448</v>
      </c>
      <c r="F22" s="84">
        <f t="shared" ref="F22:F32" si="13">C22/E22</f>
        <v>0.13679165579626343</v>
      </c>
      <c r="G22" s="58">
        <f>I22*Apportion!J9</f>
        <v>4.4532447894847786</v>
      </c>
      <c r="H22" s="58">
        <f>I22*(1-Apportion!J9)</f>
        <v>18.247573859423941</v>
      </c>
      <c r="I22" s="58">
        <f>SUMIF('Modelled costs'!$A$7:$A$66,$B22,'Modelled costs'!$X$7:$X$66)</f>
        <v>22.700818648908722</v>
      </c>
      <c r="J22" s="163">
        <v>0.63616262500000065</v>
      </c>
      <c r="K22" s="163">
        <v>0.65812712287292929</v>
      </c>
      <c r="L22" s="163">
        <f t="shared" ref="L22:L31" si="14">J22+K22</f>
        <v>1.2942897478729298</v>
      </c>
      <c r="M22" s="169">
        <v>0</v>
      </c>
      <c r="N22" s="169">
        <v>0</v>
      </c>
      <c r="O22" s="169">
        <f t="shared" ref="O22:O31" si="15">M22+N22</f>
        <v>0</v>
      </c>
      <c r="P22" s="163">
        <f t="shared" ref="P22:P31" si="16">G22+J22+M22</f>
        <v>5.0894074144847794</v>
      </c>
      <c r="Q22" s="163">
        <f t="shared" ref="Q22:Q31" si="17">H22+K22+N22</f>
        <v>18.905700982296871</v>
      </c>
      <c r="R22" s="163">
        <f t="shared" ref="R22:R31" si="18">P22+Q22</f>
        <v>23.995108396781649</v>
      </c>
    </row>
    <row r="23" spans="2:18" x14ac:dyDescent="0.3">
      <c r="B23" s="61" t="s">
        <v>3</v>
      </c>
      <c r="C23" s="58">
        <f>SUMIF('BP costs'!$B$7:$B$71,$B23,'BP costs'!D$7:D$71)</f>
        <v>67.344000000000008</v>
      </c>
      <c r="D23" s="58">
        <f>SUMIF('BP costs'!$B$7:$B$71,$B23,'BP costs'!H$7:H$71)</f>
        <v>662.76160500000003</v>
      </c>
      <c r="E23" s="58">
        <f t="shared" si="12"/>
        <v>730.10560500000008</v>
      </c>
      <c r="F23" s="84">
        <f t="shared" si="13"/>
        <v>9.2238711138233218E-2</v>
      </c>
      <c r="G23" s="58">
        <f>I23*Apportion!J10</f>
        <v>116.01866115816563</v>
      </c>
      <c r="H23" s="58">
        <f>I23*(1-Apportion!J10)</f>
        <v>568.76800958145782</v>
      </c>
      <c r="I23" s="58">
        <f>SUMIF('Modelled costs'!$A$7:$A$66,$B23,'Modelled costs'!$X$7:$X$66)</f>
        <v>684.78667073962345</v>
      </c>
      <c r="J23" s="163">
        <v>6.7637468666567031</v>
      </c>
      <c r="K23" s="163">
        <v>34.805063133343296</v>
      </c>
      <c r="L23" s="163">
        <f t="shared" si="14"/>
        <v>41.568809999999999</v>
      </c>
      <c r="M23" s="169">
        <v>0</v>
      </c>
      <c r="N23" s="169">
        <v>0</v>
      </c>
      <c r="O23" s="169">
        <f t="shared" si="15"/>
        <v>0</v>
      </c>
      <c r="P23" s="163">
        <f t="shared" si="16"/>
        <v>122.78240802482233</v>
      </c>
      <c r="Q23" s="163">
        <f t="shared" si="17"/>
        <v>603.57307271480113</v>
      </c>
      <c r="R23" s="163">
        <f t="shared" si="18"/>
        <v>726.35548073962343</v>
      </c>
    </row>
    <row r="24" spans="2:18" x14ac:dyDescent="0.3">
      <c r="B24" s="61" t="s">
        <v>4</v>
      </c>
      <c r="C24" s="58">
        <f>SUMIF('BP costs'!$B$7:$B$71,$B24,'BP costs'!D$7:D$71)</f>
        <v>336.70880331020305</v>
      </c>
      <c r="D24" s="58">
        <f>SUMIF('BP costs'!$B$7:$B$71,$B24,'BP costs'!H$7:H$71)</f>
        <v>1707.1343959167873</v>
      </c>
      <c r="E24" s="58">
        <f t="shared" si="12"/>
        <v>2043.8431992269902</v>
      </c>
      <c r="F24" s="84">
        <f t="shared" si="13"/>
        <v>0.16474297217983797</v>
      </c>
      <c r="G24" s="58">
        <f>I24*Apportion!J11</f>
        <v>339.00214118904529</v>
      </c>
      <c r="H24" s="58">
        <f>I24*(1-Apportion!J11)</f>
        <v>1527.4746290506873</v>
      </c>
      <c r="I24" s="58">
        <f>SUMIF('Modelled costs'!$A$7:$A$66,$B24,'Modelled costs'!$X$7:$X$66)</f>
        <v>1866.4767702397326</v>
      </c>
      <c r="J24" s="163">
        <v>29.811066573514442</v>
      </c>
      <c r="K24" s="163">
        <v>105.72812905504935</v>
      </c>
      <c r="L24" s="163">
        <f t="shared" si="14"/>
        <v>135.53919562856379</v>
      </c>
      <c r="M24" s="169">
        <v>0</v>
      </c>
      <c r="N24" s="169">
        <v>0</v>
      </c>
      <c r="O24" s="169">
        <f t="shared" si="15"/>
        <v>0</v>
      </c>
      <c r="P24" s="163">
        <f t="shared" si="16"/>
        <v>368.81320776255973</v>
      </c>
      <c r="Q24" s="163">
        <f t="shared" si="17"/>
        <v>1633.2027581057366</v>
      </c>
      <c r="R24" s="163">
        <f t="shared" si="18"/>
        <v>2002.0159658682965</v>
      </c>
    </row>
    <row r="25" spans="2:18" x14ac:dyDescent="0.3">
      <c r="B25" s="61" t="s">
        <v>5</v>
      </c>
      <c r="C25" s="58">
        <f>SUMIF('BP costs'!$B$7:$B$71,$B25,'BP costs'!D$7:D$71)</f>
        <v>192.893</v>
      </c>
      <c r="D25" s="58">
        <f>SUMIF('BP costs'!$B$7:$B$71,$B25,'BP costs'!H$7:H$71)</f>
        <v>1242.0968899999998</v>
      </c>
      <c r="E25" s="58">
        <f t="shared" si="12"/>
        <v>1434.9898899999998</v>
      </c>
      <c r="F25" s="84">
        <f t="shared" si="13"/>
        <v>0.13442115609608932</v>
      </c>
      <c r="G25" s="58">
        <f>I25*Apportion!J12</f>
        <v>194.86448010421958</v>
      </c>
      <c r="H25" s="58">
        <f>I25*(1-Apportion!J12)</f>
        <v>1120.6782690654713</v>
      </c>
      <c r="I25" s="58">
        <f>SUMIF('Modelled costs'!$A$7:$A$66,$B25,'Modelled costs'!$X$7:$X$66)</f>
        <v>1315.542749169691</v>
      </c>
      <c r="J25" s="163">
        <v>6.2987107360525076</v>
      </c>
      <c r="K25" s="163">
        <v>61.444789263947499</v>
      </c>
      <c r="L25" s="163">
        <f t="shared" si="14"/>
        <v>67.743500000000012</v>
      </c>
      <c r="M25" s="169">
        <v>0</v>
      </c>
      <c r="N25" s="169">
        <v>0</v>
      </c>
      <c r="O25" s="169">
        <f t="shared" si="15"/>
        <v>0</v>
      </c>
      <c r="P25" s="163">
        <f t="shared" si="16"/>
        <v>201.16319084027208</v>
      </c>
      <c r="Q25" s="163">
        <f t="shared" si="17"/>
        <v>1182.1230583294189</v>
      </c>
      <c r="R25" s="163">
        <f t="shared" si="18"/>
        <v>1383.286249169691</v>
      </c>
    </row>
    <row r="26" spans="2:18" x14ac:dyDescent="0.3">
      <c r="B26" s="61" t="s">
        <v>82</v>
      </c>
      <c r="C26" s="58">
        <f>SUMIF('BP costs'!$B$7:$B$71,$B26,'BP costs'!D$7:D$71)</f>
        <v>259.44867083921048</v>
      </c>
      <c r="D26" s="58">
        <f>SUMIF('BP costs'!$B$7:$B$71,$B26,'BP costs'!H$7:H$71)</f>
        <v>1756.0801721148005</v>
      </c>
      <c r="E26" s="58">
        <f t="shared" si="12"/>
        <v>2015.528842954011</v>
      </c>
      <c r="F26" s="84">
        <f t="shared" si="13"/>
        <v>0.12872486134158012</v>
      </c>
      <c r="G26" s="58">
        <f>I26*Apportion!J13</f>
        <v>405.58306386352047</v>
      </c>
      <c r="H26" s="58">
        <f>I26*(1-Apportion!J13)</f>
        <v>1817.3065503950518</v>
      </c>
      <c r="I26" s="58">
        <f>SUMIF('Modelled costs'!$A$7:$A$66,$B26,'Modelled costs'!$X$7:$X$66)</f>
        <v>2222.8896142585722</v>
      </c>
      <c r="J26" s="163">
        <v>21.691002901956118</v>
      </c>
      <c r="K26" s="163">
        <v>115.36672643140527</v>
      </c>
      <c r="L26" s="163">
        <f t="shared" si="14"/>
        <v>137.05772933336138</v>
      </c>
      <c r="M26" s="169">
        <v>0</v>
      </c>
      <c r="N26" s="169">
        <v>0</v>
      </c>
      <c r="O26" s="169">
        <f t="shared" si="15"/>
        <v>0</v>
      </c>
      <c r="P26" s="163">
        <f t="shared" si="16"/>
        <v>427.27406676547656</v>
      </c>
      <c r="Q26" s="163">
        <f t="shared" si="17"/>
        <v>1932.6732768264571</v>
      </c>
      <c r="R26" s="163">
        <f t="shared" si="18"/>
        <v>2359.9473435919335</v>
      </c>
    </row>
    <row r="27" spans="2:18" x14ac:dyDescent="0.3">
      <c r="B27" s="61" t="s">
        <v>10</v>
      </c>
      <c r="C27" s="58">
        <f>SUMIF('BP costs'!$B$7:$B$71,$B27,'BP costs'!D$7:D$71)</f>
        <v>89.88</v>
      </c>
      <c r="D27" s="58">
        <f>SUMIF('BP costs'!$B$7:$B$71,$B27,'BP costs'!H$7:H$71)</f>
        <v>592.11400000000003</v>
      </c>
      <c r="E27" s="58">
        <f t="shared" si="12"/>
        <v>681.99400000000003</v>
      </c>
      <c r="F27" s="84">
        <f t="shared" si="13"/>
        <v>0.13179001574793911</v>
      </c>
      <c r="G27" s="58">
        <f>I27*Apportion!J14</f>
        <v>84.589610648819828</v>
      </c>
      <c r="H27" s="58">
        <f>I27*(1-Apportion!J14)</f>
        <v>559.10532550138066</v>
      </c>
      <c r="I27" s="58">
        <f>SUMIF('Modelled costs'!$A$7:$A$66,$B27,'Modelled costs'!$X$7:$X$66)</f>
        <v>643.69493615020053</v>
      </c>
      <c r="J27" s="163">
        <v>3.6800320133195412</v>
      </c>
      <c r="K27" s="163">
        <v>27.236172761680457</v>
      </c>
      <c r="L27" s="163">
        <f t="shared" si="14"/>
        <v>30.916204774999997</v>
      </c>
      <c r="M27" s="169">
        <v>1.0685447640714345</v>
      </c>
      <c r="N27" s="169">
        <v>11.55739344664909</v>
      </c>
      <c r="O27" s="169">
        <f t="shared" si="15"/>
        <v>12.625938210720525</v>
      </c>
      <c r="P27" s="163">
        <f t="shared" si="16"/>
        <v>89.338187426210808</v>
      </c>
      <c r="Q27" s="163">
        <f t="shared" si="17"/>
        <v>597.89889170971026</v>
      </c>
      <c r="R27" s="163">
        <f t="shared" si="18"/>
        <v>687.23707913592102</v>
      </c>
    </row>
    <row r="28" spans="2:18" x14ac:dyDescent="0.3">
      <c r="B28" s="61" t="s">
        <v>7</v>
      </c>
      <c r="C28" s="58">
        <f>SUMIF('BP costs'!$B$7:$B$71,$B28,'BP costs'!D$7:D$71)</f>
        <v>513.31146393867368</v>
      </c>
      <c r="D28" s="58">
        <f>SUMIF('BP costs'!$B$7:$B$71,$B28,'BP costs'!H$7:H$71)</f>
        <v>3142.3707170256585</v>
      </c>
      <c r="E28" s="58">
        <f t="shared" si="12"/>
        <v>3655.682180964332</v>
      </c>
      <c r="F28" s="84">
        <f t="shared" si="13"/>
        <v>0.14041468555761247</v>
      </c>
      <c r="G28" s="58">
        <f>I28*Apportion!J15</f>
        <v>661.33644588083928</v>
      </c>
      <c r="H28" s="58">
        <f>I28*(1-Apportion!J15)</f>
        <v>2782.6714763483251</v>
      </c>
      <c r="I28" s="58">
        <f>SUMIF('Modelled costs'!$A$7:$A$66,$B28,'Modelled costs'!$X$7:$X$66)</f>
        <v>3444.0079222291643</v>
      </c>
      <c r="J28" s="163">
        <v>46.568701359420665</v>
      </c>
      <c r="K28" s="163">
        <v>142.56387676498824</v>
      </c>
      <c r="L28" s="163">
        <f t="shared" si="14"/>
        <v>189.13257812440889</v>
      </c>
      <c r="M28" s="169">
        <v>0</v>
      </c>
      <c r="N28" s="169">
        <v>0</v>
      </c>
      <c r="O28" s="169">
        <f t="shared" si="15"/>
        <v>0</v>
      </c>
      <c r="P28" s="163">
        <f t="shared" si="16"/>
        <v>707.90514724025991</v>
      </c>
      <c r="Q28" s="163">
        <f t="shared" si="17"/>
        <v>2925.2353531133135</v>
      </c>
      <c r="R28" s="163">
        <f t="shared" si="18"/>
        <v>3633.1405003535733</v>
      </c>
    </row>
    <row r="29" spans="2:18" x14ac:dyDescent="0.3">
      <c r="B29" s="61" t="s">
        <v>12</v>
      </c>
      <c r="C29" s="58">
        <f>SUMIF('BP costs'!$B$7:$B$71,$B29,'BP costs'!D$7:D$71)</f>
        <v>114.880832</v>
      </c>
      <c r="D29" s="58">
        <f>SUMIF('BP costs'!$B$7:$B$71,$B29,'BP costs'!H$7:H$71)</f>
        <v>962.71785999999997</v>
      </c>
      <c r="E29" s="58">
        <f t="shared" si="12"/>
        <v>1077.598692</v>
      </c>
      <c r="F29" s="84">
        <f t="shared" si="13"/>
        <v>0.10660817691489922</v>
      </c>
      <c r="G29" s="58">
        <f>I29*Apportion!J16</f>
        <v>154.70189208625311</v>
      </c>
      <c r="H29" s="58">
        <f>I29*(1-Apportion!J16)</f>
        <v>854.33948662847547</v>
      </c>
      <c r="I29" s="58">
        <f>SUMIF('Modelled costs'!$A$7:$A$66,$B29,'Modelled costs'!$X$7:$X$66)</f>
        <v>1009.0413787147286</v>
      </c>
      <c r="J29" s="163">
        <v>2.4876942739535504</v>
      </c>
      <c r="K29" s="163">
        <v>43.876256381046446</v>
      </c>
      <c r="L29" s="163">
        <f t="shared" si="14"/>
        <v>46.363950654999996</v>
      </c>
      <c r="M29" s="169">
        <v>0</v>
      </c>
      <c r="N29" s="169">
        <v>0</v>
      </c>
      <c r="O29" s="169">
        <f t="shared" si="15"/>
        <v>0</v>
      </c>
      <c r="P29" s="163">
        <f t="shared" si="16"/>
        <v>157.18958636020665</v>
      </c>
      <c r="Q29" s="163">
        <f t="shared" si="17"/>
        <v>898.21574300952193</v>
      </c>
      <c r="R29" s="163">
        <f t="shared" si="18"/>
        <v>1055.4053293697286</v>
      </c>
    </row>
    <row r="30" spans="2:18" x14ac:dyDescent="0.3">
      <c r="B30" s="61" t="s">
        <v>8</v>
      </c>
      <c r="C30" s="58">
        <f>SUMIF('BP costs'!$B$7:$B$71,$B30,'BP costs'!D$7:D$71)</f>
        <v>110.89383536659518</v>
      </c>
      <c r="D30" s="58">
        <f>SUMIF('BP costs'!$B$7:$B$71,$B30,'BP costs'!H$7:H$71)</f>
        <v>717.5746288370517</v>
      </c>
      <c r="E30" s="58">
        <f t="shared" si="12"/>
        <v>828.46846420364693</v>
      </c>
      <c r="F30" s="84">
        <f t="shared" si="13"/>
        <v>0.13385402119462717</v>
      </c>
      <c r="G30" s="58">
        <f>I30*Apportion!J17</f>
        <v>124.70815161515864</v>
      </c>
      <c r="H30" s="58">
        <f>I30*(1-Apportion!J17)</f>
        <v>717.39853877467681</v>
      </c>
      <c r="I30" s="58">
        <f>SUMIF('Modelled costs'!$A$7:$A$66,$B30,'Modelled costs'!$X$7:$X$66)</f>
        <v>842.10669038983542</v>
      </c>
      <c r="J30" s="163">
        <v>8.3095398554496445</v>
      </c>
      <c r="K30" s="163">
        <v>35.421330891788436</v>
      </c>
      <c r="L30" s="163">
        <f t="shared" si="14"/>
        <v>43.730870747238079</v>
      </c>
      <c r="M30" s="169">
        <v>0</v>
      </c>
      <c r="N30" s="169">
        <v>0</v>
      </c>
      <c r="O30" s="169">
        <f t="shared" si="15"/>
        <v>0</v>
      </c>
      <c r="P30" s="163">
        <f t="shared" si="16"/>
        <v>133.0176914706083</v>
      </c>
      <c r="Q30" s="163">
        <f t="shared" si="17"/>
        <v>752.81986966646525</v>
      </c>
      <c r="R30" s="163">
        <f t="shared" si="18"/>
        <v>885.83756113707352</v>
      </c>
    </row>
    <row r="31" spans="2:18" x14ac:dyDescent="0.3">
      <c r="B31" s="61" t="s">
        <v>9</v>
      </c>
      <c r="C31" s="58">
        <f>SUMIF('BP costs'!$B$7:$B$71,$B31,'BP costs'!D$7:D$71)</f>
        <v>304.358</v>
      </c>
      <c r="D31" s="58">
        <f>SUMIF('BP costs'!$B$7:$B$71,$B31,'BP costs'!H$7:H$71)</f>
        <v>1527.0697099999998</v>
      </c>
      <c r="E31" s="58">
        <f t="shared" si="12"/>
        <v>1831.4277099999997</v>
      </c>
      <c r="F31" s="84">
        <f t="shared" si="13"/>
        <v>0.16618619361175879</v>
      </c>
      <c r="G31" s="58">
        <f>I31*Apportion!J18</f>
        <v>283.14897310015749</v>
      </c>
      <c r="H31" s="58">
        <f>I31*(1-Apportion!J18)</f>
        <v>1201.1239293966262</v>
      </c>
      <c r="I31" s="58">
        <f>SUMIF('Modelled costs'!$A$7:$A$66,$B31,'Modelled costs'!$X$7:$X$66)</f>
        <v>1484.2729024967837</v>
      </c>
      <c r="J31" s="163">
        <v>5.6805120162226919</v>
      </c>
      <c r="K31" s="163">
        <v>88.572246458777315</v>
      </c>
      <c r="L31" s="163">
        <f t="shared" si="14"/>
        <v>94.252758475000007</v>
      </c>
      <c r="M31" s="169">
        <v>0</v>
      </c>
      <c r="N31" s="169">
        <v>0</v>
      </c>
      <c r="O31" s="169">
        <f t="shared" si="15"/>
        <v>0</v>
      </c>
      <c r="P31" s="163">
        <f t="shared" si="16"/>
        <v>288.82948511638017</v>
      </c>
      <c r="Q31" s="163">
        <f t="shared" si="17"/>
        <v>1289.6961758554035</v>
      </c>
      <c r="R31" s="163">
        <f t="shared" si="18"/>
        <v>1578.5256609717835</v>
      </c>
    </row>
    <row r="32" spans="2:18" x14ac:dyDescent="0.3">
      <c r="B32" s="59" t="s">
        <v>13</v>
      </c>
      <c r="C32" s="78">
        <f>SUM(C21:C31)</f>
        <v>2434.7757062060564</v>
      </c>
      <c r="D32" s="78">
        <f t="shared" ref="D32:E32" si="19">SUM(D21:D31)</f>
        <v>13918.61060361944</v>
      </c>
      <c r="E32" s="78">
        <f t="shared" si="19"/>
        <v>16353.386309825495</v>
      </c>
      <c r="F32" s="105">
        <f t="shared" si="13"/>
        <v>0.14888510918030393</v>
      </c>
      <c r="G32" s="78">
        <f t="shared" ref="G32:I32" si="20">SUM(G21:G31)</f>
        <v>2663.114679199844</v>
      </c>
      <c r="H32" s="78">
        <f t="shared" si="20"/>
        <v>12554.053330723891</v>
      </c>
      <c r="I32" s="78">
        <f t="shared" si="20"/>
        <v>15217.168009923735</v>
      </c>
      <c r="J32" s="165">
        <f t="shared" ref="J32:O32" si="21">SUM(J21:J31)</f>
        <v>146.38917241982065</v>
      </c>
      <c r="K32" s="165">
        <f t="shared" si="21"/>
        <v>759.32803897162444</v>
      </c>
      <c r="L32" s="165">
        <f t="shared" si="21"/>
        <v>905.71721139144506</v>
      </c>
      <c r="M32" s="170">
        <f t="shared" si="21"/>
        <v>1.0685447640714345</v>
      </c>
      <c r="N32" s="170">
        <f t="shared" si="21"/>
        <v>11.55739344664909</v>
      </c>
      <c r="O32" s="170">
        <f t="shared" si="21"/>
        <v>12.625938210720525</v>
      </c>
      <c r="P32" s="165">
        <f t="shared" ref="P32:R32" si="22">SUM(P21:P31)</f>
        <v>2810.5723963837358</v>
      </c>
      <c r="Q32" s="165">
        <f t="shared" si="22"/>
        <v>13324.938763142167</v>
      </c>
      <c r="R32" s="165">
        <f t="shared" si="22"/>
        <v>16135.5111595259</v>
      </c>
    </row>
    <row r="34" spans="2:5" x14ac:dyDescent="0.3">
      <c r="B34" s="130" t="s">
        <v>198</v>
      </c>
    </row>
    <row r="35" spans="2:5" x14ac:dyDescent="0.3">
      <c r="C35" s="82" t="s">
        <v>36</v>
      </c>
      <c r="D35" s="83"/>
      <c r="E35" s="95"/>
    </row>
    <row r="36" spans="2:5" ht="42.65" customHeight="1" x14ac:dyDescent="0.3">
      <c r="B36" s="5" t="s">
        <v>11</v>
      </c>
      <c r="C36" s="5" t="s">
        <v>24</v>
      </c>
      <c r="D36" s="5" t="s">
        <v>85</v>
      </c>
      <c r="E36" s="5" t="s">
        <v>87</v>
      </c>
    </row>
    <row r="37" spans="2:5" x14ac:dyDescent="0.3">
      <c r="B37" s="61" t="s">
        <v>2</v>
      </c>
      <c r="C37" s="169">
        <v>1.6673574427704343</v>
      </c>
      <c r="D37" s="58">
        <v>1087.4936989950918</v>
      </c>
      <c r="E37" s="58">
        <v>1089.1610564378623</v>
      </c>
    </row>
    <row r="38" spans="2:5" x14ac:dyDescent="0.3">
      <c r="B38" s="61" t="s">
        <v>63</v>
      </c>
      <c r="C38" s="169">
        <v>0</v>
      </c>
      <c r="D38" s="58">
        <v>2.6206765702623471</v>
      </c>
      <c r="E38" s="58">
        <v>2.6206765702623471</v>
      </c>
    </row>
    <row r="39" spans="2:5" x14ac:dyDescent="0.3">
      <c r="B39" s="61" t="s">
        <v>3</v>
      </c>
      <c r="C39" s="169">
        <v>0</v>
      </c>
      <c r="D39" s="58">
        <v>282.54715715891365</v>
      </c>
      <c r="E39" s="58">
        <v>282.54715715891365</v>
      </c>
    </row>
    <row r="40" spans="2:5" x14ac:dyDescent="0.3">
      <c r="B40" s="61" t="s">
        <v>4</v>
      </c>
      <c r="C40" s="169">
        <v>0</v>
      </c>
      <c r="D40" s="58">
        <v>832.89271188250302</v>
      </c>
      <c r="E40" s="58">
        <v>832.89271188250302</v>
      </c>
    </row>
    <row r="41" spans="2:5" x14ac:dyDescent="0.3">
      <c r="B41" s="61" t="s">
        <v>5</v>
      </c>
      <c r="C41" s="169">
        <v>0</v>
      </c>
      <c r="D41" s="58">
        <v>717.19285993063249</v>
      </c>
      <c r="E41" s="58">
        <v>717.19285993063249</v>
      </c>
    </row>
    <row r="42" spans="2:5" x14ac:dyDescent="0.3">
      <c r="B42" s="61" t="s">
        <v>82</v>
      </c>
      <c r="C42" s="169">
        <v>0</v>
      </c>
      <c r="D42" s="58">
        <v>709.6477934485556</v>
      </c>
      <c r="E42" s="58">
        <v>709.6477934485556</v>
      </c>
    </row>
    <row r="43" spans="2:5" x14ac:dyDescent="0.3">
      <c r="B43" s="61" t="s">
        <v>10</v>
      </c>
      <c r="C43" s="169">
        <v>1.8939999999999999</v>
      </c>
      <c r="D43" s="58">
        <v>250.30833165275905</v>
      </c>
      <c r="E43" s="58">
        <v>252.20233165275906</v>
      </c>
    </row>
    <row r="44" spans="2:5" x14ac:dyDescent="0.3">
      <c r="B44" s="61" t="s">
        <v>7</v>
      </c>
      <c r="C44" s="169">
        <v>0</v>
      </c>
      <c r="D44" s="58">
        <v>887.88329885238306</v>
      </c>
      <c r="E44" s="58">
        <v>887.88329885238306</v>
      </c>
    </row>
    <row r="45" spans="2:5" x14ac:dyDescent="0.3">
      <c r="B45" s="61" t="s">
        <v>12</v>
      </c>
      <c r="C45" s="169">
        <v>0.76718112599917987</v>
      </c>
      <c r="D45" s="58">
        <v>296.85695654290657</v>
      </c>
      <c r="E45" s="58">
        <v>297.62413766890575</v>
      </c>
    </row>
    <row r="46" spans="2:5" x14ac:dyDescent="0.3">
      <c r="B46" s="61" t="s">
        <v>8</v>
      </c>
      <c r="C46" s="169">
        <v>4.1652764028861107</v>
      </c>
      <c r="D46" s="58">
        <v>483.8259481999637</v>
      </c>
      <c r="E46" s="58">
        <v>487.9912246028498</v>
      </c>
    </row>
    <row r="47" spans="2:5" x14ac:dyDescent="0.3">
      <c r="B47" s="61" t="s">
        <v>9</v>
      </c>
      <c r="C47" s="169">
        <v>0.16600000000000001</v>
      </c>
      <c r="D47" s="58">
        <v>805.4072714191326</v>
      </c>
      <c r="E47" s="58">
        <v>805.57327141913265</v>
      </c>
    </row>
    <row r="48" spans="2:5" x14ac:dyDescent="0.3">
      <c r="B48" s="59" t="s">
        <v>13</v>
      </c>
      <c r="C48" s="170">
        <f t="shared" ref="C48:E48" si="23">SUM(C37:C47)</f>
        <v>8.6598149716557256</v>
      </c>
      <c r="D48" s="78">
        <f t="shared" si="23"/>
        <v>6356.676704653104</v>
      </c>
      <c r="E48" s="78">
        <f t="shared" si="23"/>
        <v>6365.3365196247596</v>
      </c>
    </row>
    <row r="50" spans="2:5" x14ac:dyDescent="0.3">
      <c r="B50" s="130" t="s">
        <v>201</v>
      </c>
    </row>
    <row r="51" spans="2:5" x14ac:dyDescent="0.3">
      <c r="C51" s="82" t="s">
        <v>200</v>
      </c>
      <c r="D51" s="83"/>
      <c r="E51" s="95"/>
    </row>
    <row r="52" spans="2:5" ht="26" x14ac:dyDescent="0.3">
      <c r="C52" s="5" t="s">
        <v>24</v>
      </c>
      <c r="D52" s="5" t="s">
        <v>85</v>
      </c>
      <c r="E52" s="5" t="s">
        <v>87</v>
      </c>
    </row>
    <row r="53" spans="2:5" x14ac:dyDescent="0.3">
      <c r="B53" s="61" t="s">
        <v>2</v>
      </c>
      <c r="C53" s="58"/>
      <c r="D53" s="58"/>
      <c r="E53" s="58"/>
    </row>
    <row r="54" spans="2:5" x14ac:dyDescent="0.3">
      <c r="B54" s="61" t="s">
        <v>63</v>
      </c>
      <c r="C54" s="58"/>
      <c r="D54" s="58"/>
      <c r="E54" s="58"/>
    </row>
    <row r="55" spans="2:5" x14ac:dyDescent="0.3">
      <c r="B55" s="61" t="s">
        <v>3</v>
      </c>
      <c r="C55" s="58"/>
      <c r="D55" s="58"/>
      <c r="E55" s="58"/>
    </row>
    <row r="56" spans="2:5" x14ac:dyDescent="0.3">
      <c r="B56" s="61" t="s">
        <v>4</v>
      </c>
      <c r="C56" s="58"/>
      <c r="D56" s="58"/>
      <c r="E56" s="58"/>
    </row>
    <row r="57" spans="2:5" x14ac:dyDescent="0.3">
      <c r="B57" s="61" t="s">
        <v>5</v>
      </c>
      <c r="C57" s="58"/>
      <c r="D57" s="58"/>
      <c r="E57" s="58"/>
    </row>
    <row r="58" spans="2:5" x14ac:dyDescent="0.3">
      <c r="B58" s="61" t="s">
        <v>82</v>
      </c>
      <c r="C58" s="58"/>
      <c r="D58" s="58"/>
      <c r="E58" s="58"/>
    </row>
    <row r="59" spans="2:5" x14ac:dyDescent="0.3">
      <c r="B59" s="61" t="s">
        <v>10</v>
      </c>
      <c r="C59" s="58"/>
      <c r="D59" s="58"/>
      <c r="E59" s="58"/>
    </row>
    <row r="60" spans="2:5" x14ac:dyDescent="0.3">
      <c r="B60" s="61" t="s">
        <v>7</v>
      </c>
      <c r="C60" s="58"/>
      <c r="D60" s="58"/>
      <c r="E60" s="58"/>
    </row>
    <row r="61" spans="2:5" x14ac:dyDescent="0.3">
      <c r="B61" s="61" t="s">
        <v>12</v>
      </c>
      <c r="C61" s="58"/>
      <c r="D61" s="58"/>
      <c r="E61" s="58"/>
    </row>
    <row r="62" spans="2:5" x14ac:dyDescent="0.3">
      <c r="B62" s="61" t="s">
        <v>8</v>
      </c>
      <c r="C62" s="58"/>
      <c r="D62" s="58"/>
      <c r="E62" s="58"/>
    </row>
    <row r="63" spans="2:5" x14ac:dyDescent="0.3">
      <c r="B63" s="61" t="s">
        <v>9</v>
      </c>
      <c r="C63" s="58"/>
      <c r="D63" s="58"/>
      <c r="E63" s="58"/>
    </row>
    <row r="64" spans="2:5" x14ac:dyDescent="0.3">
      <c r="B64" s="59" t="s">
        <v>13</v>
      </c>
      <c r="C64" s="78">
        <f t="shared" ref="C64:E64" si="24">SUM(C53:C63)</f>
        <v>0</v>
      </c>
      <c r="D64" s="78">
        <f t="shared" si="24"/>
        <v>0</v>
      </c>
      <c r="E64" s="78">
        <f t="shared" si="24"/>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L32"/>
  <sheetViews>
    <sheetView showGridLines="0" zoomScale="80" zoomScaleNormal="80" workbookViewId="0">
      <selection activeCell="E14" sqref="E14"/>
    </sheetView>
  </sheetViews>
  <sheetFormatPr defaultColWidth="9" defaultRowHeight="13" x14ac:dyDescent="0.3"/>
  <cols>
    <col min="1" max="1" width="2.9140625" style="14" customWidth="1"/>
    <col min="2" max="2" width="10.6640625" style="14" customWidth="1"/>
    <col min="3" max="3" width="10" style="14" customWidth="1"/>
    <col min="4" max="4" width="9.5" style="14" customWidth="1"/>
    <col min="5" max="5" width="11.58203125" style="14" bestFit="1" customWidth="1"/>
    <col min="6" max="6" width="11.4140625" style="14" customWidth="1"/>
    <col min="7" max="8" width="9" style="14"/>
    <col min="9" max="9" width="10" style="14" customWidth="1"/>
    <col min="10" max="16384" width="9" style="14"/>
  </cols>
  <sheetData>
    <row r="3" spans="1:12" x14ac:dyDescent="0.3">
      <c r="B3" s="13" t="s">
        <v>68</v>
      </c>
    </row>
    <row r="4" spans="1:12" x14ac:dyDescent="0.3">
      <c r="E4" s="14" t="s">
        <v>69</v>
      </c>
    </row>
    <row r="5" spans="1:12" ht="13.5" customHeight="1" x14ac:dyDescent="0.3">
      <c r="B5" s="15" t="s">
        <v>70</v>
      </c>
      <c r="C5" s="16"/>
      <c r="D5" s="17"/>
      <c r="E5" s="85">
        <v>0.96335172619962073</v>
      </c>
      <c r="G5" s="21"/>
      <c r="H5" s="21"/>
      <c r="I5" s="21"/>
      <c r="J5" s="146"/>
      <c r="K5" s="21"/>
      <c r="L5" s="21"/>
    </row>
    <row r="6" spans="1:12" ht="13.5" customHeight="1" x14ac:dyDescent="0.3">
      <c r="B6" s="15" t="s">
        <v>71</v>
      </c>
      <c r="C6" s="16"/>
      <c r="D6" s="17"/>
      <c r="E6" s="145">
        <f>'Modelled costs'!AC20</f>
        <v>0.97445542643976113</v>
      </c>
      <c r="G6" s="21"/>
      <c r="H6" s="21"/>
      <c r="I6" s="21"/>
      <c r="J6" s="146"/>
      <c r="K6" s="21"/>
      <c r="L6" s="21"/>
    </row>
    <row r="7" spans="1:12" ht="13.5" customHeight="1" x14ac:dyDescent="0.3">
      <c r="B7" s="15" t="s">
        <v>73</v>
      </c>
      <c r="C7" s="16"/>
      <c r="D7" s="17"/>
      <c r="E7" s="18">
        <v>0</v>
      </c>
      <c r="G7" s="21"/>
      <c r="H7" s="21"/>
      <c r="I7" s="21"/>
      <c r="J7" s="146"/>
      <c r="K7" s="21"/>
      <c r="L7" s="21"/>
    </row>
    <row r="8" spans="1:12" ht="14.25" customHeight="1" x14ac:dyDescent="0.3">
      <c r="B8" s="15" t="s">
        <v>72</v>
      </c>
      <c r="C8" s="16"/>
      <c r="D8" s="17"/>
      <c r="E8" s="18">
        <v>0.01</v>
      </c>
      <c r="G8" s="21"/>
      <c r="H8" s="21"/>
      <c r="I8" s="21"/>
      <c r="J8" s="147"/>
      <c r="K8" s="21"/>
      <c r="L8" s="21"/>
    </row>
    <row r="9" spans="1:12" x14ac:dyDescent="0.3">
      <c r="B9" s="15" t="s">
        <v>79</v>
      </c>
      <c r="C9" s="16"/>
      <c r="D9" s="17"/>
      <c r="E9" s="47">
        <v>5.0000000000000001E-3</v>
      </c>
      <c r="G9" s="21"/>
      <c r="H9" s="21"/>
      <c r="I9" s="21"/>
      <c r="J9" s="147"/>
      <c r="K9" s="21"/>
      <c r="L9" s="21"/>
    </row>
    <row r="10" spans="1:12" x14ac:dyDescent="0.3">
      <c r="G10" s="21"/>
      <c r="H10" s="21"/>
      <c r="I10" s="21"/>
      <c r="J10" s="48"/>
      <c r="K10" s="21"/>
      <c r="L10" s="21"/>
    </row>
    <row r="11" spans="1:12" x14ac:dyDescent="0.3">
      <c r="G11" s="21"/>
      <c r="H11" s="21"/>
      <c r="I11" s="21"/>
      <c r="J11" s="48"/>
    </row>
    <row r="12" spans="1:12" x14ac:dyDescent="0.3">
      <c r="B12" s="13"/>
      <c r="E12" s="14" t="s">
        <v>80</v>
      </c>
      <c r="G12" s="21"/>
      <c r="H12" s="21"/>
      <c r="I12" s="21"/>
      <c r="J12" s="48"/>
    </row>
    <row r="13" spans="1:12" x14ac:dyDescent="0.3">
      <c r="E13" s="19" t="s">
        <v>69</v>
      </c>
      <c r="G13" s="21"/>
      <c r="H13" s="21"/>
      <c r="I13" s="21"/>
      <c r="J13" s="48"/>
    </row>
    <row r="14" spans="1:12" x14ac:dyDescent="0.3">
      <c r="B14" s="15" t="str">
        <f>IF($E$13="Historical",$B$5,$B$6)</f>
        <v>Within sector catch-up - historical</v>
      </c>
      <c r="C14" s="16"/>
      <c r="D14" s="17"/>
      <c r="E14" s="85">
        <f>IF($E$13="Historical",$E$5,E6)</f>
        <v>0.96335172619962073</v>
      </c>
      <c r="G14" s="21"/>
      <c r="H14" s="21"/>
      <c r="I14" s="21"/>
      <c r="J14" s="48"/>
    </row>
    <row r="15" spans="1:12" ht="52" x14ac:dyDescent="0.3">
      <c r="B15" s="6" t="s">
        <v>81</v>
      </c>
      <c r="C15" s="148" t="s">
        <v>72</v>
      </c>
      <c r="D15" s="148" t="s">
        <v>79</v>
      </c>
      <c r="E15" s="148" t="s">
        <v>104</v>
      </c>
      <c r="G15" s="21"/>
      <c r="H15" s="21"/>
      <c r="I15" s="21"/>
      <c r="J15" s="48"/>
    </row>
    <row r="16" spans="1:12" x14ac:dyDescent="0.3">
      <c r="A16" s="19">
        <v>1</v>
      </c>
      <c r="B16" s="7">
        <v>2021</v>
      </c>
      <c r="C16" s="49">
        <f>IF($E$13="Historical",(1+$E$8)^$A16-1,0)</f>
        <v>1.0000000000000009E-2</v>
      </c>
      <c r="D16" s="49">
        <f>IF($E$13="Historical",(1+$E$9)^$A16-1,0)</f>
        <v>4.9999999999998934E-3</v>
      </c>
      <c r="E16" s="49">
        <f>C16+D16</f>
        <v>1.4999999999999902E-2</v>
      </c>
      <c r="G16" s="21"/>
      <c r="H16" s="21"/>
      <c r="I16" s="21"/>
      <c r="J16" s="48"/>
    </row>
    <row r="17" spans="1:10" x14ac:dyDescent="0.3">
      <c r="A17" s="19">
        <v>2</v>
      </c>
      <c r="B17" s="7">
        <v>2022</v>
      </c>
      <c r="C17" s="49">
        <f>IF($E$13="Historical",(1+$E$8)^$A17-1,0)</f>
        <v>2.0100000000000007E-2</v>
      </c>
      <c r="D17" s="49">
        <f>IF($E$13="Historical",(1+$E$9)^$A17-1,0)</f>
        <v>1.0024999999999729E-2</v>
      </c>
      <c r="E17" s="49">
        <f t="shared" ref="E17:E20" si="0">C17+D17</f>
        <v>3.0124999999999735E-2</v>
      </c>
      <c r="G17" s="21"/>
      <c r="H17" s="21"/>
      <c r="I17" s="21"/>
      <c r="J17" s="48"/>
    </row>
    <row r="18" spans="1:10" x14ac:dyDescent="0.3">
      <c r="A18" s="19">
        <v>3</v>
      </c>
      <c r="B18" s="7">
        <v>2023</v>
      </c>
      <c r="C18" s="49">
        <f>IF($E$13="Historical",(1+$E$8)^$A18-1,0)</f>
        <v>3.0300999999999911E-2</v>
      </c>
      <c r="D18" s="49">
        <f>IF($E$13="Historical",(1+$E$9)^$A18-1,0)</f>
        <v>1.5075124999999634E-2</v>
      </c>
      <c r="E18" s="49">
        <f t="shared" si="0"/>
        <v>4.5376124999999545E-2</v>
      </c>
      <c r="G18" s="21"/>
      <c r="H18" s="21"/>
      <c r="I18" s="21"/>
      <c r="J18" s="48"/>
    </row>
    <row r="19" spans="1:10" x14ac:dyDescent="0.3">
      <c r="A19" s="19">
        <v>4</v>
      </c>
      <c r="B19" s="7">
        <v>2024</v>
      </c>
      <c r="C19" s="49">
        <f>IF($E$13="Historical",(1+$E$8)^$A19-1,0)</f>
        <v>4.0604010000000024E-2</v>
      </c>
      <c r="D19" s="49">
        <f>IF($E$13="Historical",(1+$E$9)^$A19-1,0)</f>
        <v>2.0150500624999346E-2</v>
      </c>
      <c r="E19" s="49">
        <f t="shared" si="0"/>
        <v>6.0754510624999369E-2</v>
      </c>
      <c r="G19" s="21"/>
      <c r="H19" s="21"/>
      <c r="I19" s="21"/>
      <c r="J19" s="48"/>
    </row>
    <row r="20" spans="1:10" x14ac:dyDescent="0.3">
      <c r="A20" s="19">
        <v>5</v>
      </c>
      <c r="B20" s="7">
        <v>2025</v>
      </c>
      <c r="C20" s="49">
        <f>IF($E$13="Historical",(1+$E$8)^$A20-1,0)</f>
        <v>5.1010050099999926E-2</v>
      </c>
      <c r="D20" s="49">
        <f>IF($E$13="Historical",(1+$E$9)^$A20-1,0)</f>
        <v>2.5251253128124151E-2</v>
      </c>
      <c r="E20" s="49">
        <f t="shared" si="0"/>
        <v>7.6261303228124078E-2</v>
      </c>
      <c r="G20" s="21"/>
      <c r="H20" s="21"/>
      <c r="I20" s="21"/>
      <c r="J20" s="48"/>
    </row>
    <row r="22" spans="1:10" x14ac:dyDescent="0.3">
      <c r="B22" s="13" t="s">
        <v>74</v>
      </c>
      <c r="F22" s="13" t="s">
        <v>75</v>
      </c>
    </row>
    <row r="23" spans="1:10" x14ac:dyDescent="0.3">
      <c r="B23" s="13"/>
    </row>
    <row r="24" spans="1:10" x14ac:dyDescent="0.3">
      <c r="B24" s="19" t="s">
        <v>16</v>
      </c>
      <c r="C24" s="86">
        <v>0.5</v>
      </c>
      <c r="D24" s="20" t="s">
        <v>161</v>
      </c>
      <c r="F24" s="19" t="s">
        <v>88</v>
      </c>
      <c r="G24" s="86">
        <v>0.5</v>
      </c>
      <c r="H24" s="20" t="s">
        <v>161</v>
      </c>
    </row>
    <row r="25" spans="1:10" x14ac:dyDescent="0.3">
      <c r="B25" s="19" t="s">
        <v>17</v>
      </c>
      <c r="C25" s="86">
        <v>0.5</v>
      </c>
      <c r="D25" s="20" t="s">
        <v>161</v>
      </c>
      <c r="F25" s="19" t="s">
        <v>89</v>
      </c>
      <c r="G25" s="86">
        <v>0.5</v>
      </c>
      <c r="H25" s="20" t="s">
        <v>161</v>
      </c>
    </row>
    <row r="26" spans="1:10" x14ac:dyDescent="0.3">
      <c r="B26" s="19" t="s">
        <v>21</v>
      </c>
      <c r="C26" s="86">
        <v>0.5</v>
      </c>
      <c r="D26" s="20" t="s">
        <v>161</v>
      </c>
    </row>
    <row r="27" spans="1:10" x14ac:dyDescent="0.3">
      <c r="B27" s="19" t="s">
        <v>22</v>
      </c>
      <c r="C27" s="86">
        <v>0.5</v>
      </c>
      <c r="D27" s="20" t="s">
        <v>161</v>
      </c>
    </row>
    <row r="28" spans="1:10" x14ac:dyDescent="0.3">
      <c r="B28" s="19" t="s">
        <v>25</v>
      </c>
      <c r="C28" s="86">
        <v>0.5</v>
      </c>
      <c r="D28" s="20" t="s">
        <v>161</v>
      </c>
    </row>
    <row r="29" spans="1:10" x14ac:dyDescent="0.3">
      <c r="B29" s="19" t="s">
        <v>26</v>
      </c>
      <c r="C29" s="86">
        <v>0.5</v>
      </c>
      <c r="D29" s="20" t="s">
        <v>161</v>
      </c>
    </row>
    <row r="30" spans="1:10" x14ac:dyDescent="0.3">
      <c r="B30" s="19" t="s">
        <v>28</v>
      </c>
      <c r="C30" s="86">
        <v>0.5</v>
      </c>
      <c r="D30" s="20" t="s">
        <v>161</v>
      </c>
    </row>
    <row r="31" spans="1:10" x14ac:dyDescent="0.3">
      <c r="B31" s="19" t="s">
        <v>29</v>
      </c>
      <c r="C31" s="86">
        <v>0.5</v>
      </c>
      <c r="D31" s="20" t="s">
        <v>161</v>
      </c>
    </row>
    <row r="32" spans="1:10" x14ac:dyDescent="0.3">
      <c r="B32" s="21"/>
      <c r="C32" s="22"/>
      <c r="D32" s="23"/>
    </row>
  </sheetData>
  <conditionalFormatting sqref="D24:D32">
    <cfRule type="expression" dxfId="9" priority="9">
      <formula>D24="error"</formula>
    </cfRule>
    <cfRule type="expression" dxfId="8" priority="10">
      <formula>D24="OK"</formula>
    </cfRule>
  </conditionalFormatting>
  <conditionalFormatting sqref="H24:H25">
    <cfRule type="expression" dxfId="7" priority="3">
      <formula>H24="error"</formula>
    </cfRule>
    <cfRule type="expression" dxfId="6" priority="4">
      <formula>H24="OK"</formula>
    </cfRule>
  </conditionalFormatting>
  <conditionalFormatting sqref="H24:H25">
    <cfRule type="expression" dxfId="5" priority="5">
      <formula>H24="error"</formula>
    </cfRule>
    <cfRule type="expression" dxfId="4" priority="6">
      <formula>H24="OK"</formula>
    </cfRule>
  </conditionalFormatting>
  <conditionalFormatting sqref="C24:C31">
    <cfRule type="cellIs" dxfId="3" priority="2" operator="equal">
      <formula>0</formula>
    </cfRule>
  </conditionalFormatting>
  <conditionalFormatting sqref="G24:G25">
    <cfRule type="cellIs" dxfId="2" priority="1" operator="equal">
      <formula>0</formula>
    </cfRule>
  </conditionalFormatting>
  <dataValidations count="1">
    <dataValidation type="list" allowBlank="1" showInputMessage="1" showErrorMessage="1" sqref="E4 E13">
      <formula1>"Forward looking, Historical"</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
  <sheetViews>
    <sheetView showGridLines="0" workbookViewId="0"/>
  </sheetViews>
  <sheetFormatPr defaultRowHeight="14" x14ac:dyDescent="0.3"/>
  <sheetData>
    <row r="1" spans="1:1" x14ac:dyDescent="0.3">
      <c r="A1"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W71"/>
  <sheetViews>
    <sheetView showGridLines="0"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9" defaultRowHeight="13" x14ac:dyDescent="0.3"/>
  <cols>
    <col min="1" max="3" width="9" style="8"/>
    <col min="4" max="4" width="10.4140625" style="8" customWidth="1"/>
    <col min="5" max="5" width="9.58203125" style="8" bestFit="1" customWidth="1"/>
    <col min="6" max="6" width="9.6640625" style="8" bestFit="1" customWidth="1"/>
    <col min="7" max="7" width="9.4140625" style="8" bestFit="1" customWidth="1"/>
    <col min="8" max="9" width="9" style="8"/>
    <col min="10" max="10" width="10.9140625" style="8" customWidth="1"/>
    <col min="11" max="11" width="11" style="8" customWidth="1"/>
    <col min="12" max="12" width="10.5" style="8" customWidth="1"/>
    <col min="13" max="13" width="12.9140625" style="8" customWidth="1"/>
    <col min="14" max="17" width="10.9140625" style="8" customWidth="1"/>
    <col min="18" max="21" width="11.58203125" style="8" customWidth="1"/>
    <col min="22" max="29" width="11" style="8" customWidth="1"/>
    <col min="30" max="35" width="12.6640625" style="8" customWidth="1"/>
    <col min="36" max="16384" width="9" style="8"/>
  </cols>
  <sheetData>
    <row r="1" spans="1:49" ht="15.5" x14ac:dyDescent="0.35">
      <c r="A1" s="65" t="s">
        <v>98</v>
      </c>
    </row>
    <row r="2" spans="1:49" x14ac:dyDescent="0.3">
      <c r="A2" s="96" t="s">
        <v>191</v>
      </c>
    </row>
    <row r="3" spans="1:49" ht="31.5" customHeight="1" x14ac:dyDescent="0.3">
      <c r="D3" s="29"/>
      <c r="E3" s="29"/>
      <c r="F3" s="29"/>
      <c r="G3" s="14"/>
      <c r="H3" s="14"/>
      <c r="I3" s="14"/>
      <c r="J3" s="14"/>
      <c r="K3" s="14"/>
      <c r="L3" s="14"/>
      <c r="M3" s="14"/>
      <c r="N3" s="14"/>
      <c r="O3" s="14"/>
      <c r="P3" s="14"/>
      <c r="Q3" s="14"/>
      <c r="R3" s="14"/>
      <c r="S3" s="14"/>
      <c r="T3" s="14"/>
      <c r="U3" s="14"/>
      <c r="V3" s="14"/>
      <c r="W3" s="14"/>
      <c r="X3" s="14"/>
      <c r="Y3" s="14"/>
      <c r="Z3" s="14"/>
      <c r="AA3" s="14"/>
      <c r="AB3" s="14"/>
      <c r="AC3" s="14"/>
      <c r="AD3" s="131"/>
      <c r="AE3" s="131"/>
      <c r="AF3" s="131"/>
      <c r="AG3" s="131"/>
      <c r="AH3" s="131"/>
      <c r="AI3" s="131"/>
    </row>
    <row r="4" spans="1:49" s="10" customFormat="1" ht="41.15" customHeight="1" x14ac:dyDescent="0.3">
      <c r="D4" s="109" t="s">
        <v>90</v>
      </c>
      <c r="E4" s="109"/>
      <c r="F4" s="109"/>
      <c r="G4" s="109"/>
      <c r="H4" s="109"/>
      <c r="I4" s="109"/>
      <c r="J4" s="111" t="s">
        <v>115</v>
      </c>
      <c r="K4" s="111"/>
      <c r="L4" s="111"/>
      <c r="M4" s="111"/>
      <c r="N4" s="111"/>
      <c r="O4" s="111"/>
      <c r="P4" s="111"/>
      <c r="Q4" s="111"/>
      <c r="R4" s="111"/>
      <c r="S4" s="111"/>
      <c r="T4" s="111"/>
      <c r="U4" s="111"/>
      <c r="V4" s="111"/>
      <c r="W4" s="111"/>
      <c r="X4" s="111"/>
      <c r="Y4" s="111"/>
      <c r="Z4" s="111"/>
      <c r="AA4" s="111"/>
      <c r="AB4" s="111"/>
      <c r="AC4" s="111"/>
      <c r="AD4" s="116" t="s">
        <v>156</v>
      </c>
      <c r="AE4" s="110"/>
      <c r="AF4" s="110"/>
      <c r="AG4" s="110"/>
      <c r="AH4" s="110"/>
      <c r="AI4" s="110"/>
    </row>
    <row r="5" spans="1:49" ht="26" x14ac:dyDescent="0.3">
      <c r="D5" s="50" t="s">
        <v>57</v>
      </c>
      <c r="E5" s="50" t="s">
        <v>55</v>
      </c>
      <c r="F5" s="50" t="s">
        <v>54</v>
      </c>
      <c r="G5" s="50" t="s">
        <v>58</v>
      </c>
      <c r="H5" s="50" t="s">
        <v>56</v>
      </c>
      <c r="I5" s="50" t="s">
        <v>59</v>
      </c>
      <c r="J5" s="112" t="s">
        <v>136</v>
      </c>
      <c r="K5" s="112" t="s">
        <v>137</v>
      </c>
      <c r="L5" s="112" t="s">
        <v>138</v>
      </c>
      <c r="M5" s="112" t="s">
        <v>139</v>
      </c>
      <c r="N5" s="112" t="s">
        <v>140</v>
      </c>
      <c r="O5" s="112" t="s">
        <v>141</v>
      </c>
      <c r="P5" s="112" t="s">
        <v>142</v>
      </c>
      <c r="Q5" s="112" t="s">
        <v>143</v>
      </c>
      <c r="R5" s="112" t="s">
        <v>144</v>
      </c>
      <c r="S5" s="112" t="s">
        <v>145</v>
      </c>
      <c r="T5" s="112" t="s">
        <v>146</v>
      </c>
      <c r="U5" s="112" t="s">
        <v>147</v>
      </c>
      <c r="V5" s="112" t="s">
        <v>152</v>
      </c>
      <c r="W5" s="112" t="s">
        <v>153</v>
      </c>
      <c r="X5" s="112" t="s">
        <v>154</v>
      </c>
      <c r="Y5" s="112" t="s">
        <v>155</v>
      </c>
      <c r="Z5" s="112" t="s">
        <v>148</v>
      </c>
      <c r="AA5" s="112" t="s">
        <v>149</v>
      </c>
      <c r="AB5" s="112" t="s">
        <v>150</v>
      </c>
      <c r="AC5" s="112" t="s">
        <v>151</v>
      </c>
      <c r="AD5" s="100" t="s">
        <v>99</v>
      </c>
      <c r="AE5" s="100" t="s">
        <v>113</v>
      </c>
      <c r="AF5" s="100" t="s">
        <v>111</v>
      </c>
      <c r="AG5" s="100" t="s">
        <v>112</v>
      </c>
      <c r="AH5" s="100" t="s">
        <v>112</v>
      </c>
      <c r="AI5" s="100" t="s">
        <v>112</v>
      </c>
      <c r="AL5" s="102" t="s">
        <v>90</v>
      </c>
      <c r="AM5" s="102"/>
      <c r="AN5" s="102"/>
      <c r="AO5" s="102"/>
      <c r="AP5" s="102"/>
      <c r="AQ5" s="102"/>
      <c r="AR5" s="99" t="s">
        <v>105</v>
      </c>
      <c r="AS5" s="99"/>
      <c r="AT5" s="99"/>
      <c r="AU5" s="99"/>
      <c r="AV5" s="99"/>
      <c r="AW5" s="99"/>
    </row>
    <row r="6" spans="1:49" ht="78" x14ac:dyDescent="0.3">
      <c r="A6" s="72" t="s">
        <v>96</v>
      </c>
      <c r="B6" s="72" t="s">
        <v>11</v>
      </c>
      <c r="C6" s="94" t="s">
        <v>81</v>
      </c>
      <c r="D6" s="30" t="s">
        <v>24</v>
      </c>
      <c r="E6" s="30" t="s">
        <v>84</v>
      </c>
      <c r="F6" s="30" t="s">
        <v>83</v>
      </c>
      <c r="G6" s="30" t="s">
        <v>86</v>
      </c>
      <c r="H6" s="30" t="s">
        <v>85</v>
      </c>
      <c r="I6" s="30" t="s">
        <v>87</v>
      </c>
      <c r="J6" s="113" t="s">
        <v>116</v>
      </c>
      <c r="K6" s="113" t="s">
        <v>117</v>
      </c>
      <c r="L6" s="113" t="s">
        <v>118</v>
      </c>
      <c r="M6" s="113" t="s">
        <v>119</v>
      </c>
      <c r="N6" s="113" t="s">
        <v>120</v>
      </c>
      <c r="O6" s="113" t="s">
        <v>121</v>
      </c>
      <c r="P6" s="113" t="s">
        <v>122</v>
      </c>
      <c r="Q6" s="113" t="s">
        <v>123</v>
      </c>
      <c r="R6" s="113" t="s">
        <v>124</v>
      </c>
      <c r="S6" s="113" t="s">
        <v>125</v>
      </c>
      <c r="T6" s="113" t="s">
        <v>126</v>
      </c>
      <c r="U6" s="113" t="s">
        <v>127</v>
      </c>
      <c r="V6" s="113" t="s">
        <v>128</v>
      </c>
      <c r="W6" s="113" t="s">
        <v>129</v>
      </c>
      <c r="X6" s="113" t="s">
        <v>130</v>
      </c>
      <c r="Y6" s="113" t="s">
        <v>131</v>
      </c>
      <c r="Z6" s="113" t="s">
        <v>132</v>
      </c>
      <c r="AA6" s="113" t="s">
        <v>133</v>
      </c>
      <c r="AB6" s="113" t="s">
        <v>134</v>
      </c>
      <c r="AC6" s="113" t="s">
        <v>135</v>
      </c>
      <c r="AD6" s="101" t="s">
        <v>24</v>
      </c>
      <c r="AE6" s="101" t="s">
        <v>84</v>
      </c>
      <c r="AF6" s="101" t="s">
        <v>83</v>
      </c>
      <c r="AG6" s="101" t="s">
        <v>86</v>
      </c>
      <c r="AH6" s="101" t="s">
        <v>85</v>
      </c>
      <c r="AI6" s="101" t="s">
        <v>87</v>
      </c>
      <c r="AL6" s="30" t="s">
        <v>24</v>
      </c>
      <c r="AM6" s="30" t="s">
        <v>84</v>
      </c>
      <c r="AN6" s="30" t="s">
        <v>83</v>
      </c>
      <c r="AO6" s="30" t="s">
        <v>86</v>
      </c>
      <c r="AP6" s="30" t="s">
        <v>85</v>
      </c>
      <c r="AQ6" s="30" t="s">
        <v>87</v>
      </c>
      <c r="AR6" s="101" t="s">
        <v>24</v>
      </c>
      <c r="AS6" s="101" t="s">
        <v>84</v>
      </c>
      <c r="AT6" s="101" t="s">
        <v>83</v>
      </c>
      <c r="AU6" s="101" t="s">
        <v>86</v>
      </c>
      <c r="AV6" s="101" t="s">
        <v>85</v>
      </c>
      <c r="AW6" s="101" t="s">
        <v>87</v>
      </c>
    </row>
    <row r="7" spans="1:49" x14ac:dyDescent="0.3">
      <c r="A7" s="4" t="str">
        <f>B7&amp;RIGHT(C7,2)</f>
        <v>ANH21</v>
      </c>
      <c r="B7" s="4" t="str">
        <f>'Forecast drivers'!B8</f>
        <v>ANH</v>
      </c>
      <c r="C7" s="4">
        <f>'Forecast drivers'!C8</f>
        <v>2021</v>
      </c>
      <c r="D7" s="46">
        <v>90.900140995094105</v>
      </c>
      <c r="E7" s="46">
        <v>211.76598608556199</v>
      </c>
      <c r="F7" s="46">
        <v>132.71063198934092</v>
      </c>
      <c r="G7" s="46">
        <v>302.66612708065611</v>
      </c>
      <c r="H7" s="46">
        <v>344.47661807490294</v>
      </c>
      <c r="I7" s="46">
        <v>435.37675906999704</v>
      </c>
      <c r="J7" s="114">
        <v>0</v>
      </c>
      <c r="K7" s="114">
        <v>0</v>
      </c>
      <c r="L7" s="114">
        <v>27.1233909853282</v>
      </c>
      <c r="M7" s="114">
        <v>1.9321720470395201</v>
      </c>
      <c r="N7" s="114">
        <v>0.91200000000000003</v>
      </c>
      <c r="O7" s="114">
        <v>0</v>
      </c>
      <c r="P7" s="114">
        <v>0</v>
      </c>
      <c r="Q7" s="114">
        <v>2.9618924792941099</v>
      </c>
      <c r="R7" s="114">
        <v>1.4E-2</v>
      </c>
      <c r="S7" s="114">
        <v>0</v>
      </c>
      <c r="T7" s="114">
        <v>0</v>
      </c>
      <c r="U7" s="114">
        <v>0.901578415351171</v>
      </c>
      <c r="V7" s="114">
        <v>0.43099999999999999</v>
      </c>
      <c r="W7" s="114">
        <v>0</v>
      </c>
      <c r="X7" s="114">
        <v>0</v>
      </c>
      <c r="Y7" s="114">
        <v>0.64398458239369305</v>
      </c>
      <c r="Z7" s="114">
        <v>3.9E-2</v>
      </c>
      <c r="AA7" s="114">
        <v>0</v>
      </c>
      <c r="AB7" s="114">
        <v>0</v>
      </c>
      <c r="AC7" s="114">
        <v>0.38639074943621599</v>
      </c>
      <c r="AD7" s="104">
        <v>99.684057173253734</v>
      </c>
      <c r="AE7" s="104">
        <v>284.10783392686886</v>
      </c>
      <c r="AF7" s="104">
        <v>186.61323566645166</v>
      </c>
      <c r="AG7" s="104">
        <f>AD7+AE7</f>
        <v>383.7918911001226</v>
      </c>
      <c r="AH7" s="104">
        <f>AE7+AF7</f>
        <v>470.72106959332052</v>
      </c>
      <c r="AI7" s="104">
        <f>AD7+AE7+AF7</f>
        <v>570.40512676657431</v>
      </c>
      <c r="AJ7" s="106"/>
      <c r="AK7" s="61" t="s">
        <v>2</v>
      </c>
      <c r="AL7" s="58">
        <f t="shared" ref="AL7:AL17" si="0">SUMIFS(D$7:D$71,$B$7:$B$71,$AK7)</f>
        <v>442.21718503969583</v>
      </c>
      <c r="AM7" s="58">
        <f t="shared" ref="AM7:AM17" si="1">SUMIFS(E$7:E$71,$B$7:$B$71,$AK7)</f>
        <v>939.06682451907773</v>
      </c>
      <c r="AN7" s="58">
        <f t="shared" ref="AN7:AN17" si="2">SUMIFS(F$7:F$71,$B$7:$B$71,$AK7)</f>
        <v>651.70283181887601</v>
      </c>
      <c r="AO7" s="58">
        <f t="shared" ref="AO7:AO17" si="3">SUMIFS(G$7:G$71,$B$7:$B$71,$AK7)</f>
        <v>1381.2840095587735</v>
      </c>
      <c r="AP7" s="58">
        <f t="shared" ref="AP7:AP17" si="4">SUMIFS(H$7:H$71,$B$7:$B$71,$AK7)</f>
        <v>1590.7696563379536</v>
      </c>
      <c r="AQ7" s="58">
        <f t="shared" ref="AQ7:AQ17" si="5">SUMIFS(I$7:I$71,$B$7:$B$71,$AK7)</f>
        <v>2032.9868413776496</v>
      </c>
      <c r="AR7" s="58">
        <f t="shared" ref="AR7:AR17" si="6">SUMIFS(AD$7:AD$71,$B$7:$B$71,$AK7)</f>
        <v>488.63268788237093</v>
      </c>
      <c r="AS7" s="58">
        <f t="shared" ref="AS7:AS17" si="7">SUMIFS(AE$7:AE$71,$B$7:$B$71,$AK7)</f>
        <v>1937.5920738950363</v>
      </c>
      <c r="AT7" s="58">
        <f t="shared" ref="AT7:AT17" si="8">SUMIFS(AF$7:AF$71,$B$7:$B$71,$AK7)</f>
        <v>1011.9025480071358</v>
      </c>
      <c r="AU7" s="58">
        <f t="shared" ref="AU7:AU17" si="9">SUMIFS(AG$7:AG$71,$B$7:$B$71,$AK7)</f>
        <v>2426.2247617774069</v>
      </c>
      <c r="AV7" s="58">
        <f t="shared" ref="AV7:AV17" si="10">SUMIFS(AH$7:AH$71,$B$7:$B$71,$AK7)</f>
        <v>2949.4946219021722</v>
      </c>
      <c r="AW7" s="58">
        <f t="shared" ref="AW7:AW17" si="11">SUMIFS(AI$7:AI$71,$B$7:$B$71,$AK7)</f>
        <v>3438.1273097845428</v>
      </c>
    </row>
    <row r="8" spans="1:49" x14ac:dyDescent="0.3">
      <c r="A8" s="4" t="str">
        <f t="shared" ref="A8:A71" si="12">B8&amp;RIGHT(C8,2)</f>
        <v>ANH22</v>
      </c>
      <c r="B8" s="4" t="str">
        <f>'Forecast drivers'!B9</f>
        <v>ANH</v>
      </c>
      <c r="C8" s="4">
        <f>'Forecast drivers'!C9</f>
        <v>2022</v>
      </c>
      <c r="D8" s="46">
        <v>93.614191913411261</v>
      </c>
      <c r="E8" s="46">
        <v>189.39309593392619</v>
      </c>
      <c r="F8" s="46">
        <v>154.02341828711141</v>
      </c>
      <c r="G8" s="46">
        <v>283.00728784733747</v>
      </c>
      <c r="H8" s="46">
        <v>343.41651422103757</v>
      </c>
      <c r="I8" s="46">
        <v>437.03070613444885</v>
      </c>
      <c r="J8" s="114">
        <v>0</v>
      </c>
      <c r="K8" s="114">
        <v>0</v>
      </c>
      <c r="L8" s="114">
        <v>28.887725093717599</v>
      </c>
      <c r="M8" s="114">
        <v>1.9510000000000001</v>
      </c>
      <c r="N8" s="114">
        <v>0.92100000000000004</v>
      </c>
      <c r="O8" s="114">
        <v>2.5999999999999999E-2</v>
      </c>
      <c r="P8" s="114">
        <v>0</v>
      </c>
      <c r="Q8" s="114">
        <v>2.9910000000000001</v>
      </c>
      <c r="R8" s="114">
        <v>1.4E-2</v>
      </c>
      <c r="S8" s="114">
        <v>0</v>
      </c>
      <c r="T8" s="114">
        <v>0</v>
      </c>
      <c r="U8" s="114">
        <v>0.91100000000000003</v>
      </c>
      <c r="V8" s="114">
        <v>0.436</v>
      </c>
      <c r="W8" s="114">
        <v>0</v>
      </c>
      <c r="X8" s="114">
        <v>0</v>
      </c>
      <c r="Y8" s="114">
        <v>0.65</v>
      </c>
      <c r="Z8" s="114">
        <v>0.04</v>
      </c>
      <c r="AA8" s="114">
        <v>0</v>
      </c>
      <c r="AB8" s="114">
        <v>0</v>
      </c>
      <c r="AC8" s="114">
        <v>0.39</v>
      </c>
      <c r="AD8" s="104">
        <v>104.00431519815348</v>
      </c>
      <c r="AE8" s="104">
        <v>341.65995268334302</v>
      </c>
      <c r="AF8" s="104">
        <v>228.0214138091776</v>
      </c>
      <c r="AG8" s="104">
        <f t="shared" ref="AG8:AG71" si="13">AD8+AE8</f>
        <v>445.66426788149647</v>
      </c>
      <c r="AH8" s="104">
        <f t="shared" ref="AH8:AH71" si="14">AE8+AF8</f>
        <v>569.68136649252062</v>
      </c>
      <c r="AI8" s="104">
        <f t="shared" ref="AI8:AI71" si="15">AD8+AE8+AF8</f>
        <v>673.68568169067407</v>
      </c>
      <c r="AJ8" s="106"/>
      <c r="AK8" s="61" t="s">
        <v>63</v>
      </c>
      <c r="AL8" s="58">
        <f t="shared" si="0"/>
        <v>2.8399157116782576</v>
      </c>
      <c r="AM8" s="58">
        <f t="shared" si="1"/>
        <v>12.222644987839377</v>
      </c>
      <c r="AN8" s="58">
        <f t="shared" si="2"/>
        <v>5.6983233993488103</v>
      </c>
      <c r="AO8" s="58">
        <f t="shared" si="3"/>
        <v>15.062560699517636</v>
      </c>
      <c r="AP8" s="58">
        <f t="shared" si="4"/>
        <v>17.920968387188189</v>
      </c>
      <c r="AQ8" s="58">
        <f t="shared" si="5"/>
        <v>20.760884098866448</v>
      </c>
      <c r="AR8" s="58">
        <f t="shared" si="6"/>
        <v>3.6020000000000008</v>
      </c>
      <c r="AS8" s="58">
        <f t="shared" si="7"/>
        <v>15.77967222007063</v>
      </c>
      <c r="AT8" s="58">
        <f t="shared" si="8"/>
        <v>6.0143277799293751</v>
      </c>
      <c r="AU8" s="58">
        <f t="shared" si="9"/>
        <v>19.38167222007063</v>
      </c>
      <c r="AV8" s="58">
        <f t="shared" si="10"/>
        <v>21.794000000000004</v>
      </c>
      <c r="AW8" s="58">
        <f t="shared" si="11"/>
        <v>25.396000000000004</v>
      </c>
    </row>
    <row r="9" spans="1:49" x14ac:dyDescent="0.3">
      <c r="A9" s="4" t="str">
        <f t="shared" si="12"/>
        <v>ANH23</v>
      </c>
      <c r="B9" s="4" t="str">
        <f>'Forecast drivers'!B10</f>
        <v>ANH</v>
      </c>
      <c r="C9" s="4">
        <f>'Forecast drivers'!C10</f>
        <v>2023</v>
      </c>
      <c r="D9" s="46">
        <v>88.079010576403832</v>
      </c>
      <c r="E9" s="46">
        <v>169.51453051704729</v>
      </c>
      <c r="F9" s="46">
        <v>133.62781738691689</v>
      </c>
      <c r="G9" s="46">
        <v>257.59354109345111</v>
      </c>
      <c r="H9" s="46">
        <v>303.14234790396415</v>
      </c>
      <c r="I9" s="46">
        <v>391.221358480368</v>
      </c>
      <c r="J9" s="114">
        <v>0</v>
      </c>
      <c r="K9" s="114">
        <v>0</v>
      </c>
      <c r="L9" s="114">
        <v>28.584678985822201</v>
      </c>
      <c r="M9" s="114">
        <v>1.97</v>
      </c>
      <c r="N9" s="114">
        <v>0.92900000000000005</v>
      </c>
      <c r="O9" s="114">
        <v>3.5999999999999997E-2</v>
      </c>
      <c r="P9" s="114">
        <v>0</v>
      </c>
      <c r="Q9" s="114">
        <v>3.02</v>
      </c>
      <c r="R9" s="114">
        <v>1.4E-2</v>
      </c>
      <c r="S9" s="114">
        <v>0</v>
      </c>
      <c r="T9" s="114">
        <v>0</v>
      </c>
      <c r="U9" s="114">
        <v>0.91900000000000004</v>
      </c>
      <c r="V9" s="114">
        <v>0.439</v>
      </c>
      <c r="W9" s="114">
        <v>0</v>
      </c>
      <c r="X9" s="114">
        <v>0</v>
      </c>
      <c r="Y9" s="114">
        <v>0.65700000000000003</v>
      </c>
      <c r="Z9" s="114">
        <v>4.1000000000000002E-2</v>
      </c>
      <c r="AA9" s="114">
        <v>0</v>
      </c>
      <c r="AB9" s="114">
        <v>0</v>
      </c>
      <c r="AC9" s="114">
        <v>0.39400000000000002</v>
      </c>
      <c r="AD9" s="104">
        <v>98.234328448940218</v>
      </c>
      <c r="AE9" s="104">
        <v>380.01787793667802</v>
      </c>
      <c r="AF9" s="104">
        <v>201.7047284145282</v>
      </c>
      <c r="AG9" s="104">
        <f t="shared" si="13"/>
        <v>478.25220638561825</v>
      </c>
      <c r="AH9" s="104">
        <f t="shared" si="14"/>
        <v>581.7226063512062</v>
      </c>
      <c r="AI9" s="104">
        <f t="shared" si="15"/>
        <v>679.95693480014643</v>
      </c>
      <c r="AJ9" s="106"/>
      <c r="AK9" s="61" t="s">
        <v>3</v>
      </c>
      <c r="AL9" s="58">
        <f t="shared" si="0"/>
        <v>67.344000000000008</v>
      </c>
      <c r="AM9" s="58">
        <f t="shared" si="1"/>
        <v>333.51400000000001</v>
      </c>
      <c r="AN9" s="58">
        <f t="shared" si="2"/>
        <v>329.24760500000002</v>
      </c>
      <c r="AO9" s="58">
        <f t="shared" si="3"/>
        <v>400.85799999999995</v>
      </c>
      <c r="AP9" s="58">
        <f t="shared" si="4"/>
        <v>662.76160500000003</v>
      </c>
      <c r="AQ9" s="58">
        <f t="shared" si="5"/>
        <v>730.10560500000008</v>
      </c>
      <c r="AR9" s="58">
        <f t="shared" si="6"/>
        <v>74.143000000000001</v>
      </c>
      <c r="AS9" s="58">
        <f t="shared" si="7"/>
        <v>647.40899999999999</v>
      </c>
      <c r="AT9" s="58">
        <f t="shared" si="8"/>
        <v>525.78599999999994</v>
      </c>
      <c r="AU9" s="58">
        <f t="shared" si="9"/>
        <v>721.55200000000002</v>
      </c>
      <c r="AV9" s="58">
        <f t="shared" si="10"/>
        <v>1173.1950000000002</v>
      </c>
      <c r="AW9" s="58">
        <f t="shared" si="11"/>
        <v>1247.338</v>
      </c>
    </row>
    <row r="10" spans="1:49" x14ac:dyDescent="0.3">
      <c r="A10" s="4" t="str">
        <f t="shared" si="12"/>
        <v>ANH24</v>
      </c>
      <c r="B10" s="4" t="str">
        <f>'Forecast drivers'!B11</f>
        <v>ANH</v>
      </c>
      <c r="C10" s="4">
        <f>'Forecast drivers'!C11</f>
        <v>2024</v>
      </c>
      <c r="D10" s="46">
        <v>85.026861495256171</v>
      </c>
      <c r="E10" s="46">
        <v>169.29450029007478</v>
      </c>
      <c r="F10" s="46">
        <v>120.21853766327051</v>
      </c>
      <c r="G10" s="46">
        <v>254.32136178533096</v>
      </c>
      <c r="H10" s="46">
        <v>289.5130379533453</v>
      </c>
      <c r="I10" s="46">
        <v>374.53989944860149</v>
      </c>
      <c r="J10" s="114">
        <v>0</v>
      </c>
      <c r="K10" s="114">
        <v>0</v>
      </c>
      <c r="L10" s="114">
        <v>31.849150926156401</v>
      </c>
      <c r="M10" s="114">
        <v>1.99</v>
      </c>
      <c r="N10" s="114">
        <v>0.93899999999999995</v>
      </c>
      <c r="O10" s="114">
        <v>0.32</v>
      </c>
      <c r="P10" s="114">
        <v>0</v>
      </c>
      <c r="Q10" s="114">
        <v>3.05</v>
      </c>
      <c r="R10" s="114">
        <v>1.4E-2</v>
      </c>
      <c r="S10" s="114">
        <v>0</v>
      </c>
      <c r="T10" s="114">
        <v>0</v>
      </c>
      <c r="U10" s="114">
        <v>0.92800000000000005</v>
      </c>
      <c r="V10" s="114">
        <v>0.44400000000000001</v>
      </c>
      <c r="W10" s="114">
        <v>0</v>
      </c>
      <c r="X10" s="114">
        <v>0</v>
      </c>
      <c r="Y10" s="114">
        <v>0.66400000000000003</v>
      </c>
      <c r="Z10" s="114">
        <v>0.04</v>
      </c>
      <c r="AA10" s="114">
        <v>0</v>
      </c>
      <c r="AB10" s="114">
        <v>0</v>
      </c>
      <c r="AC10" s="114">
        <v>0.39600000000000002</v>
      </c>
      <c r="AD10" s="104">
        <v>90.929563279534591</v>
      </c>
      <c r="AE10" s="104">
        <v>499.63218950470895</v>
      </c>
      <c r="AF10" s="104">
        <v>195.0626503425714</v>
      </c>
      <c r="AG10" s="104">
        <f t="shared" si="13"/>
        <v>590.56175278424348</v>
      </c>
      <c r="AH10" s="104">
        <f t="shared" si="14"/>
        <v>694.69483984728038</v>
      </c>
      <c r="AI10" s="104">
        <f t="shared" si="15"/>
        <v>785.62440312681485</v>
      </c>
      <c r="AJ10" s="106"/>
      <c r="AK10" s="61" t="s">
        <v>4</v>
      </c>
      <c r="AL10" s="58">
        <f t="shared" si="0"/>
        <v>336.70880331020305</v>
      </c>
      <c r="AM10" s="58">
        <f t="shared" si="1"/>
        <v>1026.2092679813018</v>
      </c>
      <c r="AN10" s="58">
        <f t="shared" si="2"/>
        <v>680.92512793548542</v>
      </c>
      <c r="AO10" s="58">
        <f t="shared" si="3"/>
        <v>1362.9180712915049</v>
      </c>
      <c r="AP10" s="58">
        <f t="shared" si="4"/>
        <v>1707.1343959167873</v>
      </c>
      <c r="AQ10" s="58">
        <f t="shared" si="5"/>
        <v>2043.8431992269902</v>
      </c>
      <c r="AR10" s="58">
        <f t="shared" si="6"/>
        <v>372.45047147371469</v>
      </c>
      <c r="AS10" s="58">
        <f t="shared" si="7"/>
        <v>1753.5820318070064</v>
      </c>
      <c r="AT10" s="58">
        <f t="shared" si="8"/>
        <v>908.35441695764462</v>
      </c>
      <c r="AU10" s="58">
        <f t="shared" si="9"/>
        <v>2126.0325032807209</v>
      </c>
      <c r="AV10" s="58">
        <f t="shared" si="10"/>
        <v>2661.9364487646508</v>
      </c>
      <c r="AW10" s="58">
        <f t="shared" si="11"/>
        <v>3034.3869202383657</v>
      </c>
    </row>
    <row r="11" spans="1:49" x14ac:dyDescent="0.3">
      <c r="A11" s="4" t="str">
        <f t="shared" si="12"/>
        <v>ANH25</v>
      </c>
      <c r="B11" s="4" t="str">
        <f>'Forecast drivers'!B12</f>
        <v>ANH</v>
      </c>
      <c r="C11" s="4">
        <f>'Forecast drivers'!C12</f>
        <v>2025</v>
      </c>
      <c r="D11" s="46">
        <v>84.596980059530424</v>
      </c>
      <c r="E11" s="46">
        <v>199.09871169246748</v>
      </c>
      <c r="F11" s="46">
        <v>111.1224264922363</v>
      </c>
      <c r="G11" s="46">
        <v>283.69569175199791</v>
      </c>
      <c r="H11" s="46">
        <v>310.22113818470376</v>
      </c>
      <c r="I11" s="46">
        <v>394.8181182442342</v>
      </c>
      <c r="J11" s="114">
        <v>0</v>
      </c>
      <c r="K11" s="114">
        <v>0</v>
      </c>
      <c r="L11" s="114">
        <v>35.242616527141301</v>
      </c>
      <c r="M11" s="114">
        <v>2.0090650867013302</v>
      </c>
      <c r="N11" s="114">
        <v>0.94799999999999995</v>
      </c>
      <c r="O11" s="114">
        <v>0</v>
      </c>
      <c r="P11" s="114">
        <v>0</v>
      </c>
      <c r="Q11" s="114">
        <v>3.0797644442846801</v>
      </c>
      <c r="R11" s="114">
        <v>1.4E-2</v>
      </c>
      <c r="S11" s="114">
        <v>0</v>
      </c>
      <c r="T11" s="114">
        <v>0</v>
      </c>
      <c r="U11" s="114">
        <v>0.93745777969455502</v>
      </c>
      <c r="V11" s="114">
        <v>0.44800000000000001</v>
      </c>
      <c r="W11" s="114">
        <v>0</v>
      </c>
      <c r="X11" s="114">
        <v>0</v>
      </c>
      <c r="Y11" s="114">
        <v>0.66961269978182603</v>
      </c>
      <c r="Z11" s="114">
        <v>4.1000000000000002E-2</v>
      </c>
      <c r="AA11" s="114">
        <v>0</v>
      </c>
      <c r="AB11" s="114">
        <v>0</v>
      </c>
      <c r="AC11" s="114">
        <v>0.40176761986909498</v>
      </c>
      <c r="AD11" s="104">
        <v>95.780423782488938</v>
      </c>
      <c r="AE11" s="104">
        <v>432.1742198434373</v>
      </c>
      <c r="AF11" s="104">
        <v>200.50051977440697</v>
      </c>
      <c r="AG11" s="104">
        <f t="shared" si="13"/>
        <v>527.95464362592622</v>
      </c>
      <c r="AH11" s="104">
        <f t="shared" si="14"/>
        <v>632.67473961784424</v>
      </c>
      <c r="AI11" s="104">
        <f t="shared" si="15"/>
        <v>728.45516340033316</v>
      </c>
      <c r="AJ11" s="106"/>
      <c r="AK11" s="61" t="s">
        <v>5</v>
      </c>
      <c r="AL11" s="58">
        <f t="shared" si="0"/>
        <v>192.893</v>
      </c>
      <c r="AM11" s="58">
        <f t="shared" si="1"/>
        <v>821.43499999999995</v>
      </c>
      <c r="AN11" s="58">
        <f t="shared" si="2"/>
        <v>420.66188999999997</v>
      </c>
      <c r="AO11" s="58">
        <f t="shared" si="3"/>
        <v>1014.328</v>
      </c>
      <c r="AP11" s="58">
        <f t="shared" si="4"/>
        <v>1242.0968899999998</v>
      </c>
      <c r="AQ11" s="58">
        <f t="shared" si="5"/>
        <v>1434.9898899999998</v>
      </c>
      <c r="AR11" s="58">
        <f t="shared" si="6"/>
        <v>204.149</v>
      </c>
      <c r="AS11" s="58">
        <f t="shared" si="7"/>
        <v>1702.7290000000003</v>
      </c>
      <c r="AT11" s="58">
        <f t="shared" si="8"/>
        <v>737.35700000000008</v>
      </c>
      <c r="AU11" s="58">
        <f t="shared" si="9"/>
        <v>1906.8780000000002</v>
      </c>
      <c r="AV11" s="58">
        <f t="shared" si="10"/>
        <v>2440.0859999999998</v>
      </c>
      <c r="AW11" s="58">
        <f t="shared" si="11"/>
        <v>2644.2350000000001</v>
      </c>
    </row>
    <row r="12" spans="1:49" x14ac:dyDescent="0.3">
      <c r="A12" s="4" t="str">
        <f t="shared" si="12"/>
        <v>NES21</v>
      </c>
      <c r="B12" s="4" t="str">
        <f>'Forecast drivers'!B13</f>
        <v>NES</v>
      </c>
      <c r="C12" s="4">
        <f>'Forecast drivers'!C13</f>
        <v>2021</v>
      </c>
      <c r="D12" s="46">
        <v>13.641000000000002</v>
      </c>
      <c r="E12" s="46">
        <v>67.524000000000001</v>
      </c>
      <c r="F12" s="46">
        <v>74.904919000000007</v>
      </c>
      <c r="G12" s="46">
        <v>81.165000000000006</v>
      </c>
      <c r="H12" s="46">
        <v>142.42891900000001</v>
      </c>
      <c r="I12" s="46">
        <v>156.069919</v>
      </c>
      <c r="J12" s="114">
        <v>0.20200000000000001</v>
      </c>
      <c r="K12" s="114">
        <v>0</v>
      </c>
      <c r="L12" s="114">
        <v>4.375</v>
      </c>
      <c r="M12" s="114">
        <v>1.1890000000000001</v>
      </c>
      <c r="N12" s="114">
        <v>0.1</v>
      </c>
      <c r="O12" s="114">
        <v>0</v>
      </c>
      <c r="P12" s="114">
        <v>0</v>
      </c>
      <c r="Q12" s="114">
        <v>1.292</v>
      </c>
      <c r="R12" s="114">
        <v>0</v>
      </c>
      <c r="S12" s="114">
        <v>0</v>
      </c>
      <c r="T12" s="114">
        <v>0</v>
      </c>
      <c r="U12" s="114">
        <v>3.7999999999999999E-2</v>
      </c>
      <c r="V12" s="114">
        <v>0</v>
      </c>
      <c r="W12" s="114">
        <v>0</v>
      </c>
      <c r="X12" s="114">
        <v>0</v>
      </c>
      <c r="Y12" s="114">
        <v>0.29599999999999999</v>
      </c>
      <c r="Z12" s="114">
        <v>0</v>
      </c>
      <c r="AA12" s="114">
        <v>0</v>
      </c>
      <c r="AB12" s="114">
        <v>0</v>
      </c>
      <c r="AC12" s="114">
        <v>0</v>
      </c>
      <c r="AD12" s="104">
        <v>15.016</v>
      </c>
      <c r="AE12" s="104">
        <v>84.844000000000008</v>
      </c>
      <c r="AF12" s="104">
        <v>96.11699999999999</v>
      </c>
      <c r="AG12" s="104">
        <f t="shared" si="13"/>
        <v>99.860000000000014</v>
      </c>
      <c r="AH12" s="104">
        <f t="shared" si="14"/>
        <v>180.96100000000001</v>
      </c>
      <c r="AI12" s="104">
        <f t="shared" si="15"/>
        <v>195.977</v>
      </c>
      <c r="AJ12" s="106"/>
      <c r="AK12" s="61" t="s">
        <v>82</v>
      </c>
      <c r="AL12" s="58">
        <f t="shared" si="0"/>
        <v>259.44867083921048</v>
      </c>
      <c r="AM12" s="58">
        <f t="shared" si="1"/>
        <v>996.44123486134572</v>
      </c>
      <c r="AN12" s="58">
        <f t="shared" si="2"/>
        <v>759.63893725345463</v>
      </c>
      <c r="AO12" s="58">
        <f t="shared" si="3"/>
        <v>1255.889905700556</v>
      </c>
      <c r="AP12" s="58">
        <f t="shared" si="4"/>
        <v>1756.0801721148005</v>
      </c>
      <c r="AQ12" s="58">
        <f t="shared" si="5"/>
        <v>2015.5288429540108</v>
      </c>
      <c r="AR12" s="58">
        <f t="shared" si="6"/>
        <v>311.73463560526437</v>
      </c>
      <c r="AS12" s="58">
        <f t="shared" si="7"/>
        <v>1616.1424833689789</v>
      </c>
      <c r="AT12" s="58">
        <f t="shared" si="8"/>
        <v>1032.2059917062795</v>
      </c>
      <c r="AU12" s="58">
        <f t="shared" si="9"/>
        <v>1927.8771189742433</v>
      </c>
      <c r="AV12" s="58">
        <f t="shared" si="10"/>
        <v>2648.3484750752582</v>
      </c>
      <c r="AW12" s="58">
        <f t="shared" si="11"/>
        <v>2960.0831106805226</v>
      </c>
    </row>
    <row r="13" spans="1:49" x14ac:dyDescent="0.3">
      <c r="A13" s="4" t="str">
        <f t="shared" si="12"/>
        <v>NES22</v>
      </c>
      <c r="B13" s="4" t="str">
        <f>'Forecast drivers'!B14</f>
        <v>NES</v>
      </c>
      <c r="C13" s="4">
        <f>'Forecast drivers'!C14</f>
        <v>2022</v>
      </c>
      <c r="D13" s="46">
        <v>13.555</v>
      </c>
      <c r="E13" s="46">
        <v>67.188000000000002</v>
      </c>
      <c r="F13" s="46">
        <v>71.004920000000013</v>
      </c>
      <c r="G13" s="46">
        <v>80.742999999999995</v>
      </c>
      <c r="H13" s="46">
        <v>138.19292000000002</v>
      </c>
      <c r="I13" s="46">
        <v>151.74792000000002</v>
      </c>
      <c r="J13" s="114">
        <v>0.20200000000000001</v>
      </c>
      <c r="K13" s="114">
        <v>0</v>
      </c>
      <c r="L13" s="114">
        <v>4.4029999999999996</v>
      </c>
      <c r="M13" s="114">
        <v>1.4430000000000001</v>
      </c>
      <c r="N13" s="114">
        <v>0.1</v>
      </c>
      <c r="O13" s="114">
        <v>0</v>
      </c>
      <c r="P13" s="114">
        <v>0</v>
      </c>
      <c r="Q13" s="114">
        <v>1.5669999999999999</v>
      </c>
      <c r="R13" s="114">
        <v>0</v>
      </c>
      <c r="S13" s="114">
        <v>0</v>
      </c>
      <c r="T13" s="114">
        <v>0</v>
      </c>
      <c r="U13" s="114">
        <v>4.5999999999999999E-2</v>
      </c>
      <c r="V13" s="114">
        <v>0</v>
      </c>
      <c r="W13" s="114">
        <v>0</v>
      </c>
      <c r="X13" s="114">
        <v>0</v>
      </c>
      <c r="Y13" s="114">
        <v>0.35899999999999999</v>
      </c>
      <c r="Z13" s="114">
        <v>0</v>
      </c>
      <c r="AA13" s="114">
        <v>0</v>
      </c>
      <c r="AB13" s="114">
        <v>0</v>
      </c>
      <c r="AC13" s="114">
        <v>0</v>
      </c>
      <c r="AD13" s="104">
        <v>14.911</v>
      </c>
      <c r="AE13" s="104">
        <v>98.26100000000001</v>
      </c>
      <c r="AF13" s="104">
        <v>113.38600000000001</v>
      </c>
      <c r="AG13" s="104">
        <f t="shared" si="13"/>
        <v>113.17200000000001</v>
      </c>
      <c r="AH13" s="104">
        <f t="shared" si="14"/>
        <v>211.64700000000002</v>
      </c>
      <c r="AI13" s="104">
        <f t="shared" si="15"/>
        <v>226.55800000000002</v>
      </c>
      <c r="AJ13" s="106"/>
      <c r="AK13" s="61" t="s">
        <v>10</v>
      </c>
      <c r="AL13" s="58">
        <f t="shared" si="0"/>
        <v>89.88</v>
      </c>
      <c r="AM13" s="58">
        <f t="shared" si="1"/>
        <v>322.38399999999996</v>
      </c>
      <c r="AN13" s="58">
        <f t="shared" si="2"/>
        <v>269.73</v>
      </c>
      <c r="AO13" s="58">
        <f t="shared" si="3"/>
        <v>412.26400000000001</v>
      </c>
      <c r="AP13" s="58">
        <f t="shared" si="4"/>
        <v>592.11400000000003</v>
      </c>
      <c r="AQ13" s="58">
        <f t="shared" si="5"/>
        <v>681.99400000000003</v>
      </c>
      <c r="AR13" s="58">
        <f t="shared" si="6"/>
        <v>101.12299999999999</v>
      </c>
      <c r="AS13" s="58">
        <f t="shared" si="7"/>
        <v>514.87900000000002</v>
      </c>
      <c r="AT13" s="58">
        <f t="shared" si="8"/>
        <v>367.25799999999992</v>
      </c>
      <c r="AU13" s="58">
        <f t="shared" si="9"/>
        <v>616.00199999999995</v>
      </c>
      <c r="AV13" s="58">
        <f t="shared" si="10"/>
        <v>882.13699999999994</v>
      </c>
      <c r="AW13" s="58">
        <f t="shared" si="11"/>
        <v>983.26</v>
      </c>
    </row>
    <row r="14" spans="1:49" x14ac:dyDescent="0.3">
      <c r="A14" s="4" t="str">
        <f t="shared" si="12"/>
        <v>NES23</v>
      </c>
      <c r="B14" s="4" t="str">
        <f>'Forecast drivers'!B15</f>
        <v>NES</v>
      </c>
      <c r="C14" s="4">
        <f>'Forecast drivers'!C15</f>
        <v>2023</v>
      </c>
      <c r="D14" s="46">
        <v>13.467000000000001</v>
      </c>
      <c r="E14" s="46">
        <v>66.358000000000004</v>
      </c>
      <c r="F14" s="46">
        <v>62.805921000000005</v>
      </c>
      <c r="G14" s="46">
        <v>79.825000000000003</v>
      </c>
      <c r="H14" s="46">
        <v>129.16392100000002</v>
      </c>
      <c r="I14" s="46">
        <v>142.63092100000003</v>
      </c>
      <c r="J14" s="114">
        <v>0.20200000000000001</v>
      </c>
      <c r="K14" s="114">
        <v>0</v>
      </c>
      <c r="L14" s="114">
        <v>4.4290000000000003</v>
      </c>
      <c r="M14" s="114">
        <v>1.4570000000000001</v>
      </c>
      <c r="N14" s="114">
        <v>0.1</v>
      </c>
      <c r="O14" s="114">
        <v>0</v>
      </c>
      <c r="P14" s="114">
        <v>0</v>
      </c>
      <c r="Q14" s="114">
        <v>1.583</v>
      </c>
      <c r="R14" s="114">
        <v>0</v>
      </c>
      <c r="S14" s="114">
        <v>0</v>
      </c>
      <c r="T14" s="114">
        <v>0</v>
      </c>
      <c r="U14" s="114">
        <v>4.5999999999999999E-2</v>
      </c>
      <c r="V14" s="114">
        <v>0</v>
      </c>
      <c r="W14" s="114">
        <v>0</v>
      </c>
      <c r="X14" s="114">
        <v>0</v>
      </c>
      <c r="Y14" s="114">
        <v>0.36299999999999999</v>
      </c>
      <c r="Z14" s="114">
        <v>0</v>
      </c>
      <c r="AA14" s="114">
        <v>0</v>
      </c>
      <c r="AB14" s="114">
        <v>0</v>
      </c>
      <c r="AC14" s="114">
        <v>0</v>
      </c>
      <c r="AD14" s="104">
        <v>14.823</v>
      </c>
      <c r="AE14" s="104">
        <v>123.37100000000001</v>
      </c>
      <c r="AF14" s="104">
        <v>112.498</v>
      </c>
      <c r="AG14" s="104">
        <f t="shared" si="13"/>
        <v>138.19400000000002</v>
      </c>
      <c r="AH14" s="104">
        <f t="shared" si="14"/>
        <v>235.86900000000003</v>
      </c>
      <c r="AI14" s="104">
        <f t="shared" si="15"/>
        <v>250.69200000000001</v>
      </c>
      <c r="AJ14" s="106"/>
      <c r="AK14" s="61" t="s">
        <v>7</v>
      </c>
      <c r="AL14" s="58">
        <f t="shared" si="0"/>
        <v>513.31146393867368</v>
      </c>
      <c r="AM14" s="58">
        <f t="shared" si="1"/>
        <v>1600.8651241217558</v>
      </c>
      <c r="AN14" s="58">
        <f t="shared" si="2"/>
        <v>1541.5055929039027</v>
      </c>
      <c r="AO14" s="58">
        <f t="shared" si="3"/>
        <v>2114.1765880604294</v>
      </c>
      <c r="AP14" s="58">
        <f t="shared" si="4"/>
        <v>3142.3707170256585</v>
      </c>
      <c r="AQ14" s="58">
        <f t="shared" si="5"/>
        <v>3655.6821809643325</v>
      </c>
      <c r="AR14" s="58">
        <f t="shared" si="6"/>
        <v>675.53054407167906</v>
      </c>
      <c r="AS14" s="58">
        <f t="shared" si="7"/>
        <v>2571.0477503782431</v>
      </c>
      <c r="AT14" s="58">
        <f t="shared" si="8"/>
        <v>1871.2744621287454</v>
      </c>
      <c r="AU14" s="58">
        <f t="shared" si="9"/>
        <v>3246.5782944499224</v>
      </c>
      <c r="AV14" s="58">
        <f t="shared" si="10"/>
        <v>4442.3222125069888</v>
      </c>
      <c r="AW14" s="58">
        <f t="shared" si="11"/>
        <v>5117.852756578668</v>
      </c>
    </row>
    <row r="15" spans="1:49" x14ac:dyDescent="0.3">
      <c r="A15" s="4" t="str">
        <f t="shared" si="12"/>
        <v>NES24</v>
      </c>
      <c r="B15" s="4" t="str">
        <f>'Forecast drivers'!B16</f>
        <v>NES</v>
      </c>
      <c r="C15" s="4">
        <f>'Forecast drivers'!C16</f>
        <v>2024</v>
      </c>
      <c r="D15" s="46">
        <v>13.382</v>
      </c>
      <c r="E15" s="46">
        <v>66.11699999999999</v>
      </c>
      <c r="F15" s="46">
        <v>60.678922</v>
      </c>
      <c r="G15" s="46">
        <v>79.498999999999995</v>
      </c>
      <c r="H15" s="46">
        <v>126.79592199999999</v>
      </c>
      <c r="I15" s="46">
        <v>140.177922</v>
      </c>
      <c r="J15" s="114">
        <v>0.20200000000000001</v>
      </c>
      <c r="K15" s="114">
        <v>0</v>
      </c>
      <c r="L15" s="114">
        <v>4.4569999999999999</v>
      </c>
      <c r="M15" s="114">
        <v>1.4710000000000001</v>
      </c>
      <c r="N15" s="114">
        <v>0.1</v>
      </c>
      <c r="O15" s="114">
        <v>0</v>
      </c>
      <c r="P15" s="114">
        <v>0</v>
      </c>
      <c r="Q15" s="114">
        <v>1.599</v>
      </c>
      <c r="R15" s="114">
        <v>0</v>
      </c>
      <c r="S15" s="114">
        <v>0</v>
      </c>
      <c r="T15" s="114">
        <v>0</v>
      </c>
      <c r="U15" s="114">
        <v>4.7E-2</v>
      </c>
      <c r="V15" s="114">
        <v>0</v>
      </c>
      <c r="W15" s="114">
        <v>0</v>
      </c>
      <c r="X15" s="114">
        <v>0</v>
      </c>
      <c r="Y15" s="114">
        <v>0.36599999999999999</v>
      </c>
      <c r="Z15" s="114">
        <v>0</v>
      </c>
      <c r="AA15" s="114">
        <v>0</v>
      </c>
      <c r="AB15" s="114">
        <v>0</v>
      </c>
      <c r="AC15" s="114">
        <v>0</v>
      </c>
      <c r="AD15" s="104">
        <v>14.738</v>
      </c>
      <c r="AE15" s="104">
        <v>186.74100000000001</v>
      </c>
      <c r="AF15" s="104">
        <v>113.71599999999999</v>
      </c>
      <c r="AG15" s="104">
        <f t="shared" si="13"/>
        <v>201.47900000000001</v>
      </c>
      <c r="AH15" s="104">
        <f t="shared" si="14"/>
        <v>300.45699999999999</v>
      </c>
      <c r="AI15" s="104">
        <f t="shared" si="15"/>
        <v>315.19499999999999</v>
      </c>
      <c r="AJ15" s="106"/>
      <c r="AK15" s="61" t="s">
        <v>12</v>
      </c>
      <c r="AL15" s="58">
        <f t="shared" si="0"/>
        <v>114.880832</v>
      </c>
      <c r="AM15" s="58">
        <f t="shared" si="1"/>
        <v>497.298</v>
      </c>
      <c r="AN15" s="58">
        <f t="shared" si="2"/>
        <v>465.41986000000003</v>
      </c>
      <c r="AO15" s="58">
        <f t="shared" si="3"/>
        <v>612.17883200000006</v>
      </c>
      <c r="AP15" s="58">
        <f t="shared" si="4"/>
        <v>962.71785999999997</v>
      </c>
      <c r="AQ15" s="58">
        <f t="shared" si="5"/>
        <v>1077.598692</v>
      </c>
      <c r="AR15" s="58">
        <f t="shared" si="6"/>
        <v>125.06200000000001</v>
      </c>
      <c r="AS15" s="58">
        <f t="shared" si="7"/>
        <v>751.48799999999983</v>
      </c>
      <c r="AT15" s="58">
        <f t="shared" si="8"/>
        <v>694.20899999999995</v>
      </c>
      <c r="AU15" s="58">
        <f t="shared" si="9"/>
        <v>876.55</v>
      </c>
      <c r="AV15" s="58">
        <f t="shared" si="10"/>
        <v>1445.6969999999999</v>
      </c>
      <c r="AW15" s="58">
        <f t="shared" si="11"/>
        <v>1570.759</v>
      </c>
    </row>
    <row r="16" spans="1:49" x14ac:dyDescent="0.3">
      <c r="A16" s="4" t="str">
        <f t="shared" si="12"/>
        <v>NES25</v>
      </c>
      <c r="B16" s="4" t="str">
        <f>'Forecast drivers'!B17</f>
        <v>NES</v>
      </c>
      <c r="C16" s="4">
        <f>'Forecast drivers'!C17</f>
        <v>2025</v>
      </c>
      <c r="D16" s="46">
        <v>13.299000000000001</v>
      </c>
      <c r="E16" s="46">
        <v>66.326999999999998</v>
      </c>
      <c r="F16" s="46">
        <v>59.852923000000004</v>
      </c>
      <c r="G16" s="46">
        <v>79.626000000000005</v>
      </c>
      <c r="H16" s="46">
        <v>126.179923</v>
      </c>
      <c r="I16" s="46">
        <v>139.47892300000001</v>
      </c>
      <c r="J16" s="114">
        <v>0.20200000000000001</v>
      </c>
      <c r="K16" s="114">
        <v>0</v>
      </c>
      <c r="L16" s="114">
        <v>4.4850000000000003</v>
      </c>
      <c r="M16" s="114">
        <v>1.4850000000000001</v>
      </c>
      <c r="N16" s="114">
        <v>0.1</v>
      </c>
      <c r="O16" s="114">
        <v>0</v>
      </c>
      <c r="P16" s="114">
        <v>0</v>
      </c>
      <c r="Q16" s="114">
        <v>1.6140000000000001</v>
      </c>
      <c r="R16" s="114">
        <v>0</v>
      </c>
      <c r="S16" s="114">
        <v>0</v>
      </c>
      <c r="T16" s="114">
        <v>0</v>
      </c>
      <c r="U16" s="114">
        <v>4.7E-2</v>
      </c>
      <c r="V16" s="114">
        <v>0</v>
      </c>
      <c r="W16" s="114">
        <v>0</v>
      </c>
      <c r="X16" s="114">
        <v>0</v>
      </c>
      <c r="Y16" s="114">
        <v>0.37</v>
      </c>
      <c r="Z16" s="114">
        <v>0</v>
      </c>
      <c r="AA16" s="114">
        <v>0</v>
      </c>
      <c r="AB16" s="114">
        <v>0</v>
      </c>
      <c r="AC16" s="114">
        <v>0</v>
      </c>
      <c r="AD16" s="104">
        <v>14.654999999999999</v>
      </c>
      <c r="AE16" s="104">
        <v>154.19200000000001</v>
      </c>
      <c r="AF16" s="104">
        <v>90.069000000000003</v>
      </c>
      <c r="AG16" s="104">
        <f t="shared" si="13"/>
        <v>168.84700000000001</v>
      </c>
      <c r="AH16" s="104">
        <f t="shared" si="14"/>
        <v>244.26100000000002</v>
      </c>
      <c r="AI16" s="104">
        <f t="shared" si="15"/>
        <v>258.916</v>
      </c>
      <c r="AJ16" s="106"/>
      <c r="AK16" s="61" t="s">
        <v>8</v>
      </c>
      <c r="AL16" s="58">
        <f t="shared" si="0"/>
        <v>110.89383536659518</v>
      </c>
      <c r="AM16" s="58">
        <f t="shared" si="1"/>
        <v>407.8921031712112</v>
      </c>
      <c r="AN16" s="58">
        <f t="shared" si="2"/>
        <v>309.68252566584044</v>
      </c>
      <c r="AO16" s="58">
        <f t="shared" si="3"/>
        <v>518.78593853780649</v>
      </c>
      <c r="AP16" s="58">
        <f t="shared" si="4"/>
        <v>717.5746288370517</v>
      </c>
      <c r="AQ16" s="58">
        <f t="shared" si="5"/>
        <v>828.46846420364682</v>
      </c>
      <c r="AR16" s="58">
        <f t="shared" si="6"/>
        <v>124.23024391120892</v>
      </c>
      <c r="AS16" s="58">
        <f t="shared" si="7"/>
        <v>915.55917439820837</v>
      </c>
      <c r="AT16" s="58">
        <f t="shared" si="8"/>
        <v>544.5314722831356</v>
      </c>
      <c r="AU16" s="58">
        <f t="shared" si="9"/>
        <v>1039.7894183094172</v>
      </c>
      <c r="AV16" s="58">
        <f t="shared" si="10"/>
        <v>1460.090646681344</v>
      </c>
      <c r="AW16" s="58">
        <f t="shared" si="11"/>
        <v>1584.3208905925528</v>
      </c>
    </row>
    <row r="17" spans="1:49" x14ac:dyDescent="0.3">
      <c r="A17" s="4" t="str">
        <f t="shared" si="12"/>
        <v>NWT21</v>
      </c>
      <c r="B17" s="4" t="str">
        <f>'Forecast drivers'!B18</f>
        <v>NWT</v>
      </c>
      <c r="C17" s="4">
        <f>'Forecast drivers'!C18</f>
        <v>2021</v>
      </c>
      <c r="D17" s="46">
        <v>69.725001707198729</v>
      </c>
      <c r="E17" s="46">
        <v>188.85401593000188</v>
      </c>
      <c r="F17" s="46">
        <v>134.70979178958487</v>
      </c>
      <c r="G17" s="46">
        <v>258.57901763720059</v>
      </c>
      <c r="H17" s="46">
        <v>323.56380771958675</v>
      </c>
      <c r="I17" s="46">
        <v>393.28880942678546</v>
      </c>
      <c r="J17" s="114">
        <v>0.12710788849039101</v>
      </c>
      <c r="K17" s="114">
        <v>0</v>
      </c>
      <c r="L17" s="114">
        <v>9.8917982955782193</v>
      </c>
      <c r="M17" s="114">
        <v>4.2407396090830201</v>
      </c>
      <c r="N17" s="114">
        <v>0</v>
      </c>
      <c r="O17" s="114">
        <v>0</v>
      </c>
      <c r="P17" s="114">
        <v>0</v>
      </c>
      <c r="Q17" s="114">
        <v>7.5321141961341</v>
      </c>
      <c r="R17" s="114">
        <v>0</v>
      </c>
      <c r="S17" s="114">
        <v>0</v>
      </c>
      <c r="T17" s="114">
        <v>0</v>
      </c>
      <c r="U17" s="114">
        <v>0.70061971707966897</v>
      </c>
      <c r="V17" s="114">
        <v>0</v>
      </c>
      <c r="W17" s="114">
        <v>0</v>
      </c>
      <c r="X17" s="114">
        <v>0</v>
      </c>
      <c r="Y17" s="114">
        <v>1.9155986616071701</v>
      </c>
      <c r="Z17" s="114">
        <v>0</v>
      </c>
      <c r="AA17" s="114">
        <v>0</v>
      </c>
      <c r="AB17" s="114">
        <v>0</v>
      </c>
      <c r="AC17" s="114">
        <v>0.38611242744923802</v>
      </c>
      <c r="AD17" s="104">
        <v>76.873238970239299</v>
      </c>
      <c r="AE17" s="104">
        <v>308.15070567694193</v>
      </c>
      <c r="AF17" s="104">
        <v>167.3705934918508</v>
      </c>
      <c r="AG17" s="104">
        <f t="shared" si="13"/>
        <v>385.02394464718122</v>
      </c>
      <c r="AH17" s="104">
        <f t="shared" si="14"/>
        <v>475.52129916879272</v>
      </c>
      <c r="AI17" s="104">
        <f t="shared" si="15"/>
        <v>552.39453813903197</v>
      </c>
      <c r="AJ17" s="106"/>
      <c r="AK17" s="61" t="s">
        <v>9</v>
      </c>
      <c r="AL17" s="58">
        <f t="shared" si="0"/>
        <v>304.358</v>
      </c>
      <c r="AM17" s="58">
        <f t="shared" si="1"/>
        <v>851.85500000000002</v>
      </c>
      <c r="AN17" s="58">
        <f t="shared" si="2"/>
        <v>675.21470999999997</v>
      </c>
      <c r="AO17" s="58">
        <f t="shared" si="3"/>
        <v>1156.213</v>
      </c>
      <c r="AP17" s="58">
        <f t="shared" si="4"/>
        <v>1527.0697099999998</v>
      </c>
      <c r="AQ17" s="58">
        <f t="shared" si="5"/>
        <v>1831.4277099999999</v>
      </c>
      <c r="AR17" s="58">
        <f t="shared" si="6"/>
        <v>377.702</v>
      </c>
      <c r="AS17" s="58">
        <f t="shared" si="7"/>
        <v>1672.3700000000001</v>
      </c>
      <c r="AT17" s="58">
        <f t="shared" si="8"/>
        <v>886.60700000000008</v>
      </c>
      <c r="AU17" s="58">
        <f t="shared" si="9"/>
        <v>2050.0720000000001</v>
      </c>
      <c r="AV17" s="58">
        <f t="shared" si="10"/>
        <v>2558.9769999999999</v>
      </c>
      <c r="AW17" s="58">
        <f t="shared" si="11"/>
        <v>2936.6790000000001</v>
      </c>
    </row>
    <row r="18" spans="1:49" x14ac:dyDescent="0.3">
      <c r="A18" s="4" t="str">
        <f t="shared" si="12"/>
        <v>NWT22</v>
      </c>
      <c r="B18" s="4" t="str">
        <f>'Forecast drivers'!B19</f>
        <v>NWT</v>
      </c>
      <c r="C18" s="4">
        <f>'Forecast drivers'!C19</f>
        <v>2022</v>
      </c>
      <c r="D18" s="46">
        <v>72.099310590382714</v>
      </c>
      <c r="E18" s="46">
        <v>202.23184159031655</v>
      </c>
      <c r="F18" s="46">
        <v>137.43599587489527</v>
      </c>
      <c r="G18" s="46">
        <v>274.33115218069929</v>
      </c>
      <c r="H18" s="46">
        <v>339.66783746521185</v>
      </c>
      <c r="I18" s="46">
        <v>411.76714805559459</v>
      </c>
      <c r="J18" s="114">
        <v>0.127730966375148</v>
      </c>
      <c r="K18" s="114">
        <v>0</v>
      </c>
      <c r="L18" s="114">
        <v>9.9992360342591002</v>
      </c>
      <c r="M18" s="114">
        <v>3.1423197016750501</v>
      </c>
      <c r="N18" s="114">
        <v>0</v>
      </c>
      <c r="O18" s="114">
        <v>0</v>
      </c>
      <c r="P18" s="114">
        <v>0</v>
      </c>
      <c r="Q18" s="114">
        <v>5.5811752230871798</v>
      </c>
      <c r="R18" s="114">
        <v>0</v>
      </c>
      <c r="S18" s="114">
        <v>0</v>
      </c>
      <c r="T18" s="114">
        <v>0</v>
      </c>
      <c r="U18" s="114">
        <v>0.52291292748060503</v>
      </c>
      <c r="V18" s="114">
        <v>0</v>
      </c>
      <c r="W18" s="114">
        <v>0</v>
      </c>
      <c r="X18" s="114">
        <v>0</v>
      </c>
      <c r="Y18" s="114">
        <v>1.4305281486044701</v>
      </c>
      <c r="Z18" s="114">
        <v>0</v>
      </c>
      <c r="AA18" s="114">
        <v>0</v>
      </c>
      <c r="AB18" s="114">
        <v>0</v>
      </c>
      <c r="AC18" s="114">
        <v>0.28830745700506599</v>
      </c>
      <c r="AD18" s="104">
        <v>79.247644323900516</v>
      </c>
      <c r="AE18" s="104">
        <v>332.3653547216918</v>
      </c>
      <c r="AF18" s="104">
        <v>171.7100638612489</v>
      </c>
      <c r="AG18" s="104">
        <f t="shared" si="13"/>
        <v>411.61299904559235</v>
      </c>
      <c r="AH18" s="104">
        <f t="shared" si="14"/>
        <v>504.0754185829407</v>
      </c>
      <c r="AI18" s="104">
        <f t="shared" si="15"/>
        <v>583.32306290684119</v>
      </c>
      <c r="AJ18" s="106"/>
      <c r="AK18" s="106"/>
    </row>
    <row r="19" spans="1:49" x14ac:dyDescent="0.3">
      <c r="A19" s="4" t="str">
        <f t="shared" si="12"/>
        <v>NWT23</v>
      </c>
      <c r="B19" s="4" t="str">
        <f>'Forecast drivers'!B20</f>
        <v>NWT</v>
      </c>
      <c r="C19" s="4">
        <f>'Forecast drivers'!C20</f>
        <v>2023</v>
      </c>
      <c r="D19" s="46">
        <v>67.473454160812395</v>
      </c>
      <c r="E19" s="46">
        <v>200.83164442344901</v>
      </c>
      <c r="F19" s="46">
        <v>135.82927965898315</v>
      </c>
      <c r="G19" s="46">
        <v>268.30509858426137</v>
      </c>
      <c r="H19" s="46">
        <v>336.66092408243219</v>
      </c>
      <c r="I19" s="46">
        <v>404.13437824324456</v>
      </c>
      <c r="J19" s="114">
        <v>0.12804403246920501</v>
      </c>
      <c r="K19" s="114">
        <v>0</v>
      </c>
      <c r="L19" s="114">
        <v>10.1078204502435</v>
      </c>
      <c r="M19" s="114">
        <v>0.19170243906350101</v>
      </c>
      <c r="N19" s="114">
        <v>0</v>
      </c>
      <c r="O19" s="114">
        <v>0</v>
      </c>
      <c r="P19" s="114">
        <v>0</v>
      </c>
      <c r="Q19" s="114">
        <v>0.339986314632099</v>
      </c>
      <c r="R19" s="114">
        <v>0</v>
      </c>
      <c r="S19" s="114">
        <v>0</v>
      </c>
      <c r="T19" s="114">
        <v>0</v>
      </c>
      <c r="U19" s="114">
        <v>3.3164432283010803E-2</v>
      </c>
      <c r="V19" s="114">
        <v>0</v>
      </c>
      <c r="W19" s="114">
        <v>0</v>
      </c>
      <c r="X19" s="114">
        <v>0</v>
      </c>
      <c r="Y19" s="114">
        <v>9.0811250479362796E-2</v>
      </c>
      <c r="Z19" s="114">
        <v>0</v>
      </c>
      <c r="AA19" s="114">
        <v>0</v>
      </c>
      <c r="AB19" s="114">
        <v>0</v>
      </c>
      <c r="AC19" s="114">
        <v>1.82985984586755E-2</v>
      </c>
      <c r="AD19" s="104">
        <v>74.621811251494378</v>
      </c>
      <c r="AE19" s="104">
        <v>289.89318846207192</v>
      </c>
      <c r="AF19" s="104">
        <v>172.0287484324258</v>
      </c>
      <c r="AG19" s="104">
        <f t="shared" si="13"/>
        <v>364.51499971356628</v>
      </c>
      <c r="AH19" s="104">
        <f t="shared" si="14"/>
        <v>461.92193689449772</v>
      </c>
      <c r="AI19" s="104">
        <f t="shared" si="15"/>
        <v>536.54374814599214</v>
      </c>
      <c r="AJ19" s="106"/>
      <c r="AK19" s="106"/>
    </row>
    <row r="20" spans="1:49" x14ac:dyDescent="0.3">
      <c r="A20" s="4" t="str">
        <f t="shared" si="12"/>
        <v>NWT24</v>
      </c>
      <c r="B20" s="4" t="str">
        <f>'Forecast drivers'!B21</f>
        <v>NWT</v>
      </c>
      <c r="C20" s="4">
        <f>'Forecast drivers'!C21</f>
        <v>2024</v>
      </c>
      <c r="D20" s="46">
        <v>62.607697237875875</v>
      </c>
      <c r="E20" s="46">
        <v>228.91216137359595</v>
      </c>
      <c r="F20" s="46">
        <v>136.33076674302382</v>
      </c>
      <c r="G20" s="46">
        <v>291.51985861147182</v>
      </c>
      <c r="H20" s="46">
        <v>365.24292811661974</v>
      </c>
      <c r="I20" s="46">
        <v>427.85062535449561</v>
      </c>
      <c r="J20" s="114">
        <v>0.127730966375148</v>
      </c>
      <c r="K20" s="114">
        <v>0</v>
      </c>
      <c r="L20" s="114">
        <v>9.8172362173308407</v>
      </c>
      <c r="M20" s="114">
        <v>0.16757242134275899</v>
      </c>
      <c r="N20" s="114">
        <v>0</v>
      </c>
      <c r="O20" s="114">
        <v>0</v>
      </c>
      <c r="P20" s="114">
        <v>0</v>
      </c>
      <c r="Q20" s="114">
        <v>0.29703966374607199</v>
      </c>
      <c r="R20" s="114">
        <v>0</v>
      </c>
      <c r="S20" s="114">
        <v>0</v>
      </c>
      <c r="T20" s="114">
        <v>0</v>
      </c>
      <c r="U20" s="114">
        <v>2.9675995251913001E-2</v>
      </c>
      <c r="V20" s="114">
        <v>0</v>
      </c>
      <c r="W20" s="114">
        <v>0</v>
      </c>
      <c r="X20" s="114">
        <v>0</v>
      </c>
      <c r="Y20" s="114">
        <v>8.1347430230242906E-2</v>
      </c>
      <c r="Z20" s="114">
        <v>0</v>
      </c>
      <c r="AA20" s="114">
        <v>0</v>
      </c>
      <c r="AB20" s="114">
        <v>0</v>
      </c>
      <c r="AC20" s="114">
        <v>1.6388012281613702E-2</v>
      </c>
      <c r="AD20" s="104">
        <v>69.756062946112664</v>
      </c>
      <c r="AE20" s="104">
        <v>456.32335873031792</v>
      </c>
      <c r="AF20" s="104">
        <v>190.00864639102394</v>
      </c>
      <c r="AG20" s="104">
        <f t="shared" si="13"/>
        <v>526.07942167643057</v>
      </c>
      <c r="AH20" s="104">
        <f t="shared" si="14"/>
        <v>646.33200512134181</v>
      </c>
      <c r="AI20" s="104">
        <f t="shared" si="15"/>
        <v>716.08806806745451</v>
      </c>
      <c r="AJ20" s="106"/>
      <c r="AK20" s="106"/>
    </row>
    <row r="21" spans="1:49" x14ac:dyDescent="0.3">
      <c r="A21" s="4" t="str">
        <f t="shared" si="12"/>
        <v>NWT25</v>
      </c>
      <c r="B21" s="4" t="str">
        <f>'Forecast drivers'!B22</f>
        <v>NWT</v>
      </c>
      <c r="C21" s="4">
        <f>'Forecast drivers'!C22</f>
        <v>2025</v>
      </c>
      <c r="D21" s="46">
        <v>64.803339613933289</v>
      </c>
      <c r="E21" s="46">
        <v>205.37960466393847</v>
      </c>
      <c r="F21" s="46">
        <v>136.61929386899826</v>
      </c>
      <c r="G21" s="46">
        <v>270.18294427787174</v>
      </c>
      <c r="H21" s="46">
        <v>341.99889853293672</v>
      </c>
      <c r="I21" s="46">
        <v>406.80223814687002</v>
      </c>
      <c r="J21" s="114">
        <v>0.127730966375148</v>
      </c>
      <c r="K21" s="114">
        <v>0</v>
      </c>
      <c r="L21" s="114">
        <v>9.5354792868124392</v>
      </c>
      <c r="M21" s="114">
        <v>0.10661877402315501</v>
      </c>
      <c r="N21" s="114">
        <v>0</v>
      </c>
      <c r="O21" s="114">
        <v>0</v>
      </c>
      <c r="P21" s="114">
        <v>0</v>
      </c>
      <c r="Q21" s="114">
        <v>0.18899294126732999</v>
      </c>
      <c r="R21" s="114">
        <v>0</v>
      </c>
      <c r="S21" s="114">
        <v>0</v>
      </c>
      <c r="T21" s="114">
        <v>0</v>
      </c>
      <c r="U21" s="114">
        <v>1.9337257514626199E-2</v>
      </c>
      <c r="V21" s="114">
        <v>0</v>
      </c>
      <c r="W21" s="114">
        <v>0</v>
      </c>
      <c r="X21" s="114">
        <v>0</v>
      </c>
      <c r="Y21" s="114">
        <v>5.3101423258991101E-2</v>
      </c>
      <c r="Z21" s="114">
        <v>0</v>
      </c>
      <c r="AA21" s="114">
        <v>0</v>
      </c>
      <c r="AB21" s="114">
        <v>0</v>
      </c>
      <c r="AC21" s="114">
        <v>1.06937956398807E-2</v>
      </c>
      <c r="AD21" s="104">
        <v>71.951713981967828</v>
      </c>
      <c r="AE21" s="104">
        <v>366.84942421598271</v>
      </c>
      <c r="AF21" s="104">
        <v>207.23636478109512</v>
      </c>
      <c r="AG21" s="104">
        <f t="shared" si="13"/>
        <v>438.80113819795054</v>
      </c>
      <c r="AH21" s="104">
        <f t="shared" si="14"/>
        <v>574.08578899707777</v>
      </c>
      <c r="AI21" s="104">
        <f t="shared" si="15"/>
        <v>646.03750297904571</v>
      </c>
      <c r="AJ21" s="106"/>
      <c r="AK21" s="106"/>
    </row>
    <row r="22" spans="1:49" x14ac:dyDescent="0.3">
      <c r="A22" s="4" t="str">
        <f t="shared" si="12"/>
        <v>SRN21</v>
      </c>
      <c r="B22" s="4" t="str">
        <f>'Forecast drivers'!B23</f>
        <v>SRN</v>
      </c>
      <c r="C22" s="4">
        <f>'Forecast drivers'!C23</f>
        <v>2021</v>
      </c>
      <c r="D22" s="46">
        <v>34.793000000000006</v>
      </c>
      <c r="E22" s="46">
        <v>140.78199999999998</v>
      </c>
      <c r="F22" s="46">
        <v>90.132778000000002</v>
      </c>
      <c r="G22" s="46">
        <v>175.57499999999999</v>
      </c>
      <c r="H22" s="46">
        <v>230.91477799999998</v>
      </c>
      <c r="I22" s="46">
        <v>265.70777799999996</v>
      </c>
      <c r="J22" s="114">
        <v>0</v>
      </c>
      <c r="K22" s="114">
        <v>1.8839999999999999</v>
      </c>
      <c r="L22" s="114">
        <v>20.62</v>
      </c>
      <c r="M22" s="114">
        <v>4.7969999999999997</v>
      </c>
      <c r="N22" s="114">
        <v>0</v>
      </c>
      <c r="O22" s="114">
        <v>0</v>
      </c>
      <c r="P22" s="114">
        <v>0</v>
      </c>
      <c r="Q22" s="114">
        <v>5.04</v>
      </c>
      <c r="R22" s="114">
        <v>0</v>
      </c>
      <c r="S22" s="114">
        <v>0</v>
      </c>
      <c r="T22" s="114">
        <v>0</v>
      </c>
      <c r="U22" s="114">
        <v>0</v>
      </c>
      <c r="V22" s="114">
        <v>0</v>
      </c>
      <c r="W22" s="114">
        <v>0</v>
      </c>
      <c r="X22" s="114">
        <v>0</v>
      </c>
      <c r="Y22" s="114">
        <v>0.79700000000000004</v>
      </c>
      <c r="Z22" s="114">
        <v>0</v>
      </c>
      <c r="AA22" s="114">
        <v>0</v>
      </c>
      <c r="AB22" s="114">
        <v>0</v>
      </c>
      <c r="AC22" s="114">
        <v>0</v>
      </c>
      <c r="AD22" s="104">
        <v>36.511000000000003</v>
      </c>
      <c r="AE22" s="104">
        <v>289.91199999999998</v>
      </c>
      <c r="AF22" s="104">
        <v>143.76</v>
      </c>
      <c r="AG22" s="104">
        <f t="shared" si="13"/>
        <v>326.423</v>
      </c>
      <c r="AH22" s="104">
        <f t="shared" si="14"/>
        <v>433.67199999999997</v>
      </c>
      <c r="AI22" s="104">
        <f t="shared" si="15"/>
        <v>470.18299999999999</v>
      </c>
      <c r="AJ22" s="106"/>
      <c r="AK22" s="106"/>
    </row>
    <row r="23" spans="1:49" x14ac:dyDescent="0.3">
      <c r="A23" s="4" t="str">
        <f t="shared" si="12"/>
        <v>SRN22</v>
      </c>
      <c r="B23" s="4" t="str">
        <f>'Forecast drivers'!B24</f>
        <v>SRN</v>
      </c>
      <c r="C23" s="4">
        <f>'Forecast drivers'!C24</f>
        <v>2022</v>
      </c>
      <c r="D23" s="46">
        <v>38.956000000000003</v>
      </c>
      <c r="E23" s="46">
        <v>152.86799999999999</v>
      </c>
      <c r="F23" s="46">
        <v>89.964777999999995</v>
      </c>
      <c r="G23" s="46">
        <v>191.82400000000001</v>
      </c>
      <c r="H23" s="46">
        <v>242.83277799999999</v>
      </c>
      <c r="I23" s="46">
        <v>281.78877799999998</v>
      </c>
      <c r="J23" s="114">
        <v>0</v>
      </c>
      <c r="K23" s="114">
        <v>1.8839999999999999</v>
      </c>
      <c r="L23" s="114">
        <v>19.978000000000002</v>
      </c>
      <c r="M23" s="114">
        <v>4.8600000000000003</v>
      </c>
      <c r="N23" s="114">
        <v>0</v>
      </c>
      <c r="O23" s="114">
        <v>0</v>
      </c>
      <c r="P23" s="114">
        <v>0</v>
      </c>
      <c r="Q23" s="114">
        <v>5.1070000000000002</v>
      </c>
      <c r="R23" s="114">
        <v>0</v>
      </c>
      <c r="S23" s="114">
        <v>0</v>
      </c>
      <c r="T23" s="114">
        <v>0</v>
      </c>
      <c r="U23" s="114">
        <v>0</v>
      </c>
      <c r="V23" s="114">
        <v>0</v>
      </c>
      <c r="W23" s="114">
        <v>0</v>
      </c>
      <c r="X23" s="114">
        <v>0</v>
      </c>
      <c r="Y23" s="114">
        <v>0.80800000000000005</v>
      </c>
      <c r="Z23" s="114">
        <v>0</v>
      </c>
      <c r="AA23" s="114">
        <v>0</v>
      </c>
      <c r="AB23" s="114">
        <v>0</v>
      </c>
      <c r="AC23" s="114">
        <v>0</v>
      </c>
      <c r="AD23" s="104">
        <v>40.932000000000002</v>
      </c>
      <c r="AE23" s="104">
        <v>420.80599999999998</v>
      </c>
      <c r="AF23" s="104">
        <v>156.08500000000001</v>
      </c>
      <c r="AG23" s="104">
        <f t="shared" si="13"/>
        <v>461.738</v>
      </c>
      <c r="AH23" s="104">
        <f t="shared" si="14"/>
        <v>576.89099999999996</v>
      </c>
      <c r="AI23" s="104">
        <f t="shared" si="15"/>
        <v>617.82299999999998</v>
      </c>
      <c r="AJ23" s="106"/>
      <c r="AK23" s="106"/>
    </row>
    <row r="24" spans="1:49" x14ac:dyDescent="0.3">
      <c r="A24" s="4" t="str">
        <f t="shared" si="12"/>
        <v>SRN23</v>
      </c>
      <c r="B24" s="4" t="str">
        <f>'Forecast drivers'!B25</f>
        <v>SRN</v>
      </c>
      <c r="C24" s="4">
        <f>'Forecast drivers'!C25</f>
        <v>2023</v>
      </c>
      <c r="D24" s="46">
        <v>55.051000000000002</v>
      </c>
      <c r="E24" s="46">
        <v>170.98699999999999</v>
      </c>
      <c r="F24" s="46">
        <v>83.496777999999992</v>
      </c>
      <c r="G24" s="46">
        <v>226.03800000000001</v>
      </c>
      <c r="H24" s="46">
        <v>254.48377799999997</v>
      </c>
      <c r="I24" s="46">
        <v>309.53477799999996</v>
      </c>
      <c r="J24" s="114">
        <v>0</v>
      </c>
      <c r="K24" s="114">
        <v>1.8839999999999999</v>
      </c>
      <c r="L24" s="114">
        <v>19.695</v>
      </c>
      <c r="M24" s="114">
        <v>4.9459999999999997</v>
      </c>
      <c r="N24" s="114">
        <v>0</v>
      </c>
      <c r="O24" s="114">
        <v>0</v>
      </c>
      <c r="P24" s="114">
        <v>0</v>
      </c>
      <c r="Q24" s="114">
        <v>5.1959999999999997</v>
      </c>
      <c r="R24" s="114">
        <v>0</v>
      </c>
      <c r="S24" s="114">
        <v>0</v>
      </c>
      <c r="T24" s="114">
        <v>0</v>
      </c>
      <c r="U24" s="114">
        <v>0</v>
      </c>
      <c r="V24" s="114">
        <v>0</v>
      </c>
      <c r="W24" s="114">
        <v>0</v>
      </c>
      <c r="X24" s="114">
        <v>0</v>
      </c>
      <c r="Y24" s="114">
        <v>0.82199999999999995</v>
      </c>
      <c r="Z24" s="114">
        <v>0</v>
      </c>
      <c r="AA24" s="114">
        <v>0</v>
      </c>
      <c r="AB24" s="114">
        <v>0</v>
      </c>
      <c r="AC24" s="114">
        <v>0</v>
      </c>
      <c r="AD24" s="104">
        <v>58.718000000000004</v>
      </c>
      <c r="AE24" s="104">
        <v>430.24199999999996</v>
      </c>
      <c r="AF24" s="104">
        <v>151</v>
      </c>
      <c r="AG24" s="104">
        <f t="shared" si="13"/>
        <v>488.96</v>
      </c>
      <c r="AH24" s="104">
        <f t="shared" si="14"/>
        <v>581.24199999999996</v>
      </c>
      <c r="AI24" s="104">
        <f t="shared" si="15"/>
        <v>639.96</v>
      </c>
      <c r="AJ24" s="106"/>
      <c r="AK24" s="106"/>
    </row>
    <row r="25" spans="1:49" x14ac:dyDescent="0.3">
      <c r="A25" s="4" t="str">
        <f t="shared" si="12"/>
        <v>SRN24</v>
      </c>
      <c r="B25" s="4" t="str">
        <f>'Forecast drivers'!B26</f>
        <v>SRN</v>
      </c>
      <c r="C25" s="4">
        <f>'Forecast drivers'!C26</f>
        <v>2024</v>
      </c>
      <c r="D25" s="46">
        <v>34.582999999999998</v>
      </c>
      <c r="E25" s="46">
        <v>188.673</v>
      </c>
      <c r="F25" s="46">
        <v>81.730778000000015</v>
      </c>
      <c r="G25" s="46">
        <v>223.256</v>
      </c>
      <c r="H25" s="46">
        <v>270.40377799999999</v>
      </c>
      <c r="I25" s="46">
        <v>304.98677799999996</v>
      </c>
      <c r="J25" s="114">
        <v>0</v>
      </c>
      <c r="K25" s="114">
        <v>1.8839999999999999</v>
      </c>
      <c r="L25" s="114">
        <v>19.407</v>
      </c>
      <c r="M25" s="114">
        <v>4.9240000000000004</v>
      </c>
      <c r="N25" s="114">
        <v>0</v>
      </c>
      <c r="O25" s="114">
        <v>0</v>
      </c>
      <c r="P25" s="114">
        <v>0</v>
      </c>
      <c r="Q25" s="114">
        <v>5.1740000000000004</v>
      </c>
      <c r="R25" s="114">
        <v>0</v>
      </c>
      <c r="S25" s="114">
        <v>0</v>
      </c>
      <c r="T25" s="114">
        <v>0</v>
      </c>
      <c r="U25" s="114">
        <v>0</v>
      </c>
      <c r="V25" s="114">
        <v>0</v>
      </c>
      <c r="W25" s="114">
        <v>0</v>
      </c>
      <c r="X25" s="114">
        <v>0</v>
      </c>
      <c r="Y25" s="114">
        <v>0.81799999999999995</v>
      </c>
      <c r="Z25" s="114">
        <v>0</v>
      </c>
      <c r="AA25" s="114">
        <v>0</v>
      </c>
      <c r="AB25" s="114">
        <v>0</v>
      </c>
      <c r="AC25" s="114">
        <v>0</v>
      </c>
      <c r="AD25" s="104">
        <v>36.97</v>
      </c>
      <c r="AE25" s="104">
        <v>316.77300000000002</v>
      </c>
      <c r="AF25" s="104">
        <v>148.56400000000002</v>
      </c>
      <c r="AG25" s="104">
        <f t="shared" si="13"/>
        <v>353.74300000000005</v>
      </c>
      <c r="AH25" s="104">
        <f t="shared" si="14"/>
        <v>465.33700000000005</v>
      </c>
      <c r="AI25" s="104">
        <f t="shared" si="15"/>
        <v>502.30700000000007</v>
      </c>
      <c r="AJ25" s="106"/>
      <c r="AK25" s="106"/>
    </row>
    <row r="26" spans="1:49" x14ac:dyDescent="0.3">
      <c r="A26" s="4" t="str">
        <f t="shared" si="12"/>
        <v>SRN25</v>
      </c>
      <c r="B26" s="4" t="str">
        <f>'Forecast drivers'!B27</f>
        <v>SRN</v>
      </c>
      <c r="C26" s="4">
        <f>'Forecast drivers'!C27</f>
        <v>2025</v>
      </c>
      <c r="D26" s="46">
        <v>29.509999999999998</v>
      </c>
      <c r="E26" s="46">
        <v>168.125</v>
      </c>
      <c r="F26" s="46">
        <v>75.336777999999995</v>
      </c>
      <c r="G26" s="46">
        <v>197.63499999999999</v>
      </c>
      <c r="H26" s="46">
        <v>243.46177799999998</v>
      </c>
      <c r="I26" s="46">
        <v>272.97177799999997</v>
      </c>
      <c r="J26" s="114">
        <v>0</v>
      </c>
      <c r="K26" s="114">
        <v>1.8839999999999999</v>
      </c>
      <c r="L26" s="114">
        <v>18.814</v>
      </c>
      <c r="M26" s="114">
        <v>4.976</v>
      </c>
      <c r="N26" s="114">
        <v>0</v>
      </c>
      <c r="O26" s="114">
        <v>0</v>
      </c>
      <c r="P26" s="114">
        <v>0</v>
      </c>
      <c r="Q26" s="114">
        <v>5.2290000000000001</v>
      </c>
      <c r="R26" s="114">
        <v>0</v>
      </c>
      <c r="S26" s="114">
        <v>0</v>
      </c>
      <c r="T26" s="114">
        <v>0</v>
      </c>
      <c r="U26" s="114">
        <v>0</v>
      </c>
      <c r="V26" s="114">
        <v>0</v>
      </c>
      <c r="W26" s="114">
        <v>0</v>
      </c>
      <c r="X26" s="114">
        <v>0</v>
      </c>
      <c r="Y26" s="114">
        <v>0.82699999999999996</v>
      </c>
      <c r="Z26" s="114">
        <v>0</v>
      </c>
      <c r="AA26" s="114">
        <v>0</v>
      </c>
      <c r="AB26" s="114">
        <v>0</v>
      </c>
      <c r="AC26" s="114">
        <v>0</v>
      </c>
      <c r="AD26" s="104">
        <v>31.018000000000001</v>
      </c>
      <c r="AE26" s="104">
        <v>244.99599999999998</v>
      </c>
      <c r="AF26" s="104">
        <v>137.94800000000001</v>
      </c>
      <c r="AG26" s="104">
        <f t="shared" si="13"/>
        <v>276.01400000000001</v>
      </c>
      <c r="AH26" s="104">
        <f t="shared" si="14"/>
        <v>382.94399999999996</v>
      </c>
      <c r="AI26" s="104">
        <f t="shared" si="15"/>
        <v>413.96199999999999</v>
      </c>
      <c r="AJ26" s="106"/>
      <c r="AK26" s="106"/>
    </row>
    <row r="27" spans="1:49" x14ac:dyDescent="0.3">
      <c r="A27" s="4" t="str">
        <f t="shared" si="12"/>
        <v>SVT21</v>
      </c>
      <c r="B27" s="4" t="str">
        <f>'Forecast drivers'!B28</f>
        <v>SVT</v>
      </c>
      <c r="C27" s="4">
        <f>'Forecast drivers'!C28</f>
        <v>2021</v>
      </c>
      <c r="D27" s="46">
        <v>0</v>
      </c>
      <c r="E27" s="46">
        <v>0</v>
      </c>
      <c r="F27" s="46">
        <v>0</v>
      </c>
      <c r="G27" s="46">
        <v>0</v>
      </c>
      <c r="H27" s="46">
        <v>0</v>
      </c>
      <c r="I27" s="46">
        <v>0</v>
      </c>
      <c r="J27" s="114">
        <v>0</v>
      </c>
      <c r="K27" s="114">
        <v>0</v>
      </c>
      <c r="L27" s="114">
        <v>0</v>
      </c>
      <c r="M27" s="114">
        <v>0</v>
      </c>
      <c r="N27" s="114">
        <v>0</v>
      </c>
      <c r="O27" s="114">
        <v>0</v>
      </c>
      <c r="P27" s="114">
        <v>0</v>
      </c>
      <c r="Q27" s="114">
        <v>0</v>
      </c>
      <c r="R27" s="114">
        <v>0</v>
      </c>
      <c r="S27" s="114">
        <v>0</v>
      </c>
      <c r="T27" s="114">
        <v>0</v>
      </c>
      <c r="U27" s="114">
        <v>0</v>
      </c>
      <c r="V27" s="114">
        <v>0</v>
      </c>
      <c r="W27" s="114">
        <v>0</v>
      </c>
      <c r="X27" s="114">
        <v>0</v>
      </c>
      <c r="Y27" s="114">
        <v>0</v>
      </c>
      <c r="Z27" s="114">
        <v>0</v>
      </c>
      <c r="AA27" s="114">
        <v>0</v>
      </c>
      <c r="AB27" s="114">
        <v>0</v>
      </c>
      <c r="AC27" s="114">
        <v>0</v>
      </c>
      <c r="AD27" s="104">
        <v>0</v>
      </c>
      <c r="AE27" s="104">
        <v>0</v>
      </c>
      <c r="AF27" s="104">
        <v>0</v>
      </c>
      <c r="AG27" s="104">
        <f t="shared" si="13"/>
        <v>0</v>
      </c>
      <c r="AH27" s="104">
        <f t="shared" si="14"/>
        <v>0</v>
      </c>
      <c r="AI27" s="104">
        <f t="shared" si="15"/>
        <v>0</v>
      </c>
      <c r="AJ27" s="106"/>
      <c r="AK27" s="106"/>
    </row>
    <row r="28" spans="1:49" x14ac:dyDescent="0.3">
      <c r="A28" s="4" t="str">
        <f t="shared" si="12"/>
        <v>SVT22</v>
      </c>
      <c r="B28" s="4" t="str">
        <f>'Forecast drivers'!B29</f>
        <v>SVT</v>
      </c>
      <c r="C28" s="4">
        <f>'Forecast drivers'!C29</f>
        <v>2022</v>
      </c>
      <c r="D28" s="46">
        <v>0</v>
      </c>
      <c r="E28" s="46">
        <v>0</v>
      </c>
      <c r="F28" s="46">
        <v>0</v>
      </c>
      <c r="G28" s="46">
        <v>0</v>
      </c>
      <c r="H28" s="46">
        <v>0</v>
      </c>
      <c r="I28" s="46">
        <v>0</v>
      </c>
      <c r="J28" s="114">
        <v>0</v>
      </c>
      <c r="K28" s="114">
        <v>0</v>
      </c>
      <c r="L28" s="114">
        <v>0</v>
      </c>
      <c r="M28" s="114">
        <v>0</v>
      </c>
      <c r="N28" s="114">
        <v>0</v>
      </c>
      <c r="O28" s="114">
        <v>0</v>
      </c>
      <c r="P28" s="114">
        <v>0</v>
      </c>
      <c r="Q28" s="114">
        <v>0</v>
      </c>
      <c r="R28" s="114">
        <v>0</v>
      </c>
      <c r="S28" s="114">
        <v>0</v>
      </c>
      <c r="T28" s="114">
        <v>0</v>
      </c>
      <c r="U28" s="114">
        <v>0</v>
      </c>
      <c r="V28" s="114">
        <v>0</v>
      </c>
      <c r="W28" s="114">
        <v>0</v>
      </c>
      <c r="X28" s="114">
        <v>0</v>
      </c>
      <c r="Y28" s="114">
        <v>0</v>
      </c>
      <c r="Z28" s="114">
        <v>0</v>
      </c>
      <c r="AA28" s="114">
        <v>0</v>
      </c>
      <c r="AB28" s="114">
        <v>0</v>
      </c>
      <c r="AC28" s="114">
        <v>0</v>
      </c>
      <c r="AD28" s="104">
        <v>0</v>
      </c>
      <c r="AE28" s="104">
        <v>0</v>
      </c>
      <c r="AF28" s="104">
        <v>0</v>
      </c>
      <c r="AG28" s="104">
        <f t="shared" si="13"/>
        <v>0</v>
      </c>
      <c r="AH28" s="104">
        <f t="shared" si="14"/>
        <v>0</v>
      </c>
      <c r="AI28" s="104">
        <f t="shared" si="15"/>
        <v>0</v>
      </c>
      <c r="AJ28" s="106"/>
      <c r="AK28" s="106"/>
    </row>
    <row r="29" spans="1:49" x14ac:dyDescent="0.3">
      <c r="A29" s="4" t="str">
        <f t="shared" si="12"/>
        <v>SVT23</v>
      </c>
      <c r="B29" s="4" t="str">
        <f>'Forecast drivers'!B30</f>
        <v>SVT</v>
      </c>
      <c r="C29" s="4">
        <f>'Forecast drivers'!C30</f>
        <v>2023</v>
      </c>
      <c r="D29" s="46">
        <v>0</v>
      </c>
      <c r="E29" s="46">
        <v>0</v>
      </c>
      <c r="F29" s="46">
        <v>0</v>
      </c>
      <c r="G29" s="46">
        <v>0</v>
      </c>
      <c r="H29" s="46">
        <v>0</v>
      </c>
      <c r="I29" s="46">
        <v>0</v>
      </c>
      <c r="J29" s="114">
        <v>0</v>
      </c>
      <c r="K29" s="114">
        <v>0</v>
      </c>
      <c r="L29" s="114">
        <v>0</v>
      </c>
      <c r="M29" s="114">
        <v>0</v>
      </c>
      <c r="N29" s="114">
        <v>0</v>
      </c>
      <c r="O29" s="114">
        <v>0</v>
      </c>
      <c r="P29" s="114">
        <v>0</v>
      </c>
      <c r="Q29" s="114">
        <v>0</v>
      </c>
      <c r="R29" s="114">
        <v>0</v>
      </c>
      <c r="S29" s="114">
        <v>0</v>
      </c>
      <c r="T29" s="114">
        <v>0</v>
      </c>
      <c r="U29" s="114">
        <v>0</v>
      </c>
      <c r="V29" s="114">
        <v>0</v>
      </c>
      <c r="W29" s="114">
        <v>0</v>
      </c>
      <c r="X29" s="114">
        <v>0</v>
      </c>
      <c r="Y29" s="114">
        <v>0</v>
      </c>
      <c r="Z29" s="114">
        <v>0</v>
      </c>
      <c r="AA29" s="114">
        <v>0</v>
      </c>
      <c r="AB29" s="114">
        <v>0</v>
      </c>
      <c r="AC29" s="114">
        <v>0</v>
      </c>
      <c r="AD29" s="104">
        <v>0</v>
      </c>
      <c r="AE29" s="104">
        <v>0</v>
      </c>
      <c r="AF29" s="104">
        <v>0</v>
      </c>
      <c r="AG29" s="104">
        <f t="shared" si="13"/>
        <v>0</v>
      </c>
      <c r="AH29" s="104">
        <f t="shared" si="14"/>
        <v>0</v>
      </c>
      <c r="AI29" s="104">
        <f t="shared" si="15"/>
        <v>0</v>
      </c>
      <c r="AJ29" s="106"/>
      <c r="AK29" s="106"/>
    </row>
    <row r="30" spans="1:49" x14ac:dyDescent="0.3">
      <c r="A30" s="4" t="str">
        <f t="shared" si="12"/>
        <v>SVT24</v>
      </c>
      <c r="B30" s="4" t="str">
        <f>'Forecast drivers'!B31</f>
        <v>SVT</v>
      </c>
      <c r="C30" s="4">
        <f>'Forecast drivers'!C31</f>
        <v>2024</v>
      </c>
      <c r="D30" s="46">
        <v>0</v>
      </c>
      <c r="E30" s="46">
        <v>0</v>
      </c>
      <c r="F30" s="46">
        <v>0</v>
      </c>
      <c r="G30" s="46">
        <v>0</v>
      </c>
      <c r="H30" s="46">
        <v>0</v>
      </c>
      <c r="I30" s="46">
        <v>0</v>
      </c>
      <c r="J30" s="114">
        <v>0</v>
      </c>
      <c r="K30" s="114">
        <v>0</v>
      </c>
      <c r="L30" s="114">
        <v>0</v>
      </c>
      <c r="M30" s="114">
        <v>0</v>
      </c>
      <c r="N30" s="114">
        <v>0</v>
      </c>
      <c r="O30" s="114">
        <v>0</v>
      </c>
      <c r="P30" s="114">
        <v>0</v>
      </c>
      <c r="Q30" s="114">
        <v>0</v>
      </c>
      <c r="R30" s="114">
        <v>0</v>
      </c>
      <c r="S30" s="114">
        <v>0</v>
      </c>
      <c r="T30" s="114">
        <v>0</v>
      </c>
      <c r="U30" s="114">
        <v>0</v>
      </c>
      <c r="V30" s="114">
        <v>0</v>
      </c>
      <c r="W30" s="114">
        <v>0</v>
      </c>
      <c r="X30" s="114">
        <v>0</v>
      </c>
      <c r="Y30" s="114">
        <v>0</v>
      </c>
      <c r="Z30" s="114">
        <v>0</v>
      </c>
      <c r="AA30" s="114">
        <v>0</v>
      </c>
      <c r="AB30" s="114">
        <v>0</v>
      </c>
      <c r="AC30" s="114">
        <v>0</v>
      </c>
      <c r="AD30" s="104">
        <v>0</v>
      </c>
      <c r="AE30" s="104">
        <v>0</v>
      </c>
      <c r="AF30" s="104">
        <v>0</v>
      </c>
      <c r="AG30" s="104">
        <f t="shared" si="13"/>
        <v>0</v>
      </c>
      <c r="AH30" s="104">
        <f t="shared" si="14"/>
        <v>0</v>
      </c>
      <c r="AI30" s="104">
        <f t="shared" si="15"/>
        <v>0</v>
      </c>
      <c r="AJ30" s="106"/>
      <c r="AK30" s="106"/>
    </row>
    <row r="31" spans="1:49" x14ac:dyDescent="0.3">
      <c r="A31" s="4" t="str">
        <f t="shared" si="12"/>
        <v>SVT25</v>
      </c>
      <c r="B31" s="4" t="str">
        <f>'Forecast drivers'!B32</f>
        <v>SVT</v>
      </c>
      <c r="C31" s="4">
        <f>'Forecast drivers'!C32</f>
        <v>2025</v>
      </c>
      <c r="D31" s="46">
        <v>0</v>
      </c>
      <c r="E31" s="46">
        <v>0</v>
      </c>
      <c r="F31" s="46">
        <v>0</v>
      </c>
      <c r="G31" s="46">
        <v>0</v>
      </c>
      <c r="H31" s="46">
        <v>0</v>
      </c>
      <c r="I31" s="46">
        <v>0</v>
      </c>
      <c r="J31" s="114">
        <v>0</v>
      </c>
      <c r="K31" s="114">
        <v>0</v>
      </c>
      <c r="L31" s="114">
        <v>0</v>
      </c>
      <c r="M31" s="114">
        <v>0</v>
      </c>
      <c r="N31" s="114">
        <v>0</v>
      </c>
      <c r="O31" s="114">
        <v>0</v>
      </c>
      <c r="P31" s="114">
        <v>0</v>
      </c>
      <c r="Q31" s="114">
        <v>0</v>
      </c>
      <c r="R31" s="114">
        <v>0</v>
      </c>
      <c r="S31" s="114">
        <v>0</v>
      </c>
      <c r="T31" s="114">
        <v>0</v>
      </c>
      <c r="U31" s="114">
        <v>0</v>
      </c>
      <c r="V31" s="114">
        <v>0</v>
      </c>
      <c r="W31" s="114">
        <v>0</v>
      </c>
      <c r="X31" s="114">
        <v>0</v>
      </c>
      <c r="Y31" s="114">
        <v>0</v>
      </c>
      <c r="Z31" s="114">
        <v>0</v>
      </c>
      <c r="AA31" s="114">
        <v>0</v>
      </c>
      <c r="AB31" s="114">
        <v>0</v>
      </c>
      <c r="AC31" s="114">
        <v>0</v>
      </c>
      <c r="AD31" s="104">
        <v>0</v>
      </c>
      <c r="AE31" s="104">
        <v>0</v>
      </c>
      <c r="AF31" s="104">
        <v>0</v>
      </c>
      <c r="AG31" s="104">
        <f t="shared" si="13"/>
        <v>0</v>
      </c>
      <c r="AH31" s="104">
        <f t="shared" si="14"/>
        <v>0</v>
      </c>
      <c r="AI31" s="104">
        <f t="shared" si="15"/>
        <v>0</v>
      </c>
      <c r="AJ31" s="106"/>
      <c r="AK31" s="106"/>
    </row>
    <row r="32" spans="1:49" x14ac:dyDescent="0.3">
      <c r="A32" s="4" t="str">
        <f t="shared" si="12"/>
        <v>SWB21</v>
      </c>
      <c r="B32" s="4" t="str">
        <f>'Forecast drivers'!B33</f>
        <v>SWB</v>
      </c>
      <c r="C32" s="4">
        <f>'Forecast drivers'!C33</f>
        <v>2021</v>
      </c>
      <c r="D32" s="46">
        <v>17.778000000000002</v>
      </c>
      <c r="E32" s="46">
        <v>65.084999999999994</v>
      </c>
      <c r="F32" s="46">
        <v>56.765999999999998</v>
      </c>
      <c r="G32" s="46">
        <v>82.863</v>
      </c>
      <c r="H32" s="46">
        <v>121.851</v>
      </c>
      <c r="I32" s="46">
        <v>139.62899999999999</v>
      </c>
      <c r="J32" s="114">
        <v>1.59</v>
      </c>
      <c r="K32" s="114">
        <v>0</v>
      </c>
      <c r="L32" s="114">
        <v>8.2769999999999992</v>
      </c>
      <c r="M32" s="114">
        <v>1.3460000000000001</v>
      </c>
      <c r="N32" s="114">
        <v>0</v>
      </c>
      <c r="O32" s="114">
        <v>0</v>
      </c>
      <c r="P32" s="114">
        <v>0</v>
      </c>
      <c r="Q32" s="114">
        <v>2.7229999999999999</v>
      </c>
      <c r="R32" s="114">
        <v>0</v>
      </c>
      <c r="S32" s="114">
        <v>0</v>
      </c>
      <c r="T32" s="114">
        <v>0</v>
      </c>
      <c r="U32" s="114">
        <v>0</v>
      </c>
      <c r="V32" s="114">
        <v>0</v>
      </c>
      <c r="W32" s="114">
        <v>0</v>
      </c>
      <c r="X32" s="114">
        <v>0</v>
      </c>
      <c r="Y32" s="114">
        <v>0.73099999999999998</v>
      </c>
      <c r="Z32" s="114">
        <v>0</v>
      </c>
      <c r="AA32" s="114">
        <v>0</v>
      </c>
      <c r="AB32" s="114">
        <v>0</v>
      </c>
      <c r="AC32" s="114">
        <v>7.9000000000000001E-2</v>
      </c>
      <c r="AD32" s="104">
        <v>19.739999999999998</v>
      </c>
      <c r="AE32" s="104">
        <v>113.06100000000001</v>
      </c>
      <c r="AF32" s="104">
        <v>78.890999999999991</v>
      </c>
      <c r="AG32" s="104">
        <f t="shared" si="13"/>
        <v>132.80100000000002</v>
      </c>
      <c r="AH32" s="104">
        <f t="shared" si="14"/>
        <v>191.952</v>
      </c>
      <c r="AI32" s="104">
        <f t="shared" si="15"/>
        <v>211.69200000000001</v>
      </c>
      <c r="AJ32" s="106"/>
      <c r="AK32" s="106"/>
    </row>
    <row r="33" spans="1:37" x14ac:dyDescent="0.3">
      <c r="A33" s="4" t="str">
        <f t="shared" si="12"/>
        <v>SWB22</v>
      </c>
      <c r="B33" s="4" t="str">
        <f>'Forecast drivers'!B34</f>
        <v>SWB</v>
      </c>
      <c r="C33" s="4">
        <f>'Forecast drivers'!C34</f>
        <v>2022</v>
      </c>
      <c r="D33" s="46">
        <v>17.98</v>
      </c>
      <c r="E33" s="46">
        <v>68.168000000000006</v>
      </c>
      <c r="F33" s="46">
        <v>56.88</v>
      </c>
      <c r="G33" s="46">
        <v>86.14800000000001</v>
      </c>
      <c r="H33" s="46">
        <v>125.048</v>
      </c>
      <c r="I33" s="46">
        <v>143.02799999999999</v>
      </c>
      <c r="J33" s="114">
        <v>1.59</v>
      </c>
      <c r="K33" s="114">
        <v>0</v>
      </c>
      <c r="L33" s="114">
        <v>9.5489999999999995</v>
      </c>
      <c r="M33" s="114">
        <v>1.359</v>
      </c>
      <c r="N33" s="114">
        <v>0</v>
      </c>
      <c r="O33" s="114">
        <v>0</v>
      </c>
      <c r="P33" s="114">
        <v>0</v>
      </c>
      <c r="Q33" s="114">
        <v>2.75</v>
      </c>
      <c r="R33" s="114">
        <v>0</v>
      </c>
      <c r="S33" s="114">
        <v>0</v>
      </c>
      <c r="T33" s="114">
        <v>0</v>
      </c>
      <c r="U33" s="114">
        <v>0</v>
      </c>
      <c r="V33" s="114">
        <v>0</v>
      </c>
      <c r="W33" s="114">
        <v>0</v>
      </c>
      <c r="X33" s="114">
        <v>0</v>
      </c>
      <c r="Y33" s="114">
        <v>0.73899999999999999</v>
      </c>
      <c r="Z33" s="114">
        <v>0</v>
      </c>
      <c r="AA33" s="114">
        <v>0</v>
      </c>
      <c r="AB33" s="114">
        <v>0</v>
      </c>
      <c r="AC33" s="114">
        <v>0.08</v>
      </c>
      <c r="AD33" s="104">
        <v>20.142999999999997</v>
      </c>
      <c r="AE33" s="104">
        <v>109.758</v>
      </c>
      <c r="AF33" s="104">
        <v>78.547999999999988</v>
      </c>
      <c r="AG33" s="104">
        <f t="shared" si="13"/>
        <v>129.90099999999998</v>
      </c>
      <c r="AH33" s="104">
        <f t="shared" si="14"/>
        <v>188.30599999999998</v>
      </c>
      <c r="AI33" s="104">
        <f t="shared" si="15"/>
        <v>208.44899999999996</v>
      </c>
      <c r="AJ33" s="106"/>
      <c r="AK33" s="106"/>
    </row>
    <row r="34" spans="1:37" x14ac:dyDescent="0.3">
      <c r="A34" s="4" t="str">
        <f t="shared" si="12"/>
        <v>SWB23</v>
      </c>
      <c r="B34" s="4" t="str">
        <f>'Forecast drivers'!B35</f>
        <v>SWB</v>
      </c>
      <c r="C34" s="4">
        <f>'Forecast drivers'!C35</f>
        <v>2023</v>
      </c>
      <c r="D34" s="46">
        <v>18.094000000000001</v>
      </c>
      <c r="E34" s="46">
        <v>63.048999999999999</v>
      </c>
      <c r="F34" s="46">
        <v>52.977000000000004</v>
      </c>
      <c r="G34" s="46">
        <v>81.143000000000001</v>
      </c>
      <c r="H34" s="46">
        <v>116.02600000000001</v>
      </c>
      <c r="I34" s="46">
        <v>134.12</v>
      </c>
      <c r="J34" s="114">
        <v>1.59</v>
      </c>
      <c r="K34" s="114">
        <v>0</v>
      </c>
      <c r="L34" s="114">
        <v>10.686</v>
      </c>
      <c r="M34" s="114">
        <v>0</v>
      </c>
      <c r="N34" s="114">
        <v>0</v>
      </c>
      <c r="O34" s="114">
        <v>0</v>
      </c>
      <c r="P34" s="114">
        <v>0</v>
      </c>
      <c r="Q34" s="114">
        <v>0</v>
      </c>
      <c r="R34" s="114">
        <v>0</v>
      </c>
      <c r="S34" s="114">
        <v>0</v>
      </c>
      <c r="T34" s="114">
        <v>0</v>
      </c>
      <c r="U34" s="114">
        <v>0</v>
      </c>
      <c r="V34" s="114">
        <v>0</v>
      </c>
      <c r="W34" s="114">
        <v>0</v>
      </c>
      <c r="X34" s="114">
        <v>0</v>
      </c>
      <c r="Y34" s="114">
        <v>0</v>
      </c>
      <c r="Z34" s="114">
        <v>0</v>
      </c>
      <c r="AA34" s="114">
        <v>0</v>
      </c>
      <c r="AB34" s="114">
        <v>0</v>
      </c>
      <c r="AC34" s="114">
        <v>0</v>
      </c>
      <c r="AD34" s="104">
        <v>20.808</v>
      </c>
      <c r="AE34" s="104">
        <v>102.364</v>
      </c>
      <c r="AF34" s="104">
        <v>70.086999999999989</v>
      </c>
      <c r="AG34" s="104">
        <f t="shared" si="13"/>
        <v>123.172</v>
      </c>
      <c r="AH34" s="104">
        <f t="shared" si="14"/>
        <v>172.45099999999999</v>
      </c>
      <c r="AI34" s="104">
        <f t="shared" si="15"/>
        <v>193.25899999999999</v>
      </c>
      <c r="AJ34" s="106"/>
      <c r="AK34" s="106"/>
    </row>
    <row r="35" spans="1:37" x14ac:dyDescent="0.3">
      <c r="A35" s="4" t="str">
        <f t="shared" si="12"/>
        <v>SWB24</v>
      </c>
      <c r="B35" s="4" t="str">
        <f>'Forecast drivers'!B36</f>
        <v>SWB</v>
      </c>
      <c r="C35" s="4">
        <f>'Forecast drivers'!C36</f>
        <v>2024</v>
      </c>
      <c r="D35" s="46">
        <v>18.04</v>
      </c>
      <c r="E35" s="46">
        <v>62.412999999999997</v>
      </c>
      <c r="F35" s="46">
        <v>52.721000000000004</v>
      </c>
      <c r="G35" s="46">
        <v>80.453000000000003</v>
      </c>
      <c r="H35" s="46">
        <v>115.134</v>
      </c>
      <c r="I35" s="46">
        <v>133.17400000000001</v>
      </c>
      <c r="J35" s="114">
        <v>1.59</v>
      </c>
      <c r="K35" s="114">
        <v>0</v>
      </c>
      <c r="L35" s="114">
        <v>10.744</v>
      </c>
      <c r="M35" s="114">
        <v>0</v>
      </c>
      <c r="N35" s="114">
        <v>0</v>
      </c>
      <c r="O35" s="114">
        <v>0</v>
      </c>
      <c r="P35" s="114">
        <v>0</v>
      </c>
      <c r="Q35" s="114">
        <v>0</v>
      </c>
      <c r="R35" s="114">
        <v>0</v>
      </c>
      <c r="S35" s="114">
        <v>0</v>
      </c>
      <c r="T35" s="114">
        <v>0</v>
      </c>
      <c r="U35" s="114">
        <v>0</v>
      </c>
      <c r="V35" s="114">
        <v>0</v>
      </c>
      <c r="W35" s="114">
        <v>0</v>
      </c>
      <c r="X35" s="114">
        <v>0</v>
      </c>
      <c r="Y35" s="114">
        <v>0</v>
      </c>
      <c r="Z35" s="114">
        <v>0</v>
      </c>
      <c r="AA35" s="114">
        <v>0</v>
      </c>
      <c r="AB35" s="114">
        <v>0</v>
      </c>
      <c r="AC35" s="114">
        <v>0</v>
      </c>
      <c r="AD35" s="104">
        <v>20.477999999999998</v>
      </c>
      <c r="AE35" s="104">
        <v>99.835999999999999</v>
      </c>
      <c r="AF35" s="104">
        <v>71.290999999999997</v>
      </c>
      <c r="AG35" s="104">
        <f t="shared" si="13"/>
        <v>120.31399999999999</v>
      </c>
      <c r="AH35" s="104">
        <f t="shared" si="14"/>
        <v>171.12700000000001</v>
      </c>
      <c r="AI35" s="104">
        <f t="shared" si="15"/>
        <v>191.60499999999999</v>
      </c>
      <c r="AJ35" s="106"/>
      <c r="AK35" s="106"/>
    </row>
    <row r="36" spans="1:37" x14ac:dyDescent="0.3">
      <c r="A36" s="4" t="str">
        <f t="shared" si="12"/>
        <v>SWB25</v>
      </c>
      <c r="B36" s="4" t="str">
        <f>'Forecast drivers'!B37</f>
        <v>SWB</v>
      </c>
      <c r="C36" s="4">
        <f>'Forecast drivers'!C37</f>
        <v>2025</v>
      </c>
      <c r="D36" s="46">
        <v>17.988</v>
      </c>
      <c r="E36" s="46">
        <v>63.668999999999997</v>
      </c>
      <c r="F36" s="46">
        <v>50.385999999999996</v>
      </c>
      <c r="G36" s="46">
        <v>81.656999999999996</v>
      </c>
      <c r="H36" s="46">
        <v>114.05499999999999</v>
      </c>
      <c r="I36" s="46">
        <v>132.04300000000001</v>
      </c>
      <c r="J36" s="114">
        <v>1.59</v>
      </c>
      <c r="K36" s="114">
        <v>0</v>
      </c>
      <c r="L36" s="114">
        <v>10.673</v>
      </c>
      <c r="M36" s="114">
        <v>0</v>
      </c>
      <c r="N36" s="114">
        <v>0</v>
      </c>
      <c r="O36" s="114">
        <v>0</v>
      </c>
      <c r="P36" s="114">
        <v>0</v>
      </c>
      <c r="Q36" s="114">
        <v>0</v>
      </c>
      <c r="R36" s="114">
        <v>0</v>
      </c>
      <c r="S36" s="114">
        <v>0</v>
      </c>
      <c r="T36" s="114">
        <v>0</v>
      </c>
      <c r="U36" s="114">
        <v>0</v>
      </c>
      <c r="V36" s="114">
        <v>0</v>
      </c>
      <c r="W36" s="114">
        <v>0</v>
      </c>
      <c r="X36" s="114">
        <v>0</v>
      </c>
      <c r="Y36" s="114">
        <v>0</v>
      </c>
      <c r="Z36" s="114">
        <v>0</v>
      </c>
      <c r="AA36" s="114">
        <v>0</v>
      </c>
      <c r="AB36" s="114">
        <v>0</v>
      </c>
      <c r="AC36" s="114">
        <v>0</v>
      </c>
      <c r="AD36" s="104">
        <v>19.954000000000001</v>
      </c>
      <c r="AE36" s="104">
        <v>89.86</v>
      </c>
      <c r="AF36" s="104">
        <v>68.440999999999988</v>
      </c>
      <c r="AG36" s="104">
        <f t="shared" si="13"/>
        <v>109.81399999999999</v>
      </c>
      <c r="AH36" s="104">
        <f t="shared" si="14"/>
        <v>158.30099999999999</v>
      </c>
      <c r="AI36" s="104">
        <f t="shared" si="15"/>
        <v>178.255</v>
      </c>
      <c r="AJ36" s="106"/>
      <c r="AK36" s="106"/>
    </row>
    <row r="37" spans="1:37" x14ac:dyDescent="0.3">
      <c r="A37" s="4" t="str">
        <f t="shared" si="12"/>
        <v>TMS21</v>
      </c>
      <c r="B37" s="4" t="str">
        <f>'Forecast drivers'!B38</f>
        <v>TMS</v>
      </c>
      <c r="C37" s="4">
        <f>'Forecast drivers'!C38</f>
        <v>2021</v>
      </c>
      <c r="D37" s="46">
        <v>110.66648778737381</v>
      </c>
      <c r="E37" s="46">
        <v>351.93676862063575</v>
      </c>
      <c r="F37" s="46">
        <v>307.62197755158724</v>
      </c>
      <c r="G37" s="46">
        <v>462.60325640800954</v>
      </c>
      <c r="H37" s="46">
        <v>659.55874617222298</v>
      </c>
      <c r="I37" s="46">
        <v>770.22523395959684</v>
      </c>
      <c r="J37" s="114">
        <v>3.5771075764204601</v>
      </c>
      <c r="K37" s="114">
        <v>0</v>
      </c>
      <c r="L37" s="114">
        <v>50.852212846960199</v>
      </c>
      <c r="M37" s="114">
        <v>3.64763725345539</v>
      </c>
      <c r="N37" s="114">
        <v>0.56744694495063897</v>
      </c>
      <c r="O37" s="114">
        <v>0</v>
      </c>
      <c r="P37" s="114">
        <v>0</v>
      </c>
      <c r="Q37" s="114">
        <v>3.9195424971294002</v>
      </c>
      <c r="R37" s="114">
        <v>2.0925375410327199E-2</v>
      </c>
      <c r="S37" s="114">
        <v>0</v>
      </c>
      <c r="T37" s="114">
        <v>0</v>
      </c>
      <c r="U37" s="114">
        <v>0.17101527052670301</v>
      </c>
      <c r="V37" s="114">
        <v>6.64688395386865E-2</v>
      </c>
      <c r="W37" s="114">
        <v>0</v>
      </c>
      <c r="X37" s="114">
        <v>0</v>
      </c>
      <c r="Y37" s="114">
        <v>1.96711888586523</v>
      </c>
      <c r="Z37" s="114">
        <v>3.56962286411465E-2</v>
      </c>
      <c r="AA37" s="114">
        <v>0</v>
      </c>
      <c r="AB37" s="114">
        <v>0</v>
      </c>
      <c r="AC37" s="114">
        <v>0.17253299302326999</v>
      </c>
      <c r="AD37" s="104">
        <v>125.82756792509996</v>
      </c>
      <c r="AE37" s="104">
        <v>494.316077419051</v>
      </c>
      <c r="AF37" s="104">
        <v>359.76815947788833</v>
      </c>
      <c r="AG37" s="104">
        <f t="shared" si="13"/>
        <v>620.14364534415097</v>
      </c>
      <c r="AH37" s="104">
        <f t="shared" si="14"/>
        <v>854.08423689693927</v>
      </c>
      <c r="AI37" s="104">
        <f t="shared" si="15"/>
        <v>979.91180482203936</v>
      </c>
      <c r="AJ37" s="106"/>
      <c r="AK37" s="106"/>
    </row>
    <row r="38" spans="1:37" x14ac:dyDescent="0.3">
      <c r="A38" s="4" t="str">
        <f t="shared" si="12"/>
        <v>TMS22</v>
      </c>
      <c r="B38" s="4" t="str">
        <f>'Forecast drivers'!B39</f>
        <v>TMS</v>
      </c>
      <c r="C38" s="4">
        <f>'Forecast drivers'!C39</f>
        <v>2022</v>
      </c>
      <c r="D38" s="46">
        <v>122.23084954238131</v>
      </c>
      <c r="E38" s="46">
        <v>343.71800857819494</v>
      </c>
      <c r="F38" s="46">
        <v>324.35125533621812</v>
      </c>
      <c r="G38" s="46">
        <v>465.94885812057623</v>
      </c>
      <c r="H38" s="46">
        <v>668.06926391441311</v>
      </c>
      <c r="I38" s="46">
        <v>790.30011345679441</v>
      </c>
      <c r="J38" s="114">
        <v>3.45062047502973</v>
      </c>
      <c r="K38" s="114">
        <v>0</v>
      </c>
      <c r="L38" s="114">
        <v>44.854290730315</v>
      </c>
      <c r="M38" s="114">
        <v>3.6637061400344901</v>
      </c>
      <c r="N38" s="114">
        <v>0.61195832539553496</v>
      </c>
      <c r="O38" s="114">
        <v>0</v>
      </c>
      <c r="P38" s="114">
        <v>0</v>
      </c>
      <c r="Q38" s="114">
        <v>3.9367991601123502</v>
      </c>
      <c r="R38" s="114">
        <v>2.2566792910464401E-2</v>
      </c>
      <c r="S38" s="114">
        <v>0</v>
      </c>
      <c r="T38" s="114">
        <v>0</v>
      </c>
      <c r="U38" s="114">
        <v>0.171768641762504</v>
      </c>
      <c r="V38" s="114">
        <v>7.1682753950886899E-2</v>
      </c>
      <c r="W38" s="114">
        <v>0</v>
      </c>
      <c r="X38" s="114">
        <v>0</v>
      </c>
      <c r="Y38" s="114">
        <v>1.9757846078293899</v>
      </c>
      <c r="Z38" s="114">
        <v>3.8496293788439301E-2</v>
      </c>
      <c r="AA38" s="114">
        <v>0</v>
      </c>
      <c r="AB38" s="114">
        <v>0</v>
      </c>
      <c r="AC38" s="114">
        <v>0.17329305026125799</v>
      </c>
      <c r="AD38" s="104">
        <v>152.22700746529011</v>
      </c>
      <c r="AE38" s="104">
        <v>551.14725401122405</v>
      </c>
      <c r="AF38" s="104">
        <v>386.92193901681082</v>
      </c>
      <c r="AG38" s="104">
        <f t="shared" si="13"/>
        <v>703.37426147651422</v>
      </c>
      <c r="AH38" s="104">
        <f t="shared" si="14"/>
        <v>938.06919302803487</v>
      </c>
      <c r="AI38" s="104">
        <f t="shared" si="15"/>
        <v>1090.2962004933252</v>
      </c>
      <c r="AJ38" s="106"/>
      <c r="AK38" s="106"/>
    </row>
    <row r="39" spans="1:37" x14ac:dyDescent="0.3">
      <c r="A39" s="4" t="str">
        <f t="shared" si="12"/>
        <v>TMS23</v>
      </c>
      <c r="B39" s="4" t="str">
        <f>'Forecast drivers'!B40</f>
        <v>TMS</v>
      </c>
      <c r="C39" s="4">
        <f>'Forecast drivers'!C40</f>
        <v>2023</v>
      </c>
      <c r="D39" s="46">
        <v>108.05428787063141</v>
      </c>
      <c r="E39" s="46">
        <v>307.27033843600719</v>
      </c>
      <c r="F39" s="46">
        <v>333.08400569417722</v>
      </c>
      <c r="G39" s="46">
        <v>415.32462630663861</v>
      </c>
      <c r="H39" s="46">
        <v>640.35434413018447</v>
      </c>
      <c r="I39" s="46">
        <v>748.40863200081594</v>
      </c>
      <c r="J39" s="114">
        <v>3.4654009259987801</v>
      </c>
      <c r="K39" s="114">
        <v>0</v>
      </c>
      <c r="L39" s="114">
        <v>37.032825254585397</v>
      </c>
      <c r="M39" s="114">
        <v>3.6958439131926899</v>
      </c>
      <c r="N39" s="114">
        <v>0.65171195583544095</v>
      </c>
      <c r="O39" s="114">
        <v>0</v>
      </c>
      <c r="P39" s="114">
        <v>0</v>
      </c>
      <c r="Q39" s="114">
        <v>3.97133248607825</v>
      </c>
      <c r="R39" s="114">
        <v>2.40327619288557E-2</v>
      </c>
      <c r="S39" s="114">
        <v>0</v>
      </c>
      <c r="T39" s="114">
        <v>0</v>
      </c>
      <c r="U39" s="114">
        <v>0.17327538423410499</v>
      </c>
      <c r="V39" s="114">
        <v>7.63393614210712E-2</v>
      </c>
      <c r="W39" s="114">
        <v>0</v>
      </c>
      <c r="X39" s="114">
        <v>0</v>
      </c>
      <c r="Y39" s="114">
        <v>1.99311605175772</v>
      </c>
      <c r="Z39" s="114">
        <v>4.0997064466871597E-2</v>
      </c>
      <c r="AA39" s="114">
        <v>0</v>
      </c>
      <c r="AB39" s="114">
        <v>0</v>
      </c>
      <c r="AC39" s="114">
        <v>0.17481316473723299</v>
      </c>
      <c r="AD39" s="104">
        <v>139.68977699445065</v>
      </c>
      <c r="AE39" s="104">
        <v>524.74027038400027</v>
      </c>
      <c r="AF39" s="104">
        <v>402.01445779189896</v>
      </c>
      <c r="AG39" s="104">
        <f t="shared" si="13"/>
        <v>664.43004737845092</v>
      </c>
      <c r="AH39" s="104">
        <f t="shared" si="14"/>
        <v>926.75472817589923</v>
      </c>
      <c r="AI39" s="104">
        <f t="shared" si="15"/>
        <v>1066.4445051703499</v>
      </c>
      <c r="AJ39" s="106"/>
      <c r="AK39" s="106"/>
    </row>
    <row r="40" spans="1:37" x14ac:dyDescent="0.3">
      <c r="A40" s="4" t="str">
        <f t="shared" si="12"/>
        <v>TMS24</v>
      </c>
      <c r="B40" s="4" t="str">
        <f>'Forecast drivers'!B41</f>
        <v>TMS</v>
      </c>
      <c r="C40" s="4">
        <f>'Forecast drivers'!C41</f>
        <v>2024</v>
      </c>
      <c r="D40" s="46">
        <v>87.982610662735866</v>
      </c>
      <c r="E40" s="46">
        <v>291.95678582987523</v>
      </c>
      <c r="F40" s="46">
        <v>304.56578683527948</v>
      </c>
      <c r="G40" s="46">
        <v>379.93939649261108</v>
      </c>
      <c r="H40" s="46">
        <v>596.52257266515471</v>
      </c>
      <c r="I40" s="46">
        <v>684.50518332789056</v>
      </c>
      <c r="J40" s="114">
        <v>3.43372934315525</v>
      </c>
      <c r="K40" s="114">
        <v>0</v>
      </c>
      <c r="L40" s="114">
        <v>32.451116876730403</v>
      </c>
      <c r="M40" s="114">
        <v>3.7279816863508901</v>
      </c>
      <c r="N40" s="114">
        <v>0.67544586521416605</v>
      </c>
      <c r="O40" s="114">
        <v>0</v>
      </c>
      <c r="P40" s="114">
        <v>0</v>
      </c>
      <c r="Q40" s="114">
        <v>4.0058658120441502</v>
      </c>
      <c r="R40" s="114">
        <v>2.4907982014405201E-2</v>
      </c>
      <c r="S40" s="114">
        <v>0</v>
      </c>
      <c r="T40" s="114">
        <v>0</v>
      </c>
      <c r="U40" s="114">
        <v>0.174782126705706</v>
      </c>
      <c r="V40" s="114">
        <v>7.91194722810519E-2</v>
      </c>
      <c r="W40" s="114">
        <v>0</v>
      </c>
      <c r="X40" s="114">
        <v>0</v>
      </c>
      <c r="Y40" s="114">
        <v>2.0104474956860501</v>
      </c>
      <c r="Z40" s="114">
        <v>4.2490086965750101E-2</v>
      </c>
      <c r="AA40" s="114">
        <v>0</v>
      </c>
      <c r="AB40" s="114">
        <v>0</v>
      </c>
      <c r="AC40" s="114">
        <v>0.17633327921320899</v>
      </c>
      <c r="AD40" s="104">
        <v>132.27163037116503</v>
      </c>
      <c r="AE40" s="104">
        <v>491.02789925442869</v>
      </c>
      <c r="AF40" s="104">
        <v>384.65115851297418</v>
      </c>
      <c r="AG40" s="104">
        <f t="shared" si="13"/>
        <v>623.29952962559378</v>
      </c>
      <c r="AH40" s="104">
        <f t="shared" si="14"/>
        <v>875.67905776740281</v>
      </c>
      <c r="AI40" s="104">
        <f t="shared" si="15"/>
        <v>1007.950688138568</v>
      </c>
      <c r="AJ40" s="106"/>
      <c r="AK40" s="106"/>
    </row>
    <row r="41" spans="1:37" x14ac:dyDescent="0.3">
      <c r="A41" s="4" t="str">
        <f t="shared" si="12"/>
        <v>TMS25</v>
      </c>
      <c r="B41" s="4" t="str">
        <f>'Forecast drivers'!B42</f>
        <v>TMS</v>
      </c>
      <c r="C41" s="4">
        <f>'Forecast drivers'!C42</f>
        <v>2025</v>
      </c>
      <c r="D41" s="46">
        <v>84.377228075551372</v>
      </c>
      <c r="E41" s="46">
        <v>305.98322265704252</v>
      </c>
      <c r="F41" s="46">
        <v>271.8825674866406</v>
      </c>
      <c r="G41" s="46">
        <v>390.3604507325939</v>
      </c>
      <c r="H41" s="46">
        <v>577.86579014368317</v>
      </c>
      <c r="I41" s="46">
        <v>662.2430182192345</v>
      </c>
      <c r="J41" s="114">
        <v>3.3912134406355898</v>
      </c>
      <c r="K41" s="114">
        <v>0</v>
      </c>
      <c r="L41" s="114">
        <v>26.753788527826401</v>
      </c>
      <c r="M41" s="114">
        <v>3.7440505729299902</v>
      </c>
      <c r="N41" s="114">
        <v>0.69757669531349797</v>
      </c>
      <c r="O41" s="114">
        <v>0</v>
      </c>
      <c r="P41" s="114">
        <v>0</v>
      </c>
      <c r="Q41" s="114">
        <v>4.0231324750270998</v>
      </c>
      <c r="R41" s="114">
        <v>2.5724086378155001E-2</v>
      </c>
      <c r="S41" s="114">
        <v>0</v>
      </c>
      <c r="T41" s="114">
        <v>0</v>
      </c>
      <c r="U41" s="114">
        <v>0.175535497941506</v>
      </c>
      <c r="V41" s="114">
        <v>8.1711803789433601E-2</v>
      </c>
      <c r="W41" s="114">
        <v>0</v>
      </c>
      <c r="X41" s="114">
        <v>0</v>
      </c>
      <c r="Y41" s="114">
        <v>2.0191132176502098</v>
      </c>
      <c r="Z41" s="114">
        <v>4.3882264998029101E-2</v>
      </c>
      <c r="AA41" s="114">
        <v>0</v>
      </c>
      <c r="AB41" s="114">
        <v>0</v>
      </c>
      <c r="AC41" s="114">
        <v>0.17709333645119699</v>
      </c>
      <c r="AD41" s="104">
        <v>125.51456131567328</v>
      </c>
      <c r="AE41" s="104">
        <v>509.81624930953939</v>
      </c>
      <c r="AF41" s="104">
        <v>337.91874732917285</v>
      </c>
      <c r="AG41" s="104">
        <f t="shared" si="13"/>
        <v>635.33081062521262</v>
      </c>
      <c r="AH41" s="104">
        <f t="shared" si="14"/>
        <v>847.73499663871223</v>
      </c>
      <c r="AI41" s="104">
        <f t="shared" si="15"/>
        <v>973.24955795438541</v>
      </c>
      <c r="AJ41" s="106"/>
      <c r="AK41" s="106"/>
    </row>
    <row r="42" spans="1:37" x14ac:dyDescent="0.3">
      <c r="A42" s="4" t="str">
        <f t="shared" si="12"/>
        <v>WSH21</v>
      </c>
      <c r="B42" s="4" t="str">
        <f>'Forecast drivers'!B43</f>
        <v>WSH</v>
      </c>
      <c r="C42" s="4">
        <f>'Forecast drivers'!C43</f>
        <v>2021</v>
      </c>
      <c r="D42" s="46">
        <v>23.711964999999999</v>
      </c>
      <c r="E42" s="46">
        <v>99.043000000000006</v>
      </c>
      <c r="F42" s="46">
        <v>91.341972000000013</v>
      </c>
      <c r="G42" s="46">
        <v>122.754965</v>
      </c>
      <c r="H42" s="46">
        <v>190.384972</v>
      </c>
      <c r="I42" s="46">
        <v>214.096937</v>
      </c>
      <c r="J42" s="114">
        <v>0.19900000000000001</v>
      </c>
      <c r="K42" s="114">
        <v>0</v>
      </c>
      <c r="L42" s="114">
        <v>9.69</v>
      </c>
      <c r="M42" s="114">
        <v>0.435</v>
      </c>
      <c r="N42" s="114">
        <v>0</v>
      </c>
      <c r="O42" s="114">
        <v>0</v>
      </c>
      <c r="P42" s="114">
        <v>0</v>
      </c>
      <c r="Q42" s="114">
        <v>0.64500000000000002</v>
      </c>
      <c r="R42" s="114">
        <v>0</v>
      </c>
      <c r="S42" s="114">
        <v>0</v>
      </c>
      <c r="T42" s="114">
        <v>0</v>
      </c>
      <c r="U42" s="114">
        <v>2.4E-2</v>
      </c>
      <c r="V42" s="114">
        <v>0</v>
      </c>
      <c r="W42" s="114">
        <v>0</v>
      </c>
      <c r="X42" s="114">
        <v>0</v>
      </c>
      <c r="Y42" s="114">
        <v>0.14799999999999999</v>
      </c>
      <c r="Z42" s="114">
        <v>0</v>
      </c>
      <c r="AA42" s="114">
        <v>0</v>
      </c>
      <c r="AB42" s="114">
        <v>0</v>
      </c>
      <c r="AC42" s="114">
        <v>4.8000000000000001E-2</v>
      </c>
      <c r="AD42" s="104">
        <v>25.621000000000002</v>
      </c>
      <c r="AE42" s="104">
        <v>141.34799999999998</v>
      </c>
      <c r="AF42" s="104">
        <v>199.68099999999998</v>
      </c>
      <c r="AG42" s="104">
        <f t="shared" si="13"/>
        <v>166.96899999999999</v>
      </c>
      <c r="AH42" s="104">
        <f t="shared" si="14"/>
        <v>341.029</v>
      </c>
      <c r="AI42" s="104">
        <f t="shared" si="15"/>
        <v>366.65</v>
      </c>
      <c r="AJ42" s="106"/>
      <c r="AK42" s="106"/>
    </row>
    <row r="43" spans="1:37" x14ac:dyDescent="0.3">
      <c r="A43" s="4" t="str">
        <f t="shared" si="12"/>
        <v>WSH22</v>
      </c>
      <c r="B43" s="4" t="str">
        <f>'Forecast drivers'!B44</f>
        <v>WSH</v>
      </c>
      <c r="C43" s="4">
        <f>'Forecast drivers'!C44</f>
        <v>2022</v>
      </c>
      <c r="D43" s="46">
        <v>23.153965999999997</v>
      </c>
      <c r="E43" s="46">
        <v>98.917000000000002</v>
      </c>
      <c r="F43" s="46">
        <v>94.309971999999988</v>
      </c>
      <c r="G43" s="46">
        <v>122.070966</v>
      </c>
      <c r="H43" s="46">
        <v>193.22697199999999</v>
      </c>
      <c r="I43" s="46">
        <v>216.38093799999999</v>
      </c>
      <c r="J43" s="114">
        <v>0.19900000000000001</v>
      </c>
      <c r="K43" s="114">
        <v>0</v>
      </c>
      <c r="L43" s="114">
        <v>9.782</v>
      </c>
      <c r="M43" s="114">
        <v>0.435</v>
      </c>
      <c r="N43" s="114">
        <v>0</v>
      </c>
      <c r="O43" s="114">
        <v>0</v>
      </c>
      <c r="P43" s="114">
        <v>0</v>
      </c>
      <c r="Q43" s="114">
        <v>0.64500000000000002</v>
      </c>
      <c r="R43" s="114">
        <v>0</v>
      </c>
      <c r="S43" s="114">
        <v>0</v>
      </c>
      <c r="T43" s="114">
        <v>0</v>
      </c>
      <c r="U43" s="114">
        <v>2.4E-2</v>
      </c>
      <c r="V43" s="114">
        <v>0</v>
      </c>
      <c r="W43" s="114">
        <v>0</v>
      </c>
      <c r="X43" s="114">
        <v>0</v>
      </c>
      <c r="Y43" s="114">
        <v>0.14799999999999999</v>
      </c>
      <c r="Z43" s="114">
        <v>0</v>
      </c>
      <c r="AA43" s="114">
        <v>0</v>
      </c>
      <c r="AB43" s="114">
        <v>0</v>
      </c>
      <c r="AC43" s="114">
        <v>4.8000000000000001E-2</v>
      </c>
      <c r="AD43" s="104">
        <v>25.228000000000002</v>
      </c>
      <c r="AE43" s="104">
        <v>145.37199999999999</v>
      </c>
      <c r="AF43" s="104">
        <v>129.624</v>
      </c>
      <c r="AG43" s="104">
        <f t="shared" si="13"/>
        <v>170.6</v>
      </c>
      <c r="AH43" s="104">
        <f t="shared" si="14"/>
        <v>274.99599999999998</v>
      </c>
      <c r="AI43" s="104">
        <f t="shared" si="15"/>
        <v>300.22399999999999</v>
      </c>
      <c r="AJ43" s="106"/>
      <c r="AK43" s="106"/>
    </row>
    <row r="44" spans="1:37" x14ac:dyDescent="0.3">
      <c r="A44" s="4" t="str">
        <f t="shared" si="12"/>
        <v>WSH23</v>
      </c>
      <c r="B44" s="4" t="str">
        <f>'Forecast drivers'!B45</f>
        <v>WSH</v>
      </c>
      <c r="C44" s="4">
        <f>'Forecast drivers'!C45</f>
        <v>2023</v>
      </c>
      <c r="D44" s="46">
        <v>23.411966</v>
      </c>
      <c r="E44" s="46">
        <v>101.02600000000001</v>
      </c>
      <c r="F44" s="46">
        <v>94.822972000000007</v>
      </c>
      <c r="G44" s="46">
        <v>124.43796600000002</v>
      </c>
      <c r="H44" s="46">
        <v>195.848972</v>
      </c>
      <c r="I44" s="46">
        <v>219.26093800000001</v>
      </c>
      <c r="J44" s="114">
        <v>0.19900000000000001</v>
      </c>
      <c r="K44" s="114">
        <v>0</v>
      </c>
      <c r="L44" s="114">
        <v>9.8699999999999992</v>
      </c>
      <c r="M44" s="114">
        <v>0.435</v>
      </c>
      <c r="N44" s="114">
        <v>0</v>
      </c>
      <c r="O44" s="114">
        <v>0</v>
      </c>
      <c r="P44" s="114">
        <v>0</v>
      </c>
      <c r="Q44" s="114">
        <v>0.64500000000000002</v>
      </c>
      <c r="R44" s="114">
        <v>0</v>
      </c>
      <c r="S44" s="114">
        <v>0</v>
      </c>
      <c r="T44" s="114">
        <v>0</v>
      </c>
      <c r="U44" s="114">
        <v>2.4E-2</v>
      </c>
      <c r="V44" s="114">
        <v>0</v>
      </c>
      <c r="W44" s="114">
        <v>0</v>
      </c>
      <c r="X44" s="114">
        <v>0</v>
      </c>
      <c r="Y44" s="114">
        <v>0.14799999999999999</v>
      </c>
      <c r="Z44" s="114">
        <v>0</v>
      </c>
      <c r="AA44" s="114">
        <v>0</v>
      </c>
      <c r="AB44" s="114">
        <v>0</v>
      </c>
      <c r="AC44" s="114">
        <v>4.8000000000000001E-2</v>
      </c>
      <c r="AD44" s="104">
        <v>25.477</v>
      </c>
      <c r="AE44" s="104">
        <v>155.62599999999998</v>
      </c>
      <c r="AF44" s="104">
        <v>128.71899999999999</v>
      </c>
      <c r="AG44" s="104">
        <f t="shared" si="13"/>
        <v>181.10299999999998</v>
      </c>
      <c r="AH44" s="104">
        <f t="shared" si="14"/>
        <v>284.34499999999997</v>
      </c>
      <c r="AI44" s="104">
        <f t="shared" si="15"/>
        <v>309.822</v>
      </c>
      <c r="AJ44" s="106"/>
      <c r="AK44" s="106"/>
    </row>
    <row r="45" spans="1:37" x14ac:dyDescent="0.3">
      <c r="A45" s="4" t="str">
        <f t="shared" si="12"/>
        <v>WSH24</v>
      </c>
      <c r="B45" s="4" t="str">
        <f>'Forecast drivers'!B46</f>
        <v>WSH</v>
      </c>
      <c r="C45" s="4">
        <f>'Forecast drivers'!C46</f>
        <v>2024</v>
      </c>
      <c r="D45" s="46">
        <v>22.636967000000002</v>
      </c>
      <c r="E45" s="46">
        <v>100.733</v>
      </c>
      <c r="F45" s="46">
        <v>92.905972000000006</v>
      </c>
      <c r="G45" s="46">
        <v>123.369967</v>
      </c>
      <c r="H45" s="46">
        <v>193.63897200000002</v>
      </c>
      <c r="I45" s="46">
        <v>216.27593900000002</v>
      </c>
      <c r="J45" s="114">
        <v>0.19900000000000001</v>
      </c>
      <c r="K45" s="114">
        <v>0</v>
      </c>
      <c r="L45" s="114">
        <v>9.9009999999999998</v>
      </c>
      <c r="M45" s="114">
        <v>0.435</v>
      </c>
      <c r="N45" s="114">
        <v>0</v>
      </c>
      <c r="O45" s="114">
        <v>0</v>
      </c>
      <c r="P45" s="114">
        <v>0</v>
      </c>
      <c r="Q45" s="114">
        <v>0.64500000000000002</v>
      </c>
      <c r="R45" s="114">
        <v>0</v>
      </c>
      <c r="S45" s="114">
        <v>0</v>
      </c>
      <c r="T45" s="114">
        <v>0</v>
      </c>
      <c r="U45" s="114">
        <v>2.4E-2</v>
      </c>
      <c r="V45" s="114">
        <v>0</v>
      </c>
      <c r="W45" s="114">
        <v>0</v>
      </c>
      <c r="X45" s="114">
        <v>0</v>
      </c>
      <c r="Y45" s="114">
        <v>0.14799999999999999</v>
      </c>
      <c r="Z45" s="114">
        <v>0</v>
      </c>
      <c r="AA45" s="114">
        <v>0</v>
      </c>
      <c r="AB45" s="114">
        <v>0</v>
      </c>
      <c r="AC45" s="114">
        <v>4.8000000000000001E-2</v>
      </c>
      <c r="AD45" s="104">
        <v>24.706</v>
      </c>
      <c r="AE45" s="104">
        <v>155.01899999999998</v>
      </c>
      <c r="AF45" s="104">
        <v>118.86699999999999</v>
      </c>
      <c r="AG45" s="104">
        <f t="shared" si="13"/>
        <v>179.72499999999997</v>
      </c>
      <c r="AH45" s="104">
        <f t="shared" si="14"/>
        <v>273.88599999999997</v>
      </c>
      <c r="AI45" s="104">
        <f t="shared" si="15"/>
        <v>298.59199999999998</v>
      </c>
      <c r="AJ45" s="106"/>
      <c r="AK45" s="106"/>
    </row>
    <row r="46" spans="1:37" x14ac:dyDescent="0.3">
      <c r="A46" s="4" t="str">
        <f t="shared" si="12"/>
        <v>WSH25</v>
      </c>
      <c r="B46" s="4" t="str">
        <f>'Forecast drivers'!B47</f>
        <v>WSH</v>
      </c>
      <c r="C46" s="4">
        <f>'Forecast drivers'!C47</f>
        <v>2025</v>
      </c>
      <c r="D46" s="46">
        <v>21.965968</v>
      </c>
      <c r="E46" s="46">
        <v>97.579000000000008</v>
      </c>
      <c r="F46" s="46">
        <v>92.038972000000001</v>
      </c>
      <c r="G46" s="46">
        <v>119.54496800000001</v>
      </c>
      <c r="H46" s="46">
        <v>189.61797200000001</v>
      </c>
      <c r="I46" s="46">
        <v>211.58394000000001</v>
      </c>
      <c r="J46" s="114">
        <v>0.19900000000000001</v>
      </c>
      <c r="K46" s="114">
        <v>0</v>
      </c>
      <c r="L46" s="114">
        <v>9.9160000000000004</v>
      </c>
      <c r="M46" s="114">
        <v>0.435</v>
      </c>
      <c r="N46" s="114">
        <v>0</v>
      </c>
      <c r="O46" s="114">
        <v>0</v>
      </c>
      <c r="P46" s="114">
        <v>0</v>
      </c>
      <c r="Q46" s="114">
        <v>0.64500000000000002</v>
      </c>
      <c r="R46" s="114">
        <v>0</v>
      </c>
      <c r="S46" s="114">
        <v>0</v>
      </c>
      <c r="T46" s="114">
        <v>0</v>
      </c>
      <c r="U46" s="114">
        <v>2.4E-2</v>
      </c>
      <c r="V46" s="114">
        <v>0</v>
      </c>
      <c r="W46" s="114">
        <v>0</v>
      </c>
      <c r="X46" s="114">
        <v>0</v>
      </c>
      <c r="Y46" s="114">
        <v>0.14799999999999999</v>
      </c>
      <c r="Z46" s="114">
        <v>0</v>
      </c>
      <c r="AA46" s="114">
        <v>0</v>
      </c>
      <c r="AB46" s="114">
        <v>0</v>
      </c>
      <c r="AC46" s="114">
        <v>4.8000000000000001E-2</v>
      </c>
      <c r="AD46" s="104">
        <v>24.03</v>
      </c>
      <c r="AE46" s="104">
        <v>154.12299999999999</v>
      </c>
      <c r="AF46" s="104">
        <v>117.318</v>
      </c>
      <c r="AG46" s="104">
        <f t="shared" si="13"/>
        <v>178.15299999999999</v>
      </c>
      <c r="AH46" s="104">
        <f t="shared" si="14"/>
        <v>271.44099999999997</v>
      </c>
      <c r="AI46" s="104">
        <f t="shared" si="15"/>
        <v>295.471</v>
      </c>
      <c r="AJ46" s="106"/>
      <c r="AK46" s="106"/>
    </row>
    <row r="47" spans="1:37" x14ac:dyDescent="0.3">
      <c r="A47" s="4" t="str">
        <f t="shared" si="12"/>
        <v>WSX21</v>
      </c>
      <c r="B47" s="4" t="str">
        <f>'Forecast drivers'!B48</f>
        <v>WSX</v>
      </c>
      <c r="C47" s="4">
        <f>'Forecast drivers'!C48</f>
        <v>2021</v>
      </c>
      <c r="D47" s="46">
        <v>21.950900358658011</v>
      </c>
      <c r="E47" s="46">
        <v>82.571527289686358</v>
      </c>
      <c r="F47" s="46">
        <v>54.953747582079224</v>
      </c>
      <c r="G47" s="46">
        <v>104.52242764834438</v>
      </c>
      <c r="H47" s="46">
        <v>137.52527487176559</v>
      </c>
      <c r="I47" s="46">
        <v>159.47617523042359</v>
      </c>
      <c r="J47" s="114">
        <v>0.10201</v>
      </c>
      <c r="K47" s="114">
        <v>0</v>
      </c>
      <c r="L47" s="114">
        <v>9.4359264094687099</v>
      </c>
      <c r="M47" s="114">
        <v>2.0740300751879701</v>
      </c>
      <c r="N47" s="114">
        <v>0</v>
      </c>
      <c r="O47" s="114">
        <v>0</v>
      </c>
      <c r="P47" s="114">
        <v>0</v>
      </c>
      <c r="Q47" s="114">
        <v>3.08196992481203</v>
      </c>
      <c r="R47" s="114">
        <v>0</v>
      </c>
      <c r="S47" s="114">
        <v>0</v>
      </c>
      <c r="T47" s="114">
        <v>0</v>
      </c>
      <c r="U47" s="114">
        <v>0.77534246575342503</v>
      </c>
      <c r="V47" s="114">
        <v>0</v>
      </c>
      <c r="W47" s="114">
        <v>0</v>
      </c>
      <c r="X47" s="114">
        <v>0</v>
      </c>
      <c r="Y47" s="114">
        <v>0.48458904109589002</v>
      </c>
      <c r="Z47" s="114">
        <v>0</v>
      </c>
      <c r="AA47" s="114">
        <v>0</v>
      </c>
      <c r="AB47" s="114">
        <v>0</v>
      </c>
      <c r="AC47" s="114">
        <v>0.15506849315068499</v>
      </c>
      <c r="AD47" s="104">
        <v>23.784546682965356</v>
      </c>
      <c r="AE47" s="104">
        <v>198.43778741083898</v>
      </c>
      <c r="AF47" s="104">
        <v>114.95048371523072</v>
      </c>
      <c r="AG47" s="104">
        <f t="shared" si="13"/>
        <v>222.22233409380433</v>
      </c>
      <c r="AH47" s="104">
        <f t="shared" si="14"/>
        <v>313.3882711260697</v>
      </c>
      <c r="AI47" s="104">
        <f t="shared" si="15"/>
        <v>337.17281780903505</v>
      </c>
      <c r="AJ47" s="106"/>
      <c r="AK47" s="106"/>
    </row>
    <row r="48" spans="1:37" x14ac:dyDescent="0.3">
      <c r="A48" s="4" t="str">
        <f t="shared" si="12"/>
        <v>WSX22</v>
      </c>
      <c r="B48" s="4" t="str">
        <f>'Forecast drivers'!B49</f>
        <v>WSX</v>
      </c>
      <c r="C48" s="4">
        <f>'Forecast drivers'!C49</f>
        <v>2022</v>
      </c>
      <c r="D48" s="46">
        <v>21.227171104397463</v>
      </c>
      <c r="E48" s="46">
        <v>83.279702487029155</v>
      </c>
      <c r="F48" s="46">
        <v>60.546261359267184</v>
      </c>
      <c r="G48" s="46">
        <v>104.50687359142663</v>
      </c>
      <c r="H48" s="46">
        <v>143.82596384629633</v>
      </c>
      <c r="I48" s="46">
        <v>165.05313495069379</v>
      </c>
      <c r="J48" s="114">
        <v>0.10201</v>
      </c>
      <c r="K48" s="114">
        <v>0</v>
      </c>
      <c r="L48" s="114">
        <v>12.9353987856095</v>
      </c>
      <c r="M48" s="114">
        <v>2.0804661654135299</v>
      </c>
      <c r="N48" s="114">
        <v>0</v>
      </c>
      <c r="O48" s="114">
        <v>0</v>
      </c>
      <c r="P48" s="114">
        <v>0</v>
      </c>
      <c r="Q48" s="114">
        <v>3.0915338345864698</v>
      </c>
      <c r="R48" s="114">
        <v>0</v>
      </c>
      <c r="S48" s="114">
        <v>0</v>
      </c>
      <c r="T48" s="114">
        <v>0</v>
      </c>
      <c r="U48" s="114">
        <v>0.77808219178082205</v>
      </c>
      <c r="V48" s="114">
        <v>0</v>
      </c>
      <c r="W48" s="114">
        <v>0</v>
      </c>
      <c r="X48" s="114">
        <v>0</v>
      </c>
      <c r="Y48" s="114">
        <v>0.48630136986301398</v>
      </c>
      <c r="Z48" s="114">
        <v>0</v>
      </c>
      <c r="AA48" s="114">
        <v>0</v>
      </c>
      <c r="AB48" s="114">
        <v>0</v>
      </c>
      <c r="AC48" s="114">
        <v>0.15561643835616401</v>
      </c>
      <c r="AD48" s="104">
        <v>23.060817428704851</v>
      </c>
      <c r="AE48" s="104">
        <v>168.38345081939153</v>
      </c>
      <c r="AF48" s="104">
        <v>125.15537045626496</v>
      </c>
      <c r="AG48" s="104">
        <f t="shared" si="13"/>
        <v>191.44426824809636</v>
      </c>
      <c r="AH48" s="104">
        <f t="shared" si="14"/>
        <v>293.53882127565646</v>
      </c>
      <c r="AI48" s="104">
        <f t="shared" si="15"/>
        <v>316.59963870436133</v>
      </c>
      <c r="AJ48" s="106"/>
      <c r="AK48" s="106"/>
    </row>
    <row r="49" spans="1:37" x14ac:dyDescent="0.3">
      <c r="A49" s="4" t="str">
        <f t="shared" si="12"/>
        <v>WSX23</v>
      </c>
      <c r="B49" s="4" t="str">
        <f>'Forecast drivers'!B50</f>
        <v>WSX</v>
      </c>
      <c r="C49" s="4">
        <f>'Forecast drivers'!C50</f>
        <v>2023</v>
      </c>
      <c r="D49" s="46">
        <v>23.42122448468875</v>
      </c>
      <c r="E49" s="46">
        <v>75.331857820298552</v>
      </c>
      <c r="F49" s="46">
        <v>68.401213954027924</v>
      </c>
      <c r="G49" s="46">
        <v>98.753082304987302</v>
      </c>
      <c r="H49" s="46">
        <v>143.73307177432648</v>
      </c>
      <c r="I49" s="46">
        <v>167.15429625901521</v>
      </c>
      <c r="J49" s="114">
        <v>0.10201</v>
      </c>
      <c r="K49" s="114">
        <v>0</v>
      </c>
      <c r="L49" s="114">
        <v>8.4360771591427604</v>
      </c>
      <c r="M49" s="114">
        <v>2.0860977443609001</v>
      </c>
      <c r="N49" s="114">
        <v>0</v>
      </c>
      <c r="O49" s="114">
        <v>0</v>
      </c>
      <c r="P49" s="114">
        <v>0</v>
      </c>
      <c r="Q49" s="114">
        <v>3.0999022556390998</v>
      </c>
      <c r="R49" s="114">
        <v>0</v>
      </c>
      <c r="S49" s="114">
        <v>0</v>
      </c>
      <c r="T49" s="114">
        <v>0</v>
      </c>
      <c r="U49" s="114">
        <v>0.77972602739726005</v>
      </c>
      <c r="V49" s="114">
        <v>0</v>
      </c>
      <c r="W49" s="114">
        <v>0</v>
      </c>
      <c r="X49" s="114">
        <v>0</v>
      </c>
      <c r="Y49" s="114">
        <v>0.48732876712328799</v>
      </c>
      <c r="Z49" s="114">
        <v>0</v>
      </c>
      <c r="AA49" s="114">
        <v>0</v>
      </c>
      <c r="AB49" s="114">
        <v>0</v>
      </c>
      <c r="AC49" s="114">
        <v>0.15594520547945201</v>
      </c>
      <c r="AD49" s="104">
        <v>25.880097347457632</v>
      </c>
      <c r="AE49" s="104">
        <v>181.9116006685299</v>
      </c>
      <c r="AF49" s="104">
        <v>110.15228574333285</v>
      </c>
      <c r="AG49" s="104">
        <f t="shared" si="13"/>
        <v>207.79169801598752</v>
      </c>
      <c r="AH49" s="104">
        <f t="shared" si="14"/>
        <v>292.06388641186277</v>
      </c>
      <c r="AI49" s="104">
        <f t="shared" si="15"/>
        <v>317.94398375932036</v>
      </c>
      <c r="AJ49" s="106"/>
      <c r="AK49" s="106"/>
    </row>
    <row r="50" spans="1:37" x14ac:dyDescent="0.3">
      <c r="A50" s="4" t="str">
        <f t="shared" si="12"/>
        <v>WSX24</v>
      </c>
      <c r="B50" s="4" t="str">
        <f>'Forecast drivers'!B51</f>
        <v>WSX</v>
      </c>
      <c r="C50" s="4">
        <f>'Forecast drivers'!C51</f>
        <v>2024</v>
      </c>
      <c r="D50" s="46">
        <v>21.219237703602687</v>
      </c>
      <c r="E50" s="46">
        <v>83.10348269581155</v>
      </c>
      <c r="F50" s="46">
        <v>61.927982745676069</v>
      </c>
      <c r="G50" s="46">
        <v>104.32272039941424</v>
      </c>
      <c r="H50" s="46">
        <v>145.03146544148763</v>
      </c>
      <c r="I50" s="46">
        <v>166.25070314509031</v>
      </c>
      <c r="J50" s="114">
        <v>0.10201</v>
      </c>
      <c r="K50" s="114">
        <v>0</v>
      </c>
      <c r="L50" s="114">
        <v>6.9363032836538503</v>
      </c>
      <c r="M50" s="114">
        <v>2.09414285714286</v>
      </c>
      <c r="N50" s="114">
        <v>0</v>
      </c>
      <c r="O50" s="114">
        <v>0</v>
      </c>
      <c r="P50" s="114">
        <v>0</v>
      </c>
      <c r="Q50" s="114">
        <v>3.11185714285714</v>
      </c>
      <c r="R50" s="114">
        <v>0</v>
      </c>
      <c r="S50" s="114">
        <v>0</v>
      </c>
      <c r="T50" s="114">
        <v>0</v>
      </c>
      <c r="U50" s="114">
        <v>0.78301369863013703</v>
      </c>
      <c r="V50" s="114">
        <v>0</v>
      </c>
      <c r="W50" s="114">
        <v>0</v>
      </c>
      <c r="X50" s="114">
        <v>0</v>
      </c>
      <c r="Y50" s="114">
        <v>0.48938356164383601</v>
      </c>
      <c r="Z50" s="114">
        <v>0</v>
      </c>
      <c r="AA50" s="114">
        <v>0</v>
      </c>
      <c r="AB50" s="114">
        <v>0</v>
      </c>
      <c r="AC50" s="114">
        <v>0.15660273972602701</v>
      </c>
      <c r="AD50" s="104">
        <v>24.094928258679293</v>
      </c>
      <c r="AE50" s="104">
        <v>192.59935747629785</v>
      </c>
      <c r="AF50" s="104">
        <v>98.060060650365799</v>
      </c>
      <c r="AG50" s="104">
        <f t="shared" si="13"/>
        <v>216.69428573497714</v>
      </c>
      <c r="AH50" s="104">
        <f t="shared" si="14"/>
        <v>290.65941812666364</v>
      </c>
      <c r="AI50" s="104">
        <f t="shared" si="15"/>
        <v>314.75434638534296</v>
      </c>
      <c r="AJ50" s="106"/>
      <c r="AK50" s="106"/>
    </row>
    <row r="51" spans="1:37" x14ac:dyDescent="0.3">
      <c r="A51" s="4" t="str">
        <f t="shared" si="12"/>
        <v>WSX25</v>
      </c>
      <c r="B51" s="4" t="str">
        <f>'Forecast drivers'!B52</f>
        <v>WSX</v>
      </c>
      <c r="C51" s="4">
        <f>'Forecast drivers'!C52</f>
        <v>2025</v>
      </c>
      <c r="D51" s="46">
        <v>23.075301715248269</v>
      </c>
      <c r="E51" s="46">
        <v>83.605532878385588</v>
      </c>
      <c r="F51" s="46">
        <v>63.853320024790037</v>
      </c>
      <c r="G51" s="46">
        <v>106.68083459363386</v>
      </c>
      <c r="H51" s="46">
        <v>147.45885290317563</v>
      </c>
      <c r="I51" s="46">
        <v>170.53415461842388</v>
      </c>
      <c r="J51" s="114">
        <v>0.10201</v>
      </c>
      <c r="K51" s="114">
        <v>0</v>
      </c>
      <c r="L51" s="114">
        <v>6.9363032836538503</v>
      </c>
      <c r="M51" s="114">
        <v>2.0989699248120299</v>
      </c>
      <c r="N51" s="114">
        <v>0</v>
      </c>
      <c r="O51" s="114">
        <v>0</v>
      </c>
      <c r="P51" s="114">
        <v>0</v>
      </c>
      <c r="Q51" s="114">
        <v>3.11903007518797</v>
      </c>
      <c r="R51" s="114">
        <v>0</v>
      </c>
      <c r="S51" s="114">
        <v>0</v>
      </c>
      <c r="T51" s="114">
        <v>0</v>
      </c>
      <c r="U51" s="114">
        <v>0.78465753424657503</v>
      </c>
      <c r="V51" s="114">
        <v>0</v>
      </c>
      <c r="W51" s="114">
        <v>0</v>
      </c>
      <c r="X51" s="114">
        <v>0</v>
      </c>
      <c r="Y51" s="114">
        <v>0.49041095890411002</v>
      </c>
      <c r="Z51" s="114">
        <v>0</v>
      </c>
      <c r="AA51" s="114">
        <v>0</v>
      </c>
      <c r="AB51" s="114">
        <v>0</v>
      </c>
      <c r="AC51" s="114">
        <v>0.15693150684931501</v>
      </c>
      <c r="AD51" s="104">
        <v>27.409854193401781</v>
      </c>
      <c r="AE51" s="104">
        <v>174.22697802315002</v>
      </c>
      <c r="AF51" s="104">
        <v>96.213271717941225</v>
      </c>
      <c r="AG51" s="104">
        <f t="shared" si="13"/>
        <v>201.6368322165518</v>
      </c>
      <c r="AH51" s="104">
        <f t="shared" si="14"/>
        <v>270.44024974109124</v>
      </c>
      <c r="AI51" s="104">
        <f t="shared" si="15"/>
        <v>297.85010393449301</v>
      </c>
      <c r="AJ51" s="106"/>
      <c r="AK51" s="106"/>
    </row>
    <row r="52" spans="1:37" x14ac:dyDescent="0.3">
      <c r="A52" s="4" t="str">
        <f t="shared" si="12"/>
        <v>YKY21</v>
      </c>
      <c r="B52" s="4" t="str">
        <f>'Forecast drivers'!B53</f>
        <v>YKY</v>
      </c>
      <c r="C52" s="4">
        <f>'Forecast drivers'!C53</f>
        <v>2021</v>
      </c>
      <c r="D52" s="46">
        <v>65.814999999999998</v>
      </c>
      <c r="E52" s="46">
        <v>191.58599999999998</v>
      </c>
      <c r="F52" s="46">
        <v>167.703204</v>
      </c>
      <c r="G52" s="46">
        <v>257.40099999999995</v>
      </c>
      <c r="H52" s="46">
        <v>359.28920399999998</v>
      </c>
      <c r="I52" s="46">
        <v>425.10420399999998</v>
      </c>
      <c r="J52" s="114">
        <v>0</v>
      </c>
      <c r="K52" s="114">
        <v>0</v>
      </c>
      <c r="L52" s="114">
        <v>10.773999999999999</v>
      </c>
      <c r="M52" s="114">
        <v>2.0939999999999999</v>
      </c>
      <c r="N52" s="114">
        <v>0</v>
      </c>
      <c r="O52" s="114">
        <v>0</v>
      </c>
      <c r="P52" s="114">
        <v>0</v>
      </c>
      <c r="Q52" s="114">
        <v>2.6819999999999999</v>
      </c>
      <c r="R52" s="114">
        <v>0</v>
      </c>
      <c r="S52" s="114">
        <v>0</v>
      </c>
      <c r="T52" s="114">
        <v>0</v>
      </c>
      <c r="U52" s="114">
        <v>0.27500000000000002</v>
      </c>
      <c r="V52" s="114">
        <v>0</v>
      </c>
      <c r="W52" s="114">
        <v>0</v>
      </c>
      <c r="X52" s="114">
        <v>0</v>
      </c>
      <c r="Y52" s="114">
        <v>0.97399999999999998</v>
      </c>
      <c r="Z52" s="114">
        <v>0</v>
      </c>
      <c r="AA52" s="114">
        <v>0</v>
      </c>
      <c r="AB52" s="114">
        <v>0</v>
      </c>
      <c r="AC52" s="114">
        <v>3.5000000000000003E-2</v>
      </c>
      <c r="AD52" s="104">
        <v>85.054000000000002</v>
      </c>
      <c r="AE52" s="104">
        <v>396.62899999999996</v>
      </c>
      <c r="AF52" s="104">
        <v>230.096</v>
      </c>
      <c r="AG52" s="104">
        <f t="shared" si="13"/>
        <v>481.68299999999999</v>
      </c>
      <c r="AH52" s="104">
        <f t="shared" si="14"/>
        <v>626.72499999999991</v>
      </c>
      <c r="AI52" s="104">
        <f t="shared" si="15"/>
        <v>711.779</v>
      </c>
      <c r="AJ52" s="106"/>
      <c r="AK52" s="106"/>
    </row>
    <row r="53" spans="1:37" x14ac:dyDescent="0.3">
      <c r="A53" s="4" t="str">
        <f t="shared" si="12"/>
        <v>YKY22</v>
      </c>
      <c r="B53" s="4" t="str">
        <f>'Forecast drivers'!B54</f>
        <v>YKY</v>
      </c>
      <c r="C53" s="4">
        <f>'Forecast drivers'!C54</f>
        <v>2022</v>
      </c>
      <c r="D53" s="46">
        <v>66.347999999999999</v>
      </c>
      <c r="E53" s="46">
        <v>198.279</v>
      </c>
      <c r="F53" s="46">
        <v>139.41087300000001</v>
      </c>
      <c r="G53" s="46">
        <v>264.62700000000001</v>
      </c>
      <c r="H53" s="46">
        <v>337.68987300000003</v>
      </c>
      <c r="I53" s="46">
        <v>404.03787300000005</v>
      </c>
      <c r="J53" s="114">
        <v>0</v>
      </c>
      <c r="K53" s="114">
        <v>0</v>
      </c>
      <c r="L53" s="114">
        <v>10.853</v>
      </c>
      <c r="M53" s="114">
        <v>2.0939999999999999</v>
      </c>
      <c r="N53" s="114">
        <v>0</v>
      </c>
      <c r="O53" s="114">
        <v>0</v>
      </c>
      <c r="P53" s="114">
        <v>0</v>
      </c>
      <c r="Q53" s="114">
        <v>2.6819999999999999</v>
      </c>
      <c r="R53" s="114">
        <v>0</v>
      </c>
      <c r="S53" s="114">
        <v>0</v>
      </c>
      <c r="T53" s="114">
        <v>0</v>
      </c>
      <c r="U53" s="114">
        <v>0.27500000000000002</v>
      </c>
      <c r="V53" s="114">
        <v>0</v>
      </c>
      <c r="W53" s="114">
        <v>0</v>
      </c>
      <c r="X53" s="114">
        <v>0</v>
      </c>
      <c r="Y53" s="114">
        <v>0.97399999999999998</v>
      </c>
      <c r="Z53" s="114">
        <v>0</v>
      </c>
      <c r="AA53" s="114">
        <v>0</v>
      </c>
      <c r="AB53" s="114">
        <v>0</v>
      </c>
      <c r="AC53" s="114">
        <v>3.5000000000000003E-2</v>
      </c>
      <c r="AD53" s="104">
        <v>87.975999999999999</v>
      </c>
      <c r="AE53" s="104">
        <v>438.72800000000001</v>
      </c>
      <c r="AF53" s="104">
        <v>191.13800000000001</v>
      </c>
      <c r="AG53" s="104">
        <f t="shared" si="13"/>
        <v>526.70399999999995</v>
      </c>
      <c r="AH53" s="104">
        <f t="shared" si="14"/>
        <v>629.86599999999999</v>
      </c>
      <c r="AI53" s="104">
        <f t="shared" si="15"/>
        <v>717.84199999999998</v>
      </c>
      <c r="AJ53" s="106"/>
      <c r="AK53" s="106"/>
    </row>
    <row r="54" spans="1:37" x14ac:dyDescent="0.3">
      <c r="A54" s="4" t="str">
        <f t="shared" si="12"/>
        <v>YKY23</v>
      </c>
      <c r="B54" s="4" t="str">
        <f>'Forecast drivers'!B55</f>
        <v>YKY</v>
      </c>
      <c r="C54" s="4">
        <f>'Forecast drivers'!C55</f>
        <v>2023</v>
      </c>
      <c r="D54" s="46">
        <v>62.194000000000003</v>
      </c>
      <c r="E54" s="46">
        <v>174.72199999999998</v>
      </c>
      <c r="F54" s="46">
        <v>126.747542</v>
      </c>
      <c r="G54" s="46">
        <v>236.916</v>
      </c>
      <c r="H54" s="46">
        <v>301.46954199999999</v>
      </c>
      <c r="I54" s="46">
        <v>363.66354200000001</v>
      </c>
      <c r="J54" s="114">
        <v>0</v>
      </c>
      <c r="K54" s="114">
        <v>0</v>
      </c>
      <c r="L54" s="114">
        <v>10.952999999999999</v>
      </c>
      <c r="M54" s="114">
        <v>0</v>
      </c>
      <c r="N54" s="114">
        <v>0</v>
      </c>
      <c r="O54" s="114">
        <v>0</v>
      </c>
      <c r="P54" s="114">
        <v>0</v>
      </c>
      <c r="Q54" s="114">
        <v>0</v>
      </c>
      <c r="R54" s="114">
        <v>0</v>
      </c>
      <c r="S54" s="114">
        <v>0</v>
      </c>
      <c r="T54" s="114">
        <v>0</v>
      </c>
      <c r="U54" s="114">
        <v>0</v>
      </c>
      <c r="V54" s="114">
        <v>0</v>
      </c>
      <c r="W54" s="114">
        <v>0</v>
      </c>
      <c r="X54" s="114">
        <v>0</v>
      </c>
      <c r="Y54" s="114">
        <v>0</v>
      </c>
      <c r="Z54" s="114">
        <v>0</v>
      </c>
      <c r="AA54" s="114">
        <v>0</v>
      </c>
      <c r="AB54" s="114">
        <v>0</v>
      </c>
      <c r="AC54" s="114">
        <v>0</v>
      </c>
      <c r="AD54" s="104">
        <v>79.251000000000005</v>
      </c>
      <c r="AE54" s="104">
        <v>367.43900000000002</v>
      </c>
      <c r="AF54" s="104">
        <v>168.119</v>
      </c>
      <c r="AG54" s="104">
        <f t="shared" si="13"/>
        <v>446.69000000000005</v>
      </c>
      <c r="AH54" s="104">
        <f t="shared" si="14"/>
        <v>535.55799999999999</v>
      </c>
      <c r="AI54" s="104">
        <f t="shared" si="15"/>
        <v>614.80900000000008</v>
      </c>
      <c r="AJ54" s="106"/>
      <c r="AK54" s="106"/>
    </row>
    <row r="55" spans="1:37" x14ac:dyDescent="0.3">
      <c r="A55" s="4" t="str">
        <f t="shared" si="12"/>
        <v>YKY24</v>
      </c>
      <c r="B55" s="4" t="str">
        <f>'Forecast drivers'!B56</f>
        <v>YKY</v>
      </c>
      <c r="C55" s="4">
        <f>'Forecast drivers'!C56</f>
        <v>2024</v>
      </c>
      <c r="D55" s="46">
        <v>56.433999999999997</v>
      </c>
      <c r="E55" s="46">
        <v>155.26400000000001</v>
      </c>
      <c r="F55" s="46">
        <v>120.551211</v>
      </c>
      <c r="G55" s="46">
        <v>211.69800000000001</v>
      </c>
      <c r="H55" s="46">
        <v>275.81521099999998</v>
      </c>
      <c r="I55" s="46">
        <v>332.24921099999995</v>
      </c>
      <c r="J55" s="114">
        <v>0</v>
      </c>
      <c r="K55" s="114">
        <v>0</v>
      </c>
      <c r="L55" s="114">
        <v>11.047000000000001</v>
      </c>
      <c r="M55" s="114">
        <v>0</v>
      </c>
      <c r="N55" s="114">
        <v>0</v>
      </c>
      <c r="O55" s="114">
        <v>0</v>
      </c>
      <c r="P55" s="114">
        <v>0</v>
      </c>
      <c r="Q55" s="114">
        <v>0</v>
      </c>
      <c r="R55" s="114">
        <v>0</v>
      </c>
      <c r="S55" s="114">
        <v>0</v>
      </c>
      <c r="T55" s="114">
        <v>0</v>
      </c>
      <c r="U55" s="114">
        <v>0</v>
      </c>
      <c r="V55" s="114">
        <v>0</v>
      </c>
      <c r="W55" s="114">
        <v>0</v>
      </c>
      <c r="X55" s="114">
        <v>0</v>
      </c>
      <c r="Y55" s="114">
        <v>0</v>
      </c>
      <c r="Z55" s="114">
        <v>0</v>
      </c>
      <c r="AA55" s="114">
        <v>0</v>
      </c>
      <c r="AB55" s="114">
        <v>0</v>
      </c>
      <c r="AC55" s="114">
        <v>0</v>
      </c>
      <c r="AD55" s="104">
        <v>67.424999999999997</v>
      </c>
      <c r="AE55" s="104">
        <v>281.00400000000002</v>
      </c>
      <c r="AF55" s="104">
        <v>151.30699999999999</v>
      </c>
      <c r="AG55" s="104">
        <f t="shared" si="13"/>
        <v>348.42900000000003</v>
      </c>
      <c r="AH55" s="104">
        <f t="shared" si="14"/>
        <v>432.31100000000004</v>
      </c>
      <c r="AI55" s="104">
        <f t="shared" si="15"/>
        <v>499.73599999999999</v>
      </c>
      <c r="AJ55" s="106"/>
      <c r="AK55" s="106"/>
    </row>
    <row r="56" spans="1:37" x14ac:dyDescent="0.3">
      <c r="A56" s="4" t="str">
        <f t="shared" si="12"/>
        <v>YKY25</v>
      </c>
      <c r="B56" s="4" t="str">
        <f>'Forecast drivers'!B57</f>
        <v>YKY</v>
      </c>
      <c r="C56" s="4">
        <f>'Forecast drivers'!C57</f>
        <v>2025</v>
      </c>
      <c r="D56" s="46">
        <v>53.567</v>
      </c>
      <c r="E56" s="46">
        <v>132.00399999999999</v>
      </c>
      <c r="F56" s="46">
        <v>120.80188000000001</v>
      </c>
      <c r="G56" s="46">
        <v>185.571</v>
      </c>
      <c r="H56" s="46">
        <v>252.80588</v>
      </c>
      <c r="I56" s="46">
        <v>306.37288000000001</v>
      </c>
      <c r="J56" s="114">
        <v>0</v>
      </c>
      <c r="K56" s="114">
        <v>0</v>
      </c>
      <c r="L56" s="114">
        <v>11.146000000000001</v>
      </c>
      <c r="M56" s="114">
        <v>0</v>
      </c>
      <c r="N56" s="114">
        <v>0</v>
      </c>
      <c r="O56" s="114">
        <v>0</v>
      </c>
      <c r="P56" s="114">
        <v>0</v>
      </c>
      <c r="Q56" s="114">
        <v>0</v>
      </c>
      <c r="R56" s="114">
        <v>0</v>
      </c>
      <c r="S56" s="114">
        <v>0</v>
      </c>
      <c r="T56" s="114">
        <v>0</v>
      </c>
      <c r="U56" s="114">
        <v>0</v>
      </c>
      <c r="V56" s="114">
        <v>0</v>
      </c>
      <c r="W56" s="114">
        <v>0</v>
      </c>
      <c r="X56" s="114">
        <v>0</v>
      </c>
      <c r="Y56" s="114">
        <v>0</v>
      </c>
      <c r="Z56" s="114">
        <v>0</v>
      </c>
      <c r="AA56" s="114">
        <v>0</v>
      </c>
      <c r="AB56" s="114">
        <v>0</v>
      </c>
      <c r="AC56" s="114">
        <v>0</v>
      </c>
      <c r="AD56" s="104">
        <v>57.996000000000002</v>
      </c>
      <c r="AE56" s="104">
        <v>188.57</v>
      </c>
      <c r="AF56" s="104">
        <v>145.947</v>
      </c>
      <c r="AG56" s="104">
        <f t="shared" si="13"/>
        <v>246.566</v>
      </c>
      <c r="AH56" s="104">
        <f t="shared" si="14"/>
        <v>334.517</v>
      </c>
      <c r="AI56" s="104">
        <f t="shared" si="15"/>
        <v>392.51300000000003</v>
      </c>
      <c r="AJ56" s="106"/>
      <c r="AK56" s="106"/>
    </row>
    <row r="57" spans="1:37" x14ac:dyDescent="0.3">
      <c r="A57" s="4" t="str">
        <f t="shared" si="12"/>
        <v>SVH21</v>
      </c>
      <c r="B57" s="4" t="str">
        <f>'Forecast drivers'!B58</f>
        <v>SVH</v>
      </c>
      <c r="C57" s="31">
        <f>'Forecast drivers'!C58</f>
        <v>2021</v>
      </c>
      <c r="D57" s="103">
        <v>56.929238209438147</v>
      </c>
      <c r="E57" s="103">
        <v>200.97449886925648</v>
      </c>
      <c r="F57" s="103">
        <v>168.29053541137935</v>
      </c>
      <c r="G57" s="103">
        <v>257.90373707869463</v>
      </c>
      <c r="H57" s="103">
        <v>369.26503428063586</v>
      </c>
      <c r="I57" s="103">
        <v>426.19427249007401</v>
      </c>
      <c r="J57" s="115">
        <v>0.69901504068353104</v>
      </c>
      <c r="K57" s="115">
        <v>0</v>
      </c>
      <c r="L57" s="115">
        <v>29.24468153196683</v>
      </c>
      <c r="M57" s="115">
        <v>4.6895079616559698</v>
      </c>
      <c r="N57" s="115">
        <v>0</v>
      </c>
      <c r="O57" s="115">
        <v>0</v>
      </c>
      <c r="P57" s="115">
        <v>0</v>
      </c>
      <c r="Q57" s="115">
        <v>9.2167492118359604</v>
      </c>
      <c r="R57" s="115">
        <v>0</v>
      </c>
      <c r="S57" s="115">
        <v>0</v>
      </c>
      <c r="T57" s="115">
        <v>0</v>
      </c>
      <c r="U57" s="115">
        <v>2.7044451912664198E-2</v>
      </c>
      <c r="V57" s="115">
        <v>0</v>
      </c>
      <c r="W57" s="115">
        <v>0</v>
      </c>
      <c r="X57" s="115">
        <v>0</v>
      </c>
      <c r="Y57" s="115">
        <v>2.3690939875493902</v>
      </c>
      <c r="Z57" s="115">
        <v>0</v>
      </c>
      <c r="AA57" s="115">
        <v>0</v>
      </c>
      <c r="AB57" s="115">
        <v>0</v>
      </c>
      <c r="AC57" s="115">
        <v>1.69839158011531</v>
      </c>
      <c r="AD57" s="104">
        <v>65.574259619463831</v>
      </c>
      <c r="AE57" s="104">
        <v>285.77351778243747</v>
      </c>
      <c r="AF57" s="104">
        <v>224.48203205964612</v>
      </c>
      <c r="AG57" s="104">
        <f t="shared" si="13"/>
        <v>351.34777740190128</v>
      </c>
      <c r="AH57" s="104">
        <f t="shared" si="14"/>
        <v>510.25554984208361</v>
      </c>
      <c r="AI57" s="104">
        <f t="shared" si="15"/>
        <v>575.82980946154737</v>
      </c>
      <c r="AJ57" s="106"/>
      <c r="AK57" s="106"/>
    </row>
    <row r="58" spans="1:37" x14ac:dyDescent="0.3">
      <c r="A58" s="4" t="str">
        <f t="shared" si="12"/>
        <v>SVH22</v>
      </c>
      <c r="B58" s="4" t="str">
        <f>'Forecast drivers'!B59</f>
        <v>SVH</v>
      </c>
      <c r="C58" s="31">
        <f>'Forecast drivers'!C59</f>
        <v>2022</v>
      </c>
      <c r="D58" s="103">
        <v>55.24504461781828</v>
      </c>
      <c r="E58" s="103">
        <v>204.68424626013606</v>
      </c>
      <c r="F58" s="103">
        <v>153.93342104827161</v>
      </c>
      <c r="G58" s="103">
        <v>259.92929087795437</v>
      </c>
      <c r="H58" s="103">
        <v>358.6176673084077</v>
      </c>
      <c r="I58" s="103">
        <v>413.86271192622598</v>
      </c>
      <c r="J58" s="115">
        <v>0.703175095192618</v>
      </c>
      <c r="K58" s="115">
        <v>0</v>
      </c>
      <c r="L58" s="115">
        <v>17.182121089573478</v>
      </c>
      <c r="M58" s="115">
        <v>4.6465769013862701</v>
      </c>
      <c r="N58" s="115">
        <v>0</v>
      </c>
      <c r="O58" s="115">
        <v>0</v>
      </c>
      <c r="P58" s="115">
        <v>0</v>
      </c>
      <c r="Q58" s="115">
        <v>9.1323725951121109</v>
      </c>
      <c r="R58" s="115">
        <v>0</v>
      </c>
      <c r="S58" s="115">
        <v>0</v>
      </c>
      <c r="T58" s="115">
        <v>0</v>
      </c>
      <c r="U58" s="115">
        <v>2.67968679434041E-2</v>
      </c>
      <c r="V58" s="115">
        <v>0</v>
      </c>
      <c r="W58" s="115">
        <v>0</v>
      </c>
      <c r="X58" s="115">
        <v>0</v>
      </c>
      <c r="Y58" s="115">
        <v>2.3474056318422001</v>
      </c>
      <c r="Z58" s="115">
        <v>0</v>
      </c>
      <c r="AA58" s="115">
        <v>0</v>
      </c>
      <c r="AB58" s="115">
        <v>0</v>
      </c>
      <c r="AC58" s="115">
        <v>1.68284330684578</v>
      </c>
      <c r="AD58" s="104">
        <v>65.858480015264703</v>
      </c>
      <c r="AE58" s="104">
        <v>336.89674392723106</v>
      </c>
      <c r="AF58" s="104">
        <v>215.18239363314066</v>
      </c>
      <c r="AG58" s="104">
        <f t="shared" si="13"/>
        <v>402.75522394249577</v>
      </c>
      <c r="AH58" s="104">
        <f t="shared" si="14"/>
        <v>552.07913756037169</v>
      </c>
      <c r="AI58" s="104">
        <f t="shared" si="15"/>
        <v>617.93761757563641</v>
      </c>
      <c r="AJ58" s="106"/>
      <c r="AK58" s="106"/>
    </row>
    <row r="59" spans="1:37" x14ac:dyDescent="0.3">
      <c r="A59" s="4" t="str">
        <f t="shared" si="12"/>
        <v>SVH23</v>
      </c>
      <c r="B59" s="4" t="str">
        <f>'Forecast drivers'!B60</f>
        <v>SVH</v>
      </c>
      <c r="C59" s="31">
        <f>'Forecast drivers'!C60</f>
        <v>2023</v>
      </c>
      <c r="D59" s="103">
        <v>53.383148442051755</v>
      </c>
      <c r="E59" s="103">
        <v>207.03958387920801</v>
      </c>
      <c r="F59" s="103">
        <v>149.38352722775545</v>
      </c>
      <c r="G59" s="103">
        <v>260.42273232125979</v>
      </c>
      <c r="H59" s="103">
        <v>356.42311110696346</v>
      </c>
      <c r="I59" s="103">
        <v>409.80625954901524</v>
      </c>
      <c r="J59" s="115">
        <v>0.70716511736719501</v>
      </c>
      <c r="K59" s="115">
        <v>0</v>
      </c>
      <c r="L59" s="115">
        <v>17.384002037747763</v>
      </c>
      <c r="M59" s="115">
        <v>4.6025192434213897</v>
      </c>
      <c r="N59" s="115">
        <v>0</v>
      </c>
      <c r="O59" s="115">
        <v>0</v>
      </c>
      <c r="P59" s="115">
        <v>0</v>
      </c>
      <c r="Q59" s="115">
        <v>9.0457817656171304</v>
      </c>
      <c r="R59" s="115">
        <v>0</v>
      </c>
      <c r="S59" s="115">
        <v>0</v>
      </c>
      <c r="T59" s="115">
        <v>0</v>
      </c>
      <c r="U59" s="115">
        <v>2.65427868709423E-2</v>
      </c>
      <c r="V59" s="115">
        <v>0</v>
      </c>
      <c r="W59" s="115">
        <v>0</v>
      </c>
      <c r="X59" s="115">
        <v>0</v>
      </c>
      <c r="Y59" s="115">
        <v>2.32514812989454</v>
      </c>
      <c r="Z59" s="115">
        <v>0</v>
      </c>
      <c r="AA59" s="115">
        <v>0</v>
      </c>
      <c r="AB59" s="115">
        <v>0</v>
      </c>
      <c r="AC59" s="115">
        <v>1.66688701549518</v>
      </c>
      <c r="AD59" s="104">
        <v>65.080287814783532</v>
      </c>
      <c r="AE59" s="104">
        <v>354.74293466858563</v>
      </c>
      <c r="AF59" s="104">
        <v>205.43642210007883</v>
      </c>
      <c r="AG59" s="104">
        <f t="shared" si="13"/>
        <v>419.82322248336914</v>
      </c>
      <c r="AH59" s="104">
        <f t="shared" si="14"/>
        <v>560.17935676866443</v>
      </c>
      <c r="AI59" s="104">
        <f t="shared" si="15"/>
        <v>625.25964458344799</v>
      </c>
      <c r="AJ59" s="106"/>
      <c r="AK59" s="106"/>
    </row>
    <row r="60" spans="1:37" x14ac:dyDescent="0.3">
      <c r="A60" s="4" t="str">
        <f t="shared" si="12"/>
        <v>SVH24</v>
      </c>
      <c r="B60" s="4" t="str">
        <f>'Forecast drivers'!B61</f>
        <v>SVH</v>
      </c>
      <c r="C60" s="31">
        <f>'Forecast drivers'!C61</f>
        <v>2024</v>
      </c>
      <c r="D60" s="103">
        <v>50.928717385906509</v>
      </c>
      <c r="E60" s="103">
        <v>202.43363608761115</v>
      </c>
      <c r="F60" s="103">
        <v>147.48810979825586</v>
      </c>
      <c r="G60" s="103">
        <v>253.36235347351766</v>
      </c>
      <c r="H60" s="103">
        <v>349.92174588586704</v>
      </c>
      <c r="I60" s="103">
        <v>400.85046327177355</v>
      </c>
      <c r="J60" s="115">
        <v>0.71094911210287903</v>
      </c>
      <c r="K60" s="115">
        <v>0</v>
      </c>
      <c r="L60" s="115">
        <v>17.301646534821135</v>
      </c>
      <c r="M60" s="115">
        <v>4.5593896206515296</v>
      </c>
      <c r="N60" s="115">
        <v>0</v>
      </c>
      <c r="O60" s="115">
        <v>0</v>
      </c>
      <c r="P60" s="115">
        <v>0</v>
      </c>
      <c r="Q60" s="115">
        <v>8.9610148945677093</v>
      </c>
      <c r="R60" s="115">
        <v>0</v>
      </c>
      <c r="S60" s="115">
        <v>0</v>
      </c>
      <c r="T60" s="115">
        <v>0</v>
      </c>
      <c r="U60" s="115">
        <v>2.6294057789224501E-2</v>
      </c>
      <c r="V60" s="115">
        <v>0</v>
      </c>
      <c r="W60" s="115">
        <v>0</v>
      </c>
      <c r="X60" s="115">
        <v>0</v>
      </c>
      <c r="Y60" s="115">
        <v>2.3033594623360698</v>
      </c>
      <c r="Z60" s="115">
        <v>0</v>
      </c>
      <c r="AA60" s="115">
        <v>0</v>
      </c>
      <c r="AB60" s="115">
        <v>0</v>
      </c>
      <c r="AC60" s="115">
        <v>1.6512668291632999</v>
      </c>
      <c r="AD60" s="104">
        <v>62.727098503433503</v>
      </c>
      <c r="AE60" s="104">
        <v>351.08705040414452</v>
      </c>
      <c r="AF60" s="104">
        <v>202.01125419522938</v>
      </c>
      <c r="AG60" s="104">
        <f t="shared" si="13"/>
        <v>413.81414890757804</v>
      </c>
      <c r="AH60" s="104">
        <f t="shared" si="14"/>
        <v>553.09830459937393</v>
      </c>
      <c r="AI60" s="104">
        <f t="shared" si="15"/>
        <v>615.8254031028074</v>
      </c>
      <c r="AJ60" s="106"/>
      <c r="AK60" s="106"/>
    </row>
    <row r="61" spans="1:37" x14ac:dyDescent="0.3">
      <c r="A61" s="4" t="str">
        <f t="shared" si="12"/>
        <v>SVH25</v>
      </c>
      <c r="B61" s="4" t="str">
        <f>'Forecast drivers'!B62</f>
        <v>SVH</v>
      </c>
      <c r="C61" s="31">
        <f>'Forecast drivers'!C62</f>
        <v>2025</v>
      </c>
      <c r="D61" s="103">
        <v>45.802437895674032</v>
      </c>
      <c r="E61" s="103">
        <v>193.53191475297336</v>
      </c>
      <c r="F61" s="103">
        <v>146.24166716714103</v>
      </c>
      <c r="G61" s="103">
        <v>239.33435264864738</v>
      </c>
      <c r="H61" s="103">
        <v>339.7735819201144</v>
      </c>
      <c r="I61" s="103">
        <v>385.57601981578841</v>
      </c>
      <c r="J61" s="115">
        <v>0.71462172127678503</v>
      </c>
      <c r="K61" s="115">
        <v>0</v>
      </c>
      <c r="L61" s="115">
        <v>18.683255748511328</v>
      </c>
      <c r="M61" s="115">
        <v>4.5184256090377604</v>
      </c>
      <c r="N61" s="115">
        <v>0</v>
      </c>
      <c r="O61" s="115">
        <v>0</v>
      </c>
      <c r="P61" s="115">
        <v>0</v>
      </c>
      <c r="Q61" s="115">
        <v>8.8805043111884103</v>
      </c>
      <c r="R61" s="115">
        <v>0</v>
      </c>
      <c r="S61" s="115">
        <v>0</v>
      </c>
      <c r="T61" s="115">
        <v>0</v>
      </c>
      <c r="U61" s="115">
        <v>2.6057817814520001E-2</v>
      </c>
      <c r="V61" s="115">
        <v>0</v>
      </c>
      <c r="W61" s="115">
        <v>0</v>
      </c>
      <c r="X61" s="115">
        <v>0</v>
      </c>
      <c r="Y61" s="115">
        <v>2.2826648405519498</v>
      </c>
      <c r="Z61" s="115">
        <v>0</v>
      </c>
      <c r="AA61" s="115">
        <v>0</v>
      </c>
      <c r="AB61" s="115">
        <v>0</v>
      </c>
      <c r="AC61" s="115">
        <v>1.63643095875185</v>
      </c>
      <c r="AD61" s="104">
        <v>56.096509652318773</v>
      </c>
      <c r="AE61" s="104">
        <v>303.42190880665061</v>
      </c>
      <c r="AF61" s="104">
        <v>191.10821749811393</v>
      </c>
      <c r="AG61" s="104">
        <f t="shared" si="13"/>
        <v>359.51841845896939</v>
      </c>
      <c r="AH61" s="104">
        <f t="shared" si="14"/>
        <v>494.53012630476451</v>
      </c>
      <c r="AI61" s="104">
        <f t="shared" si="15"/>
        <v>550.62663595708329</v>
      </c>
      <c r="AJ61" s="106"/>
      <c r="AK61" s="106"/>
    </row>
    <row r="62" spans="1:37" x14ac:dyDescent="0.3">
      <c r="A62" s="4" t="str">
        <f t="shared" si="12"/>
        <v>SVE21</v>
      </c>
      <c r="B62" s="4" t="s">
        <v>82</v>
      </c>
      <c r="C62" s="31">
        <v>2021</v>
      </c>
      <c r="D62" s="103">
        <v>56.360221052086665</v>
      </c>
      <c r="E62" s="103">
        <v>198.50636674752153</v>
      </c>
      <c r="F62" s="103">
        <v>167.13718734405592</v>
      </c>
      <c r="G62" s="103">
        <v>254.8665877996082</v>
      </c>
      <c r="H62" s="103">
        <v>365.64355409157747</v>
      </c>
      <c r="I62" s="103">
        <v>422.00377514366414</v>
      </c>
      <c r="J62" s="115">
        <v>0.69901504068353104</v>
      </c>
      <c r="K62" s="115">
        <v>0</v>
      </c>
      <c r="L62" s="115">
        <v>29.052759005122098</v>
      </c>
      <c r="M62" s="115">
        <v>4.6895079616559698</v>
      </c>
      <c r="N62" s="115">
        <v>0</v>
      </c>
      <c r="O62" s="115">
        <v>0</v>
      </c>
      <c r="P62" s="115">
        <v>0</v>
      </c>
      <c r="Q62" s="115">
        <v>9.2167492118359604</v>
      </c>
      <c r="R62" s="115">
        <v>0</v>
      </c>
      <c r="S62" s="115">
        <v>0</v>
      </c>
      <c r="T62" s="115">
        <v>0</v>
      </c>
      <c r="U62" s="115">
        <v>2.7044451912664198E-2</v>
      </c>
      <c r="V62" s="115">
        <v>0</v>
      </c>
      <c r="W62" s="115">
        <v>0</v>
      </c>
      <c r="X62" s="115">
        <v>0</v>
      </c>
      <c r="Y62" s="115">
        <v>2.3690939875493902</v>
      </c>
      <c r="Z62" s="115">
        <v>0</v>
      </c>
      <c r="AA62" s="115">
        <v>0</v>
      </c>
      <c r="AB62" s="115">
        <v>0</v>
      </c>
      <c r="AC62" s="115">
        <v>1.69839158011531</v>
      </c>
      <c r="AD62" s="104">
        <v>64.876259619463838</v>
      </c>
      <c r="AE62" s="104">
        <v>283.143096818054</v>
      </c>
      <c r="AF62" s="104">
        <v>223.26945302402959</v>
      </c>
      <c r="AG62" s="104">
        <f t="shared" si="13"/>
        <v>348.01935643751784</v>
      </c>
      <c r="AH62" s="104">
        <f t="shared" si="14"/>
        <v>506.41254984208359</v>
      </c>
      <c r="AI62" s="104">
        <f t="shared" si="15"/>
        <v>571.28880946154743</v>
      </c>
      <c r="AJ62" s="106"/>
      <c r="AK62" s="106"/>
    </row>
    <row r="63" spans="1:37" x14ac:dyDescent="0.3">
      <c r="A63" s="4" t="str">
        <f t="shared" si="12"/>
        <v>SVE22</v>
      </c>
      <c r="B63" s="4" t="s">
        <v>82</v>
      </c>
      <c r="C63" s="31">
        <v>2022</v>
      </c>
      <c r="D63" s="103">
        <v>54.677533988691863</v>
      </c>
      <c r="E63" s="103">
        <v>202.22894844565087</v>
      </c>
      <c r="F63" s="103">
        <v>152.78786504613402</v>
      </c>
      <c r="G63" s="103">
        <v>256.90648243434271</v>
      </c>
      <c r="H63" s="103">
        <v>355.01681349178489</v>
      </c>
      <c r="I63" s="103">
        <v>409.69434748047672</v>
      </c>
      <c r="J63" s="115">
        <v>0.703175095192618</v>
      </c>
      <c r="K63" s="115">
        <v>0</v>
      </c>
      <c r="L63" s="115">
        <v>17.098062465635699</v>
      </c>
      <c r="M63" s="115">
        <v>4.6465769013862701</v>
      </c>
      <c r="N63" s="115">
        <v>0</v>
      </c>
      <c r="O63" s="115">
        <v>0</v>
      </c>
      <c r="P63" s="115">
        <v>0</v>
      </c>
      <c r="Q63" s="115">
        <v>9.1323725951121109</v>
      </c>
      <c r="R63" s="115">
        <v>0</v>
      </c>
      <c r="S63" s="115">
        <v>0</v>
      </c>
      <c r="T63" s="115">
        <v>0</v>
      </c>
      <c r="U63" s="115">
        <v>2.67968679434041E-2</v>
      </c>
      <c r="V63" s="115">
        <v>0</v>
      </c>
      <c r="W63" s="115">
        <v>0</v>
      </c>
      <c r="X63" s="115">
        <v>0</v>
      </c>
      <c r="Y63" s="115">
        <v>2.3474056318422001</v>
      </c>
      <c r="Z63" s="115">
        <v>0</v>
      </c>
      <c r="AA63" s="115">
        <v>0</v>
      </c>
      <c r="AB63" s="115">
        <v>0</v>
      </c>
      <c r="AC63" s="115">
        <v>1.68284330684578</v>
      </c>
      <c r="AD63" s="104">
        <v>65.132480015264704</v>
      </c>
      <c r="AE63" s="104">
        <v>333.93011725589491</v>
      </c>
      <c r="AF63" s="104">
        <v>213.9750203044768</v>
      </c>
      <c r="AG63" s="104">
        <f t="shared" si="13"/>
        <v>399.06259727115963</v>
      </c>
      <c r="AH63" s="104">
        <f t="shared" si="14"/>
        <v>547.90513756037171</v>
      </c>
      <c r="AI63" s="104">
        <f t="shared" si="15"/>
        <v>613.03761757563643</v>
      </c>
      <c r="AJ63" s="106"/>
      <c r="AK63" s="106"/>
    </row>
    <row r="64" spans="1:37" x14ac:dyDescent="0.3">
      <c r="A64" s="4" t="str">
        <f t="shared" si="12"/>
        <v>SVE23</v>
      </c>
      <c r="B64" s="4" t="s">
        <v>82</v>
      </c>
      <c r="C64" s="31">
        <v>2023</v>
      </c>
      <c r="D64" s="103">
        <v>52.81548094686881</v>
      </c>
      <c r="E64" s="103">
        <v>204.6044105652457</v>
      </c>
      <c r="F64" s="103">
        <v>148.24514212196414</v>
      </c>
      <c r="G64" s="103">
        <v>257.41989151211453</v>
      </c>
      <c r="H64" s="103">
        <v>352.84955268720984</v>
      </c>
      <c r="I64" s="103">
        <v>405.66503363407867</v>
      </c>
      <c r="J64" s="115">
        <v>0.70716511736719501</v>
      </c>
      <c r="K64" s="115">
        <v>0</v>
      </c>
      <c r="L64" s="115">
        <v>17.310697345586199</v>
      </c>
      <c r="M64" s="115">
        <v>4.6025192434213897</v>
      </c>
      <c r="N64" s="115">
        <v>0</v>
      </c>
      <c r="O64" s="115">
        <v>0</v>
      </c>
      <c r="P64" s="115">
        <v>0</v>
      </c>
      <c r="Q64" s="115">
        <v>9.0457817656171304</v>
      </c>
      <c r="R64" s="115">
        <v>0</v>
      </c>
      <c r="S64" s="115">
        <v>0</v>
      </c>
      <c r="T64" s="115">
        <v>0</v>
      </c>
      <c r="U64" s="115">
        <v>2.65427868709423E-2</v>
      </c>
      <c r="V64" s="115">
        <v>0</v>
      </c>
      <c r="W64" s="115">
        <v>0</v>
      </c>
      <c r="X64" s="115">
        <v>0</v>
      </c>
      <c r="Y64" s="115">
        <v>2.32514812989454</v>
      </c>
      <c r="Z64" s="115">
        <v>0</v>
      </c>
      <c r="AA64" s="115">
        <v>0</v>
      </c>
      <c r="AB64" s="115">
        <v>0</v>
      </c>
      <c r="AC64" s="115">
        <v>1.66688701549518</v>
      </c>
      <c r="AD64" s="104">
        <v>64.354287814783532</v>
      </c>
      <c r="AE64" s="104">
        <v>351.57154286382888</v>
      </c>
      <c r="AF64" s="104">
        <v>204.23381390483559</v>
      </c>
      <c r="AG64" s="104">
        <f t="shared" si="13"/>
        <v>415.92583067861244</v>
      </c>
      <c r="AH64" s="104">
        <f t="shared" si="14"/>
        <v>555.80535676866452</v>
      </c>
      <c r="AI64" s="104">
        <f t="shared" si="15"/>
        <v>620.15964458344797</v>
      </c>
      <c r="AJ64" s="106"/>
      <c r="AK64" s="106"/>
    </row>
    <row r="65" spans="1:37" x14ac:dyDescent="0.3">
      <c r="A65" s="4" t="str">
        <f t="shared" si="12"/>
        <v>SVE24</v>
      </c>
      <c r="B65" s="4" t="s">
        <v>82</v>
      </c>
      <c r="C65" s="31">
        <v>2024</v>
      </c>
      <c r="D65" s="103">
        <v>50.360899483140287</v>
      </c>
      <c r="E65" s="103">
        <v>200.00184543015808</v>
      </c>
      <c r="F65" s="103">
        <v>146.358184582729</v>
      </c>
      <c r="G65" s="103">
        <v>250.36274491329837</v>
      </c>
      <c r="H65" s="103">
        <v>346.36003001288708</v>
      </c>
      <c r="I65" s="103">
        <v>396.72092949602734</v>
      </c>
      <c r="J65" s="115">
        <v>0.71094911210287903</v>
      </c>
      <c r="K65" s="115">
        <v>0</v>
      </c>
      <c r="L65" s="115">
        <v>17.227096808119001</v>
      </c>
      <c r="M65" s="115">
        <v>4.5593896206515296</v>
      </c>
      <c r="N65" s="115">
        <v>0</v>
      </c>
      <c r="O65" s="115">
        <v>0</v>
      </c>
      <c r="P65" s="115">
        <v>0</v>
      </c>
      <c r="Q65" s="115">
        <v>8.9610148945677093</v>
      </c>
      <c r="R65" s="115">
        <v>0</v>
      </c>
      <c r="S65" s="115">
        <v>0</v>
      </c>
      <c r="T65" s="115">
        <v>0</v>
      </c>
      <c r="U65" s="115">
        <v>2.6294057789224501E-2</v>
      </c>
      <c r="V65" s="115">
        <v>0</v>
      </c>
      <c r="W65" s="115">
        <v>0</v>
      </c>
      <c r="X65" s="115">
        <v>0</v>
      </c>
      <c r="Y65" s="115">
        <v>2.3033594623360698</v>
      </c>
      <c r="Z65" s="115">
        <v>0</v>
      </c>
      <c r="AA65" s="115">
        <v>0</v>
      </c>
      <c r="AB65" s="115">
        <v>0</v>
      </c>
      <c r="AC65" s="115">
        <v>1.6512668291632999</v>
      </c>
      <c r="AD65" s="104">
        <v>62.001098503433511</v>
      </c>
      <c r="AE65" s="104">
        <v>346.79395916348028</v>
      </c>
      <c r="AF65" s="104">
        <v>200.8163454358936</v>
      </c>
      <c r="AG65" s="104">
        <f t="shared" si="13"/>
        <v>408.79505766691381</v>
      </c>
      <c r="AH65" s="104">
        <f t="shared" si="14"/>
        <v>547.61030459937388</v>
      </c>
      <c r="AI65" s="104">
        <f t="shared" si="15"/>
        <v>609.61140310280734</v>
      </c>
      <c r="AJ65" s="106"/>
      <c r="AK65" s="106"/>
    </row>
    <row r="66" spans="1:37" x14ac:dyDescent="0.3">
      <c r="A66" s="4" t="str">
        <f t="shared" si="12"/>
        <v>SVE25</v>
      </c>
      <c r="B66" s="4" t="s">
        <v>82</v>
      </c>
      <c r="C66" s="31">
        <v>2025</v>
      </c>
      <c r="D66" s="103">
        <v>45.23453536842284</v>
      </c>
      <c r="E66" s="103">
        <v>191.09966367276954</v>
      </c>
      <c r="F66" s="103">
        <v>145.11055815857154</v>
      </c>
      <c r="G66" s="103">
        <v>236.33419904119239</v>
      </c>
      <c r="H66" s="103">
        <v>336.21022183134107</v>
      </c>
      <c r="I66" s="103">
        <v>381.4447571997639</v>
      </c>
      <c r="J66" s="115">
        <v>0.71462172127678503</v>
      </c>
      <c r="K66" s="115">
        <v>0</v>
      </c>
      <c r="L66" s="115">
        <v>18.6074557790885</v>
      </c>
      <c r="M66" s="115">
        <v>4.5184256090377604</v>
      </c>
      <c r="N66" s="115">
        <v>0</v>
      </c>
      <c r="O66" s="115">
        <v>0</v>
      </c>
      <c r="P66" s="115">
        <v>0</v>
      </c>
      <c r="Q66" s="115">
        <v>8.8805043111884103</v>
      </c>
      <c r="R66" s="115">
        <v>0</v>
      </c>
      <c r="S66" s="115">
        <v>0</v>
      </c>
      <c r="T66" s="115">
        <v>0</v>
      </c>
      <c r="U66" s="115">
        <v>2.6057817814520001E-2</v>
      </c>
      <c r="V66" s="115">
        <v>0</v>
      </c>
      <c r="W66" s="115">
        <v>0</v>
      </c>
      <c r="X66" s="115">
        <v>0</v>
      </c>
      <c r="Y66" s="115">
        <v>2.2826648405519498</v>
      </c>
      <c r="Z66" s="115">
        <v>0</v>
      </c>
      <c r="AA66" s="115">
        <v>0</v>
      </c>
      <c r="AB66" s="115">
        <v>0</v>
      </c>
      <c r="AC66" s="115">
        <v>1.63643095875185</v>
      </c>
      <c r="AD66" s="104">
        <v>55.370509652318773</v>
      </c>
      <c r="AE66" s="104">
        <v>300.70376726772059</v>
      </c>
      <c r="AF66" s="104">
        <v>189.91135903704395</v>
      </c>
      <c r="AG66" s="104">
        <f t="shared" si="13"/>
        <v>356.07427692003938</v>
      </c>
      <c r="AH66" s="104">
        <f t="shared" si="14"/>
        <v>490.61512630476454</v>
      </c>
      <c r="AI66" s="104">
        <f t="shared" si="15"/>
        <v>545.98563595708333</v>
      </c>
      <c r="AJ66" s="106"/>
      <c r="AK66" s="106"/>
    </row>
    <row r="67" spans="1:37" x14ac:dyDescent="0.3">
      <c r="A67" s="4" t="str">
        <f t="shared" si="12"/>
        <v>HDD21</v>
      </c>
      <c r="B67" s="4" t="s">
        <v>63</v>
      </c>
      <c r="C67" s="31">
        <v>2021</v>
      </c>
      <c r="D67" s="103">
        <v>0.56901715735148017</v>
      </c>
      <c r="E67" s="103">
        <v>2.4681321217349561</v>
      </c>
      <c r="F67" s="103">
        <v>1.1533480673234422</v>
      </c>
      <c r="G67" s="103">
        <v>3.0371492790864361</v>
      </c>
      <c r="H67" s="103">
        <v>3.6214801890583983</v>
      </c>
      <c r="I67" s="103">
        <v>4.1904973464098783</v>
      </c>
      <c r="J67" s="115">
        <v>0</v>
      </c>
      <c r="K67" s="115">
        <v>0</v>
      </c>
      <c r="L67" s="115">
        <v>0.19192252684472999</v>
      </c>
      <c r="M67" s="115">
        <v>0</v>
      </c>
      <c r="N67" s="115">
        <v>0</v>
      </c>
      <c r="O67" s="115">
        <v>0</v>
      </c>
      <c r="P67" s="115">
        <v>0</v>
      </c>
      <c r="Q67" s="115">
        <v>0</v>
      </c>
      <c r="R67" s="115">
        <v>0</v>
      </c>
      <c r="S67" s="115">
        <v>0</v>
      </c>
      <c r="T67" s="115">
        <v>0</v>
      </c>
      <c r="U67" s="115">
        <v>0</v>
      </c>
      <c r="V67" s="115">
        <v>0</v>
      </c>
      <c r="W67" s="115">
        <v>0</v>
      </c>
      <c r="X67" s="115">
        <v>0</v>
      </c>
      <c r="Y67" s="115">
        <v>0</v>
      </c>
      <c r="Z67" s="115">
        <v>0</v>
      </c>
      <c r="AA67" s="115">
        <v>0</v>
      </c>
      <c r="AB67" s="115">
        <v>0</v>
      </c>
      <c r="AC67" s="115">
        <v>0</v>
      </c>
      <c r="AD67" s="104">
        <v>0.69800000000000006</v>
      </c>
      <c r="AE67" s="104">
        <v>2.63042096438347</v>
      </c>
      <c r="AF67" s="104">
        <v>1.21257903561653</v>
      </c>
      <c r="AG67" s="104">
        <f t="shared" si="13"/>
        <v>3.3284209643834699</v>
      </c>
      <c r="AH67" s="104">
        <f t="shared" si="14"/>
        <v>3.843</v>
      </c>
      <c r="AI67" s="104">
        <f t="shared" si="15"/>
        <v>4.5410000000000004</v>
      </c>
      <c r="AJ67" s="106"/>
      <c r="AK67" s="106"/>
    </row>
    <row r="68" spans="1:37" x14ac:dyDescent="0.3">
      <c r="A68" s="4" t="str">
        <f t="shared" si="12"/>
        <v>HDD22</v>
      </c>
      <c r="B68" s="4" t="s">
        <v>63</v>
      </c>
      <c r="C68" s="31">
        <v>2022</v>
      </c>
      <c r="D68" s="103">
        <v>0.56751062912641814</v>
      </c>
      <c r="E68" s="103">
        <v>2.4552978144851814</v>
      </c>
      <c r="F68" s="103">
        <v>1.1455560021375859</v>
      </c>
      <c r="G68" s="103">
        <v>3.0228084436115994</v>
      </c>
      <c r="H68" s="103">
        <v>3.6008538166227675</v>
      </c>
      <c r="I68" s="103">
        <v>4.1683644457491855</v>
      </c>
      <c r="J68" s="115">
        <v>0</v>
      </c>
      <c r="K68" s="115">
        <v>0</v>
      </c>
      <c r="L68" s="115">
        <v>8.4058623937778798E-2</v>
      </c>
      <c r="M68" s="115">
        <v>0</v>
      </c>
      <c r="N68" s="115">
        <v>0</v>
      </c>
      <c r="O68" s="115">
        <v>0</v>
      </c>
      <c r="P68" s="115">
        <v>0</v>
      </c>
      <c r="Q68" s="115">
        <v>0</v>
      </c>
      <c r="R68" s="115">
        <v>0</v>
      </c>
      <c r="S68" s="115">
        <v>0</v>
      </c>
      <c r="T68" s="115">
        <v>0</v>
      </c>
      <c r="U68" s="115">
        <v>0</v>
      </c>
      <c r="V68" s="115">
        <v>0</v>
      </c>
      <c r="W68" s="115">
        <v>0</v>
      </c>
      <c r="X68" s="115">
        <v>0</v>
      </c>
      <c r="Y68" s="115">
        <v>0</v>
      </c>
      <c r="Z68" s="115">
        <v>0</v>
      </c>
      <c r="AA68" s="115">
        <v>0</v>
      </c>
      <c r="AB68" s="115">
        <v>0</v>
      </c>
      <c r="AC68" s="115">
        <v>0</v>
      </c>
      <c r="AD68" s="104">
        <v>0.72599999999999998</v>
      </c>
      <c r="AE68" s="104">
        <v>2.9666266713361402</v>
      </c>
      <c r="AF68" s="104">
        <v>1.2073733286638588</v>
      </c>
      <c r="AG68" s="104">
        <f t="shared" si="13"/>
        <v>3.6926266713361402</v>
      </c>
      <c r="AH68" s="104">
        <f t="shared" si="14"/>
        <v>4.1739999999999995</v>
      </c>
      <c r="AI68" s="104">
        <f t="shared" si="15"/>
        <v>4.8999999999999986</v>
      </c>
      <c r="AJ68" s="106"/>
      <c r="AK68" s="106"/>
    </row>
    <row r="69" spans="1:37" x14ac:dyDescent="0.3">
      <c r="A69" s="4" t="str">
        <f t="shared" si="12"/>
        <v>HDD23</v>
      </c>
      <c r="B69" s="4" t="s">
        <v>63</v>
      </c>
      <c r="C69" s="31">
        <v>2023</v>
      </c>
      <c r="D69" s="103">
        <v>0.56766749518294557</v>
      </c>
      <c r="E69" s="103">
        <v>2.4351733139623355</v>
      </c>
      <c r="F69" s="103">
        <v>1.1383851057913486</v>
      </c>
      <c r="G69" s="103">
        <v>3.002840809145281</v>
      </c>
      <c r="H69" s="103">
        <v>3.573558419753684</v>
      </c>
      <c r="I69" s="103">
        <v>4.1412259149366299</v>
      </c>
      <c r="J69" s="115">
        <v>0</v>
      </c>
      <c r="K69" s="115">
        <v>0</v>
      </c>
      <c r="L69" s="115">
        <v>7.3304692161562296E-2</v>
      </c>
      <c r="M69" s="115">
        <v>0</v>
      </c>
      <c r="N69" s="115">
        <v>0</v>
      </c>
      <c r="O69" s="115">
        <v>0</v>
      </c>
      <c r="P69" s="115">
        <v>0</v>
      </c>
      <c r="Q69" s="115">
        <v>0</v>
      </c>
      <c r="R69" s="115">
        <v>0</v>
      </c>
      <c r="S69" s="115">
        <v>0</v>
      </c>
      <c r="T69" s="115">
        <v>0</v>
      </c>
      <c r="U69" s="115">
        <v>0</v>
      </c>
      <c r="V69" s="115">
        <v>0</v>
      </c>
      <c r="W69" s="115">
        <v>0</v>
      </c>
      <c r="X69" s="115">
        <v>0</v>
      </c>
      <c r="Y69" s="115">
        <v>0</v>
      </c>
      <c r="Z69" s="115">
        <v>0</v>
      </c>
      <c r="AA69" s="115">
        <v>0</v>
      </c>
      <c r="AB69" s="115">
        <v>0</v>
      </c>
      <c r="AC69" s="115">
        <v>0</v>
      </c>
      <c r="AD69" s="104">
        <v>0.72599999999999998</v>
      </c>
      <c r="AE69" s="104">
        <v>3.17139180475677</v>
      </c>
      <c r="AF69" s="104">
        <v>1.2026081952432324</v>
      </c>
      <c r="AG69" s="104">
        <f t="shared" si="13"/>
        <v>3.8973918047567699</v>
      </c>
      <c r="AH69" s="104">
        <f t="shared" si="14"/>
        <v>4.3740000000000023</v>
      </c>
      <c r="AI69" s="104">
        <f t="shared" si="15"/>
        <v>5.1000000000000023</v>
      </c>
      <c r="AJ69" s="106"/>
      <c r="AK69" s="106"/>
    </row>
    <row r="70" spans="1:37" x14ac:dyDescent="0.3">
      <c r="A70" s="4" t="str">
        <f t="shared" si="12"/>
        <v>HDD24</v>
      </c>
      <c r="B70" s="4" t="s">
        <v>63</v>
      </c>
      <c r="C70" s="31">
        <v>2024</v>
      </c>
      <c r="D70" s="103">
        <v>0.56781790276622224</v>
      </c>
      <c r="E70" s="103">
        <v>2.4317906574530612</v>
      </c>
      <c r="F70" s="103">
        <v>1.1299252155268864</v>
      </c>
      <c r="G70" s="103">
        <v>2.9996085602192837</v>
      </c>
      <c r="H70" s="103">
        <v>3.5617158729799474</v>
      </c>
      <c r="I70" s="103">
        <v>4.1295337757461699</v>
      </c>
      <c r="J70" s="115">
        <v>0</v>
      </c>
      <c r="K70" s="115">
        <v>0</v>
      </c>
      <c r="L70" s="115">
        <v>7.4549726702134694E-2</v>
      </c>
      <c r="M70" s="115">
        <v>0</v>
      </c>
      <c r="N70" s="115">
        <v>0</v>
      </c>
      <c r="O70" s="115">
        <v>0</v>
      </c>
      <c r="P70" s="115">
        <v>0</v>
      </c>
      <c r="Q70" s="115">
        <v>0</v>
      </c>
      <c r="R70" s="115">
        <v>0</v>
      </c>
      <c r="S70" s="115">
        <v>0</v>
      </c>
      <c r="T70" s="115">
        <v>0</v>
      </c>
      <c r="U70" s="115">
        <v>0</v>
      </c>
      <c r="V70" s="115">
        <v>0</v>
      </c>
      <c r="W70" s="115">
        <v>0</v>
      </c>
      <c r="X70" s="115">
        <v>0</v>
      </c>
      <c r="Y70" s="115">
        <v>0</v>
      </c>
      <c r="Z70" s="115">
        <v>0</v>
      </c>
      <c r="AA70" s="115">
        <v>0</v>
      </c>
      <c r="AB70" s="115">
        <v>0</v>
      </c>
      <c r="AC70" s="115">
        <v>0</v>
      </c>
      <c r="AD70" s="104">
        <v>0.72600000000000098</v>
      </c>
      <c r="AE70" s="104">
        <v>4.2930912406642197</v>
      </c>
      <c r="AF70" s="104">
        <v>1.1949087593357848</v>
      </c>
      <c r="AG70" s="104">
        <f t="shared" si="13"/>
        <v>5.0190912406642205</v>
      </c>
      <c r="AH70" s="104">
        <f t="shared" si="14"/>
        <v>5.4880000000000049</v>
      </c>
      <c r="AI70" s="104">
        <f t="shared" si="15"/>
        <v>6.2140000000000057</v>
      </c>
      <c r="AJ70" s="106"/>
      <c r="AK70" s="106"/>
    </row>
    <row r="71" spans="1:37" x14ac:dyDescent="0.3">
      <c r="A71" s="4" t="str">
        <f t="shared" si="12"/>
        <v>HDD25</v>
      </c>
      <c r="B71" s="4" t="s">
        <v>63</v>
      </c>
      <c r="C71" s="31">
        <v>2025</v>
      </c>
      <c r="D71" s="103">
        <v>0.56790252725119184</v>
      </c>
      <c r="E71" s="103">
        <v>2.432251080203844</v>
      </c>
      <c r="F71" s="103">
        <v>1.1311090085695474</v>
      </c>
      <c r="G71" s="103">
        <v>3.0001536074550357</v>
      </c>
      <c r="H71" s="103">
        <v>3.5633600887733916</v>
      </c>
      <c r="I71" s="103">
        <v>4.1312626160245838</v>
      </c>
      <c r="J71" s="115">
        <v>0</v>
      </c>
      <c r="K71" s="115">
        <v>0</v>
      </c>
      <c r="L71" s="115">
        <v>7.5799969422829197E-2</v>
      </c>
      <c r="M71" s="115">
        <v>0</v>
      </c>
      <c r="N71" s="115">
        <v>0</v>
      </c>
      <c r="O71" s="115">
        <v>0</v>
      </c>
      <c r="P71" s="115">
        <v>0</v>
      </c>
      <c r="Q71" s="115">
        <v>0</v>
      </c>
      <c r="R71" s="115">
        <v>0</v>
      </c>
      <c r="S71" s="115">
        <v>0</v>
      </c>
      <c r="T71" s="115">
        <v>0</v>
      </c>
      <c r="U71" s="115">
        <v>0</v>
      </c>
      <c r="V71" s="115">
        <v>0</v>
      </c>
      <c r="W71" s="115">
        <v>0</v>
      </c>
      <c r="X71" s="115">
        <v>0</v>
      </c>
      <c r="Y71" s="115">
        <v>0</v>
      </c>
      <c r="Z71" s="115">
        <v>0</v>
      </c>
      <c r="AA71" s="115">
        <v>0</v>
      </c>
      <c r="AB71" s="115">
        <v>0</v>
      </c>
      <c r="AC71" s="115">
        <v>0</v>
      </c>
      <c r="AD71" s="104">
        <v>0.72599999999999998</v>
      </c>
      <c r="AE71" s="104">
        <v>2.7181415389300301</v>
      </c>
      <c r="AF71" s="104">
        <v>1.1968584610699693</v>
      </c>
      <c r="AG71" s="104">
        <f t="shared" si="13"/>
        <v>3.4441415389300301</v>
      </c>
      <c r="AH71" s="104">
        <f t="shared" si="14"/>
        <v>3.9149999999999991</v>
      </c>
      <c r="AI71" s="104">
        <f t="shared" si="15"/>
        <v>4.6409999999999991</v>
      </c>
      <c r="AJ71" s="106"/>
      <c r="AK71" s="10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62"/>
  <sheetViews>
    <sheetView showGridLines="0" zoomScale="80" zoomScaleNormal="80" workbookViewId="0">
      <pane xSplit="3" ySplit="7" topLeftCell="D8" activePane="bottomRight" state="frozen"/>
      <selection pane="topRight" activeCell="D1" sqref="D1"/>
      <selection pane="bottomLeft" activeCell="A5" sqref="A5"/>
      <selection pane="bottomRight"/>
    </sheetView>
  </sheetViews>
  <sheetFormatPr defaultColWidth="9" defaultRowHeight="13" x14ac:dyDescent="0.3"/>
  <cols>
    <col min="1" max="1" width="12.5" style="8" customWidth="1"/>
    <col min="2" max="2" width="14.33203125" style="8" customWidth="1"/>
    <col min="3" max="3" width="10.08203125" style="8" bestFit="1" customWidth="1"/>
    <col min="4" max="4" width="13" style="8" customWidth="1"/>
    <col min="5" max="5" width="12.5" style="8" bestFit="1" customWidth="1"/>
    <col min="6" max="6" width="10.5" style="8" bestFit="1" customWidth="1"/>
    <col min="7" max="7" width="11.6640625" style="8" customWidth="1"/>
    <col min="8" max="8" width="15.1640625" style="8" bestFit="1" customWidth="1"/>
    <col min="9" max="9" width="16.6640625" style="8" customWidth="1"/>
    <col min="10" max="10" width="8.6640625" style="8" customWidth="1"/>
    <col min="11" max="11" width="14.1640625" style="8" customWidth="1"/>
    <col min="12" max="12" width="10.83203125" style="8" customWidth="1"/>
    <col min="13" max="13" width="16.9140625" style="8" customWidth="1"/>
    <col min="14" max="14" width="13" style="8" customWidth="1"/>
    <col min="15" max="15" width="10.58203125" style="8" bestFit="1" customWidth="1"/>
    <col min="16" max="16" width="11.9140625" style="8" bestFit="1" customWidth="1"/>
    <col min="17" max="17" width="11.1640625" style="8" bestFit="1" customWidth="1"/>
    <col min="18" max="19" width="8.6640625" style="8" bestFit="1" customWidth="1"/>
    <col min="20" max="20" width="18.1640625" style="8" customWidth="1"/>
    <col min="21" max="21" width="8.6640625" style="8" bestFit="1" customWidth="1"/>
    <col min="22" max="22" width="14" style="8" customWidth="1"/>
    <col min="23" max="23" width="11.4140625" style="8" customWidth="1"/>
    <col min="24" max="24" width="16.83203125" style="8" customWidth="1"/>
    <col min="25" max="25" width="10.83203125" style="8" customWidth="1"/>
    <col min="26" max="16384" width="9" style="8"/>
  </cols>
  <sheetData>
    <row r="1" spans="1:25" ht="15.5" x14ac:dyDescent="0.35">
      <c r="A1" s="65" t="s">
        <v>14</v>
      </c>
    </row>
    <row r="4" spans="1:25" ht="58.25" customHeight="1" x14ac:dyDescent="0.3">
      <c r="A4" s="172" t="s">
        <v>192</v>
      </c>
      <c r="B4" s="172"/>
      <c r="D4" s="153" t="s">
        <v>97</v>
      </c>
      <c r="E4" s="153"/>
      <c r="F4" s="153"/>
      <c r="G4" s="153"/>
      <c r="H4" s="153"/>
      <c r="I4" s="153"/>
      <c r="J4" s="153"/>
      <c r="K4" s="153"/>
      <c r="L4" s="153"/>
      <c r="M4" s="154"/>
      <c r="N4" s="154"/>
      <c r="O4" s="87" t="s">
        <v>33</v>
      </c>
      <c r="P4" s="88"/>
      <c r="Q4" s="88"/>
      <c r="R4" s="88"/>
      <c r="S4" s="88"/>
      <c r="T4" s="88"/>
      <c r="U4" s="88"/>
      <c r="V4" s="88"/>
      <c r="W4" s="88"/>
      <c r="X4" s="88"/>
      <c r="Y4" s="89"/>
    </row>
    <row r="5" spans="1:25" s="57" customFormat="1" ht="54" customHeight="1" x14ac:dyDescent="0.3">
      <c r="A5" s="172"/>
      <c r="B5" s="172"/>
      <c r="C5" s="8"/>
      <c r="D5" s="30" t="s">
        <v>37</v>
      </c>
      <c r="E5" s="30" t="s">
        <v>41</v>
      </c>
      <c r="F5" s="30" t="s">
        <v>30</v>
      </c>
      <c r="G5" s="50" t="s">
        <v>31</v>
      </c>
      <c r="H5" s="30" t="s">
        <v>43</v>
      </c>
      <c r="I5" s="30" t="s">
        <v>44</v>
      </c>
      <c r="J5" s="30" t="s">
        <v>39</v>
      </c>
      <c r="K5" s="30" t="s">
        <v>38</v>
      </c>
      <c r="L5" s="30" t="s">
        <v>61</v>
      </c>
      <c r="M5" s="30" t="s">
        <v>45</v>
      </c>
      <c r="N5" s="30" t="s">
        <v>46</v>
      </c>
      <c r="O5" s="117" t="s">
        <v>37</v>
      </c>
      <c r="P5" s="117" t="s">
        <v>41</v>
      </c>
      <c r="Q5" s="117" t="s">
        <v>30</v>
      </c>
      <c r="R5" s="118" t="s">
        <v>42</v>
      </c>
      <c r="S5" s="119" t="s">
        <v>43</v>
      </c>
      <c r="T5" s="118" t="s">
        <v>44</v>
      </c>
      <c r="U5" s="117" t="s">
        <v>39</v>
      </c>
      <c r="V5" s="117" t="s">
        <v>38</v>
      </c>
      <c r="W5" s="117" t="s">
        <v>61</v>
      </c>
      <c r="X5" s="119" t="s">
        <v>45</v>
      </c>
      <c r="Y5" s="119" t="s">
        <v>46</v>
      </c>
    </row>
    <row r="6" spans="1:25" s="57" customFormat="1" ht="52" x14ac:dyDescent="0.3">
      <c r="A6" s="8"/>
      <c r="B6" s="8"/>
      <c r="C6" s="8"/>
      <c r="D6" s="51" t="s">
        <v>40</v>
      </c>
      <c r="E6" s="51" t="s">
        <v>18</v>
      </c>
      <c r="F6" s="51" t="s">
        <v>23</v>
      </c>
      <c r="G6" s="52" t="s">
        <v>27</v>
      </c>
      <c r="H6" s="51" t="s">
        <v>19</v>
      </c>
      <c r="I6" s="51" t="s">
        <v>20</v>
      </c>
      <c r="J6" s="51" t="s">
        <v>47</v>
      </c>
      <c r="K6" s="51" t="s">
        <v>48</v>
      </c>
      <c r="L6" s="51" t="s">
        <v>62</v>
      </c>
      <c r="M6" s="51" t="s">
        <v>60</v>
      </c>
      <c r="N6" s="51" t="s">
        <v>50</v>
      </c>
      <c r="O6" s="120" t="s">
        <v>40</v>
      </c>
      <c r="P6" s="120" t="s">
        <v>18</v>
      </c>
      <c r="Q6" s="120" t="s">
        <v>23</v>
      </c>
      <c r="R6" s="121" t="s">
        <v>27</v>
      </c>
      <c r="S6" s="120" t="s">
        <v>19</v>
      </c>
      <c r="T6" s="121" t="s">
        <v>20</v>
      </c>
      <c r="U6" s="120" t="s">
        <v>47</v>
      </c>
      <c r="V6" s="120" t="s">
        <v>48</v>
      </c>
      <c r="W6" s="120" t="s">
        <v>62</v>
      </c>
      <c r="X6" s="120" t="s">
        <v>49</v>
      </c>
      <c r="Y6" s="120" t="s">
        <v>50</v>
      </c>
    </row>
    <row r="7" spans="1:25" ht="30.75" customHeight="1" x14ac:dyDescent="0.3">
      <c r="A7" s="3" t="s">
        <v>76</v>
      </c>
      <c r="B7" s="3" t="s">
        <v>64</v>
      </c>
      <c r="C7" s="3" t="s">
        <v>65</v>
      </c>
      <c r="D7" s="53" t="s">
        <v>77</v>
      </c>
      <c r="E7" s="53" t="s">
        <v>77</v>
      </c>
      <c r="F7" s="53" t="s">
        <v>77</v>
      </c>
      <c r="G7" s="53" t="s">
        <v>77</v>
      </c>
      <c r="H7" s="53" t="s">
        <v>77</v>
      </c>
      <c r="I7" s="53" t="s">
        <v>77</v>
      </c>
      <c r="J7" s="53" t="s">
        <v>52</v>
      </c>
      <c r="K7" s="53" t="s">
        <v>52</v>
      </c>
      <c r="L7" s="53" t="s">
        <v>52</v>
      </c>
      <c r="M7" s="53" t="s">
        <v>77</v>
      </c>
      <c r="N7" s="53" t="s">
        <v>77</v>
      </c>
      <c r="O7" s="122" t="s">
        <v>1</v>
      </c>
      <c r="P7" s="122" t="s">
        <v>32</v>
      </c>
      <c r="Q7" s="122" t="s">
        <v>34</v>
      </c>
      <c r="R7" s="122" t="s">
        <v>35</v>
      </c>
      <c r="S7" s="122" t="s">
        <v>51</v>
      </c>
      <c r="T7" s="122" t="s">
        <v>78</v>
      </c>
      <c r="U7" s="122" t="s">
        <v>52</v>
      </c>
      <c r="V7" s="122" t="s">
        <v>52</v>
      </c>
      <c r="W7" s="122" t="s">
        <v>52</v>
      </c>
      <c r="X7" s="123" t="s">
        <v>0</v>
      </c>
      <c r="Y7" s="123" t="s">
        <v>51</v>
      </c>
    </row>
    <row r="8" spans="1:25" x14ac:dyDescent="0.3">
      <c r="A8" s="90" t="str">
        <f t="shared" ref="A8:A39" si="0">B8&amp;RIGHT(C8,2)</f>
        <v>ANH21</v>
      </c>
      <c r="B8" s="6" t="s">
        <v>2</v>
      </c>
      <c r="C8" s="90">
        <v>2021</v>
      </c>
      <c r="D8" s="91">
        <f t="shared" ref="D8:I8" si="1">LN(O8)</f>
        <v>14.846257120290856</v>
      </c>
      <c r="E8" s="91">
        <f t="shared" si="1"/>
        <v>11.252911527172143</v>
      </c>
      <c r="F8" s="91">
        <f t="shared" si="1"/>
        <v>12.965992816616403</v>
      </c>
      <c r="G8" s="91">
        <f t="shared" si="1"/>
        <v>5.0526807958262125</v>
      </c>
      <c r="H8" s="92">
        <f t="shared" si="1"/>
        <v>3.5933455931187122</v>
      </c>
      <c r="I8" s="92">
        <f t="shared" si="1"/>
        <v>0.44598987040625854</v>
      </c>
      <c r="J8" s="92">
        <f>U8</f>
        <v>5.4223577604894997</v>
      </c>
      <c r="K8" s="92">
        <f>V8</f>
        <v>19.811889574251218</v>
      </c>
      <c r="L8" s="92">
        <f>W8</f>
        <v>65.380891852288926</v>
      </c>
      <c r="M8" s="93">
        <f>LN(X8)</f>
        <v>6.7094775047354362</v>
      </c>
      <c r="N8" s="93">
        <f>LN(Y8)</f>
        <v>-7.8092295056045797</v>
      </c>
      <c r="O8" s="124">
        <v>2803157.7857142854</v>
      </c>
      <c r="P8" s="125">
        <v>77104.083911714304</v>
      </c>
      <c r="Q8" s="125">
        <v>427621.10620837234</v>
      </c>
      <c r="R8" s="125">
        <v>156.44129000000001</v>
      </c>
      <c r="S8" s="125">
        <v>36.355503411777207</v>
      </c>
      <c r="T8" s="124">
        <v>1.5620356436671246</v>
      </c>
      <c r="U8" s="125">
        <v>5.4223577604894997</v>
      </c>
      <c r="V8" s="125">
        <v>19.811889574251218</v>
      </c>
      <c r="W8" s="125">
        <v>65.380891852288926</v>
      </c>
      <c r="X8" s="125">
        <v>820.14200716619587</v>
      </c>
      <c r="Y8" s="124">
        <v>4.0597072551519644E-4</v>
      </c>
    </row>
    <row r="9" spans="1:25" x14ac:dyDescent="0.3">
      <c r="A9" s="90" t="str">
        <f t="shared" si="0"/>
        <v>ANH22</v>
      </c>
      <c r="B9" s="6" t="s">
        <v>2</v>
      </c>
      <c r="C9" s="90">
        <v>2022</v>
      </c>
      <c r="D9" s="91">
        <f t="shared" ref="D9:D57" si="2">LN(O9)</f>
        <v>14.851960154943866</v>
      </c>
      <c r="E9" s="91">
        <f t="shared" ref="E9:E57" si="3">LN(P9)</f>
        <v>11.254604094707664</v>
      </c>
      <c r="F9" s="91">
        <f t="shared" ref="F9:F57" si="4">LN(Q9)</f>
        <v>12.971226345954353</v>
      </c>
      <c r="G9" s="91">
        <f t="shared" ref="G9:G27" si="5">LN(R9)</f>
        <v>5.0620335463088741</v>
      </c>
      <c r="H9" s="92">
        <f t="shared" ref="H9:H57" si="6">LN(S9)</f>
        <v>3.5973560602362009</v>
      </c>
      <c r="I9" s="92">
        <f t="shared" ref="I9:I57" si="7">LN(T9)</f>
        <v>0.44598987040625854</v>
      </c>
      <c r="J9" s="92">
        <f t="shared" ref="J9:J57" si="8">U9</f>
        <v>5.4223577604894997</v>
      </c>
      <c r="K9" s="92">
        <f t="shared" ref="K9:K57" si="9">V9</f>
        <v>19.811889574251218</v>
      </c>
      <c r="L9" s="92">
        <f t="shared" ref="L9:L57" si="10">W9</f>
        <v>65.380891852288926</v>
      </c>
      <c r="M9" s="93">
        <f t="shared" ref="M9:M57" si="11">LN(X9)</f>
        <v>6.7094775047354362</v>
      </c>
      <c r="N9" s="93">
        <f t="shared" ref="N9:N57" si="12">LN(Y9)</f>
        <v>-7.8149325402575887</v>
      </c>
      <c r="O9" s="124">
        <v>2819189.9642857136</v>
      </c>
      <c r="P9" s="125">
        <v>77234.698286642859</v>
      </c>
      <c r="Q9" s="125">
        <v>429864.94027743815</v>
      </c>
      <c r="R9" s="125">
        <v>157.91130999999999</v>
      </c>
      <c r="S9" s="125">
        <v>36.501598722154533</v>
      </c>
      <c r="T9" s="124">
        <v>1.5620356436671246</v>
      </c>
      <c r="U9" s="125">
        <v>5.4223577604894997</v>
      </c>
      <c r="V9" s="125">
        <v>19.811889574251218</v>
      </c>
      <c r="W9" s="125">
        <v>65.380891852288926</v>
      </c>
      <c r="X9" s="125">
        <v>820.14200716619587</v>
      </c>
      <c r="Y9" s="124">
        <v>4.0366204988542879E-4</v>
      </c>
    </row>
    <row r="10" spans="1:25" x14ac:dyDescent="0.3">
      <c r="A10" s="90" t="str">
        <f t="shared" si="0"/>
        <v>ANH23</v>
      </c>
      <c r="B10" s="6" t="s">
        <v>2</v>
      </c>
      <c r="C10" s="90">
        <v>2023</v>
      </c>
      <c r="D10" s="91">
        <f t="shared" si="2"/>
        <v>14.857630849343053</v>
      </c>
      <c r="E10" s="91">
        <f t="shared" si="3"/>
        <v>11.256293802298291</v>
      </c>
      <c r="F10" s="91">
        <f t="shared" si="4"/>
        <v>12.976432628000603</v>
      </c>
      <c r="G10" s="91">
        <f t="shared" si="5"/>
        <v>5.0709725648274002</v>
      </c>
      <c r="H10" s="92">
        <f t="shared" si="6"/>
        <v>3.6013370470447605</v>
      </c>
      <c r="I10" s="92">
        <f t="shared" si="7"/>
        <v>0.44598987040625854</v>
      </c>
      <c r="J10" s="92">
        <f t="shared" si="8"/>
        <v>5.4223577604894997</v>
      </c>
      <c r="K10" s="92">
        <f t="shared" si="9"/>
        <v>19.811889574251218</v>
      </c>
      <c r="L10" s="92">
        <f t="shared" si="10"/>
        <v>65.380891852288926</v>
      </c>
      <c r="M10" s="93">
        <f t="shared" si="11"/>
        <v>6.7094775047354362</v>
      </c>
      <c r="N10" s="93">
        <f t="shared" si="12"/>
        <v>-7.820603234656776</v>
      </c>
      <c r="O10" s="124">
        <v>2835222.1428571423</v>
      </c>
      <c r="P10" s="125">
        <v>77365.312661571414</v>
      </c>
      <c r="Q10" s="125">
        <v>432108.77434650395</v>
      </c>
      <c r="R10" s="125">
        <v>159.32920999999999</v>
      </c>
      <c r="S10" s="125">
        <v>36.647200732705656</v>
      </c>
      <c r="T10" s="124">
        <v>1.5620356436671246</v>
      </c>
      <c r="U10" s="125">
        <v>5.4223577604894997</v>
      </c>
      <c r="V10" s="125">
        <v>19.811889574251218</v>
      </c>
      <c r="W10" s="125">
        <v>65.380891852288926</v>
      </c>
      <c r="X10" s="125">
        <v>820.14200716619587</v>
      </c>
      <c r="Y10" s="124">
        <v>4.0137948374415616E-4</v>
      </c>
    </row>
    <row r="11" spans="1:25" x14ac:dyDescent="0.3">
      <c r="A11" s="90" t="str">
        <f t="shared" si="0"/>
        <v>ANH24</v>
      </c>
      <c r="B11" s="6" t="s">
        <v>2</v>
      </c>
      <c r="C11" s="90">
        <v>2024</v>
      </c>
      <c r="D11" s="91">
        <f t="shared" si="2"/>
        <v>14.863269568205565</v>
      </c>
      <c r="E11" s="91">
        <f t="shared" si="3"/>
        <v>11.257980659592667</v>
      </c>
      <c r="F11" s="91">
        <f t="shared" si="4"/>
        <v>12.98161194500115</v>
      </c>
      <c r="G11" s="91">
        <f t="shared" si="5"/>
        <v>5.0796380233123974</v>
      </c>
      <c r="H11" s="92">
        <f t="shared" si="6"/>
        <v>3.6052889086128981</v>
      </c>
      <c r="I11" s="92">
        <f t="shared" si="7"/>
        <v>0.44598987040625854</v>
      </c>
      <c r="J11" s="92">
        <f t="shared" si="8"/>
        <v>5.4223577604894997</v>
      </c>
      <c r="K11" s="92">
        <f t="shared" si="9"/>
        <v>19.811889574251218</v>
      </c>
      <c r="L11" s="92">
        <f t="shared" si="10"/>
        <v>65.380891852288926</v>
      </c>
      <c r="M11" s="93">
        <f t="shared" si="11"/>
        <v>6.7094775047354362</v>
      </c>
      <c r="N11" s="93">
        <f t="shared" si="12"/>
        <v>-7.826241953519288</v>
      </c>
      <c r="O11" s="124">
        <v>2851254.3214285709</v>
      </c>
      <c r="P11" s="125">
        <v>77495.927036499968</v>
      </c>
      <c r="Q11" s="125">
        <v>434352.60841556976</v>
      </c>
      <c r="R11" s="125">
        <v>160.71587</v>
      </c>
      <c r="S11" s="125">
        <v>36.792311937705485</v>
      </c>
      <c r="T11" s="124">
        <v>1.5620356436671246</v>
      </c>
      <c r="U11" s="125">
        <v>5.4223577604894997</v>
      </c>
      <c r="V11" s="125">
        <v>19.811889574251218</v>
      </c>
      <c r="W11" s="125">
        <v>65.380891852288926</v>
      </c>
      <c r="X11" s="125">
        <v>820.14200716619587</v>
      </c>
      <c r="Y11" s="124">
        <v>3.9912258666207831E-4</v>
      </c>
    </row>
    <row r="12" spans="1:25" x14ac:dyDescent="0.3">
      <c r="A12" s="90" t="str">
        <f t="shared" si="0"/>
        <v>ANH25</v>
      </c>
      <c r="B12" s="6" t="s">
        <v>2</v>
      </c>
      <c r="C12" s="90">
        <v>2025</v>
      </c>
      <c r="D12" s="91">
        <f t="shared" si="2"/>
        <v>14.868876670113483</v>
      </c>
      <c r="E12" s="91">
        <f t="shared" si="3"/>
        <v>11.259664676190686</v>
      </c>
      <c r="F12" s="91">
        <f t="shared" si="4"/>
        <v>12.986764574839029</v>
      </c>
      <c r="G12" s="91">
        <f t="shared" si="5"/>
        <v>5.1128219584122299</v>
      </c>
      <c r="H12" s="92">
        <f t="shared" si="6"/>
        <v>3.6092119939227949</v>
      </c>
      <c r="I12" s="92">
        <f t="shared" si="7"/>
        <v>0.44598987040625854</v>
      </c>
      <c r="J12" s="92">
        <f t="shared" si="8"/>
        <v>5.4223577604894997</v>
      </c>
      <c r="K12" s="92">
        <f t="shared" si="9"/>
        <v>19.811889574251218</v>
      </c>
      <c r="L12" s="92">
        <f t="shared" si="10"/>
        <v>65.380891852288926</v>
      </c>
      <c r="M12" s="93">
        <f t="shared" si="11"/>
        <v>6.7094775047354362</v>
      </c>
      <c r="N12" s="93">
        <f t="shared" si="12"/>
        <v>-7.831849055427206</v>
      </c>
      <c r="O12" s="124">
        <v>2867286.4999999991</v>
      </c>
      <c r="P12" s="125">
        <v>77626.541411428509</v>
      </c>
      <c r="Q12" s="125">
        <v>436596.44248463551</v>
      </c>
      <c r="R12" s="125">
        <v>166.13853</v>
      </c>
      <c r="S12" s="125">
        <v>36.93693481464144</v>
      </c>
      <c r="T12" s="124">
        <v>1.5620356436671246</v>
      </c>
      <c r="U12" s="125">
        <v>5.4223577604894997</v>
      </c>
      <c r="V12" s="125">
        <v>19.811889574251218</v>
      </c>
      <c r="W12" s="125">
        <v>65.380891852288926</v>
      </c>
      <c r="X12" s="125">
        <v>820.14200716619587</v>
      </c>
      <c r="Y12" s="124">
        <v>3.9689092806038056E-4</v>
      </c>
    </row>
    <row r="13" spans="1:25" x14ac:dyDescent="0.3">
      <c r="A13" s="90" t="str">
        <f t="shared" si="0"/>
        <v>NES21</v>
      </c>
      <c r="B13" s="6" t="s">
        <v>3</v>
      </c>
      <c r="C13" s="90">
        <v>2021</v>
      </c>
      <c r="D13" s="91">
        <f t="shared" si="2"/>
        <v>14.059924901989666</v>
      </c>
      <c r="E13" s="91">
        <f t="shared" si="3"/>
        <v>10.31287590701996</v>
      </c>
      <c r="F13" s="91">
        <f t="shared" si="4"/>
        <v>12.090674887835105</v>
      </c>
      <c r="G13" s="91">
        <f t="shared" si="5"/>
        <v>4.2863413845394733</v>
      </c>
      <c r="H13" s="92">
        <f t="shared" si="6"/>
        <v>3.7470489949697061</v>
      </c>
      <c r="I13" s="92">
        <f t="shared" si="7"/>
        <v>-0.76322324952504061</v>
      </c>
      <c r="J13" s="92">
        <f t="shared" si="8"/>
        <v>2.576904457741076</v>
      </c>
      <c r="K13" s="92">
        <f t="shared" si="9"/>
        <v>3.4002170112047496</v>
      </c>
      <c r="L13" s="92">
        <f t="shared" si="10"/>
        <v>85.068646735292617</v>
      </c>
      <c r="M13" s="93">
        <f t="shared" si="11"/>
        <v>7.1476919963457437</v>
      </c>
      <c r="N13" s="93">
        <f t="shared" si="12"/>
        <v>-8.0364773090286317</v>
      </c>
      <c r="O13" s="124">
        <v>1276873.2857142854</v>
      </c>
      <c r="P13" s="125">
        <v>30117.928571428569</v>
      </c>
      <c r="Q13" s="125">
        <v>178202.33333333334</v>
      </c>
      <c r="R13" s="125">
        <v>72.7</v>
      </c>
      <c r="S13" s="125">
        <v>42.395787037146832</v>
      </c>
      <c r="T13" s="124">
        <v>0.46616144818529043</v>
      </c>
      <c r="U13" s="125">
        <v>2.576904457741076</v>
      </c>
      <c r="V13" s="125">
        <v>3.4002170112047496</v>
      </c>
      <c r="W13" s="125">
        <v>85.068646735292617</v>
      </c>
      <c r="X13" s="125">
        <v>1271.1687048690862</v>
      </c>
      <c r="Y13" s="124">
        <v>3.2344634712047171E-4</v>
      </c>
    </row>
    <row r="14" spans="1:25" x14ac:dyDescent="0.3">
      <c r="A14" s="90" t="str">
        <f t="shared" si="0"/>
        <v>NES22</v>
      </c>
      <c r="B14" s="6" t="s">
        <v>3</v>
      </c>
      <c r="C14" s="90">
        <v>2022</v>
      </c>
      <c r="D14" s="91">
        <f t="shared" si="2"/>
        <v>14.064058552081297</v>
      </c>
      <c r="E14" s="91">
        <f t="shared" si="3"/>
        <v>10.313943755809287</v>
      </c>
      <c r="F14" s="91">
        <f t="shared" si="4"/>
        <v>12.090674887835105</v>
      </c>
      <c r="G14" s="91">
        <f t="shared" si="5"/>
        <v>4.2972854062187906</v>
      </c>
      <c r="H14" s="92">
        <f t="shared" si="6"/>
        <v>3.7501147962720105</v>
      </c>
      <c r="I14" s="92">
        <f t="shared" si="7"/>
        <v>-0.76322324952504061</v>
      </c>
      <c r="J14" s="92">
        <f t="shared" si="8"/>
        <v>2.576904457741076</v>
      </c>
      <c r="K14" s="92">
        <f t="shared" si="9"/>
        <v>3.4002170112047496</v>
      </c>
      <c r="L14" s="92">
        <f t="shared" si="10"/>
        <v>85.068646735292617</v>
      </c>
      <c r="M14" s="93">
        <f t="shared" si="11"/>
        <v>7.1476919963457437</v>
      </c>
      <c r="N14" s="93">
        <f t="shared" si="12"/>
        <v>-8.040610959120265</v>
      </c>
      <c r="O14" s="124">
        <v>1282162.3571428568</v>
      </c>
      <c r="P14" s="125">
        <v>30150.107142857141</v>
      </c>
      <c r="Q14" s="125">
        <v>178202.33333333334</v>
      </c>
      <c r="R14" s="125">
        <v>73.5</v>
      </c>
      <c r="S14" s="125">
        <v>42.525963541944286</v>
      </c>
      <c r="T14" s="124">
        <v>0.46616144818529043</v>
      </c>
      <c r="U14" s="125">
        <v>2.576904457741076</v>
      </c>
      <c r="V14" s="125">
        <v>3.4002170112047496</v>
      </c>
      <c r="W14" s="125">
        <v>85.068646735292617</v>
      </c>
      <c r="X14" s="125">
        <v>1271.1687048690862</v>
      </c>
      <c r="Y14" s="124">
        <v>3.2211209266845141E-4</v>
      </c>
    </row>
    <row r="15" spans="1:25" x14ac:dyDescent="0.3">
      <c r="A15" s="90" t="str">
        <f t="shared" si="0"/>
        <v>NES23</v>
      </c>
      <c r="B15" s="6" t="s">
        <v>3</v>
      </c>
      <c r="C15" s="90">
        <v>2023</v>
      </c>
      <c r="D15" s="91">
        <f t="shared" si="2"/>
        <v>14.068175185426993</v>
      </c>
      <c r="E15" s="91">
        <f t="shared" si="3"/>
        <v>10.31501046551384</v>
      </c>
      <c r="F15" s="91">
        <f t="shared" si="4"/>
        <v>12.090674887835105</v>
      </c>
      <c r="G15" s="91">
        <f t="shared" si="5"/>
        <v>4.3067641501733345</v>
      </c>
      <c r="H15" s="92">
        <f t="shared" si="6"/>
        <v>3.7531647199131526</v>
      </c>
      <c r="I15" s="92">
        <f t="shared" si="7"/>
        <v>-0.76322324952504061</v>
      </c>
      <c r="J15" s="92">
        <f t="shared" si="8"/>
        <v>2.576904457741076</v>
      </c>
      <c r="K15" s="92">
        <f t="shared" si="9"/>
        <v>3.4002170112047496</v>
      </c>
      <c r="L15" s="92">
        <f t="shared" si="10"/>
        <v>85.068646735292617</v>
      </c>
      <c r="M15" s="93">
        <f t="shared" si="11"/>
        <v>7.1476919963457437</v>
      </c>
      <c r="N15" s="93">
        <f t="shared" si="12"/>
        <v>-8.0447275924659607</v>
      </c>
      <c r="O15" s="124">
        <v>1287451.4285714282</v>
      </c>
      <c r="P15" s="125">
        <v>30182.285714285714</v>
      </c>
      <c r="Q15" s="125">
        <v>178202.33333333334</v>
      </c>
      <c r="R15" s="125">
        <v>74.2</v>
      </c>
      <c r="S15" s="125">
        <v>42.655862473731034</v>
      </c>
      <c r="T15" s="124">
        <v>0.46616144818529043</v>
      </c>
      <c r="U15" s="125">
        <v>2.576904457741076</v>
      </c>
      <c r="V15" s="125">
        <v>3.4002170112047496</v>
      </c>
      <c r="W15" s="125">
        <v>85.068646735292617</v>
      </c>
      <c r="X15" s="125">
        <v>1271.1687048690862</v>
      </c>
      <c r="Y15" s="124">
        <v>3.2078880090899415E-4</v>
      </c>
    </row>
    <row r="16" spans="1:25" x14ac:dyDescent="0.3">
      <c r="A16" s="90" t="str">
        <f t="shared" si="0"/>
        <v>NES24</v>
      </c>
      <c r="B16" s="6" t="s">
        <v>3</v>
      </c>
      <c r="C16" s="90">
        <v>2024</v>
      </c>
      <c r="D16" s="91">
        <f t="shared" si="2"/>
        <v>14.072274941556161</v>
      </c>
      <c r="E16" s="91">
        <f t="shared" si="3"/>
        <v>10.316076038561176</v>
      </c>
      <c r="F16" s="91">
        <f t="shared" si="4"/>
        <v>12.090674887835105</v>
      </c>
      <c r="G16" s="91">
        <f t="shared" si="5"/>
        <v>4.3174881135363101</v>
      </c>
      <c r="H16" s="92">
        <f t="shared" si="6"/>
        <v>3.7561989029949854</v>
      </c>
      <c r="I16" s="92">
        <f t="shared" si="7"/>
        <v>-0.76322324952504061</v>
      </c>
      <c r="J16" s="92">
        <f t="shared" si="8"/>
        <v>2.576904457741076</v>
      </c>
      <c r="K16" s="92">
        <f t="shared" si="9"/>
        <v>3.4002170112047496</v>
      </c>
      <c r="L16" s="92">
        <f t="shared" si="10"/>
        <v>85.068646735292617</v>
      </c>
      <c r="M16" s="93">
        <f t="shared" si="11"/>
        <v>7.1476919963457437</v>
      </c>
      <c r="N16" s="93">
        <f t="shared" si="12"/>
        <v>-8.0488273485951289</v>
      </c>
      <c r="O16" s="124">
        <v>1292740.4999999995</v>
      </c>
      <c r="P16" s="125">
        <v>30214.464285714283</v>
      </c>
      <c r="Q16" s="125">
        <v>178202.33333333334</v>
      </c>
      <c r="R16" s="125">
        <v>75</v>
      </c>
      <c r="S16" s="125">
        <v>42.785484719357441</v>
      </c>
      <c r="T16" s="124">
        <v>0.46616144818529043</v>
      </c>
      <c r="U16" s="125">
        <v>2.576904457741076</v>
      </c>
      <c r="V16" s="125">
        <v>3.4002170112047496</v>
      </c>
      <c r="W16" s="125">
        <v>85.068646735292617</v>
      </c>
      <c r="X16" s="125">
        <v>1271.1687048690862</v>
      </c>
      <c r="Y16" s="124">
        <v>3.1947633728501596E-4</v>
      </c>
    </row>
    <row r="17" spans="1:25" x14ac:dyDescent="0.3">
      <c r="A17" s="90" t="str">
        <f t="shared" si="0"/>
        <v>NES25</v>
      </c>
      <c r="B17" s="6" t="s">
        <v>3</v>
      </c>
      <c r="C17" s="90">
        <v>2025</v>
      </c>
      <c r="D17" s="91">
        <f t="shared" si="2"/>
        <v>14.076357958289103</v>
      </c>
      <c r="E17" s="91">
        <f t="shared" si="3"/>
        <v>10.317140477371098</v>
      </c>
      <c r="F17" s="91">
        <f t="shared" si="4"/>
        <v>12.090674887835105</v>
      </c>
      <c r="G17" s="91">
        <f t="shared" si="5"/>
        <v>4.3267781604434035</v>
      </c>
      <c r="H17" s="92">
        <f t="shared" si="6"/>
        <v>3.759217480918005</v>
      </c>
      <c r="I17" s="92">
        <f t="shared" si="7"/>
        <v>-0.76322324952504061</v>
      </c>
      <c r="J17" s="92">
        <f t="shared" si="8"/>
        <v>2.576904457741076</v>
      </c>
      <c r="K17" s="92">
        <f t="shared" si="9"/>
        <v>3.4002170112047496</v>
      </c>
      <c r="L17" s="92">
        <f t="shared" si="10"/>
        <v>85.068646735292617</v>
      </c>
      <c r="M17" s="93">
        <f t="shared" si="11"/>
        <v>7.1476919963457437</v>
      </c>
      <c r="N17" s="93">
        <f t="shared" si="12"/>
        <v>-8.0529103653280689</v>
      </c>
      <c r="O17" s="124">
        <v>1298029.5714285709</v>
      </c>
      <c r="P17" s="125">
        <v>30246.642857142855</v>
      </c>
      <c r="Q17" s="125">
        <v>178202.33333333334</v>
      </c>
      <c r="R17" s="125">
        <v>75.7</v>
      </c>
      <c r="S17" s="125">
        <v>42.91483116189989</v>
      </c>
      <c r="T17" s="124">
        <v>0.46616144818529043</v>
      </c>
      <c r="U17" s="125">
        <v>2.576904457741076</v>
      </c>
      <c r="V17" s="125">
        <v>3.4002170112047496</v>
      </c>
      <c r="W17" s="125">
        <v>85.068646735292617</v>
      </c>
      <c r="X17" s="125">
        <v>1271.1687048690862</v>
      </c>
      <c r="Y17" s="124">
        <v>3.1817456943254773E-4</v>
      </c>
    </row>
    <row r="18" spans="1:25" x14ac:dyDescent="0.3">
      <c r="A18" s="90" t="str">
        <f t="shared" si="0"/>
        <v>NWT21</v>
      </c>
      <c r="B18" s="6" t="s">
        <v>4</v>
      </c>
      <c r="C18" s="90">
        <v>2021</v>
      </c>
      <c r="D18" s="91">
        <f t="shared" si="2"/>
        <v>15.026418973098567</v>
      </c>
      <c r="E18" s="91">
        <f t="shared" si="3"/>
        <v>11.26180148729237</v>
      </c>
      <c r="F18" s="91">
        <f t="shared" si="4"/>
        <v>13.21399970709545</v>
      </c>
      <c r="G18" s="91">
        <f t="shared" si="5"/>
        <v>5.2779208370603774</v>
      </c>
      <c r="H18" s="92">
        <f t="shared" si="6"/>
        <v>3.7646174858061978</v>
      </c>
      <c r="I18" s="92">
        <f t="shared" si="7"/>
        <v>0.10080204141433524</v>
      </c>
      <c r="J18" s="92">
        <f t="shared" si="8"/>
        <v>1.4210332496763975</v>
      </c>
      <c r="K18" s="92">
        <f t="shared" si="9"/>
        <v>45.452943070143789</v>
      </c>
      <c r="L18" s="92">
        <f t="shared" si="10"/>
        <v>89.570326826237249</v>
      </c>
      <c r="M18" s="93">
        <f t="shared" si="11"/>
        <v>7.4844024290567699</v>
      </c>
      <c r="N18" s="93">
        <f t="shared" si="12"/>
        <v>-8.698482189369372</v>
      </c>
      <c r="O18" s="124">
        <v>3356532.3928571427</v>
      </c>
      <c r="P18" s="125">
        <v>77792.592013104484</v>
      </c>
      <c r="Q18" s="125">
        <v>547983.08961950196</v>
      </c>
      <c r="R18" s="125">
        <v>195.962014535984</v>
      </c>
      <c r="S18" s="125">
        <v>43.147198287103237</v>
      </c>
      <c r="T18" s="124">
        <v>1.1060576664788</v>
      </c>
      <c r="U18" s="125">
        <v>1.4210332496763975</v>
      </c>
      <c r="V18" s="125">
        <v>45.452943070143789</v>
      </c>
      <c r="W18" s="125">
        <v>89.570326826237249</v>
      </c>
      <c r="X18" s="125">
        <v>1780.0601396876652</v>
      </c>
      <c r="Y18" s="124">
        <v>1.6683884868553812E-4</v>
      </c>
    </row>
    <row r="19" spans="1:25" x14ac:dyDescent="0.3">
      <c r="A19" s="90" t="str">
        <f t="shared" si="0"/>
        <v>NWT22</v>
      </c>
      <c r="B19" s="6" t="s">
        <v>4</v>
      </c>
      <c r="C19" s="90">
        <v>2022</v>
      </c>
      <c r="D19" s="91">
        <f t="shared" si="2"/>
        <v>15.031391151954237</v>
      </c>
      <c r="E19" s="91">
        <f t="shared" si="3"/>
        <v>11.263393034898762</v>
      </c>
      <c r="F19" s="91">
        <f t="shared" si="4"/>
        <v>13.218751798149199</v>
      </c>
      <c r="G19" s="91">
        <f t="shared" si="5"/>
        <v>5.2852016041106804</v>
      </c>
      <c r="H19" s="92">
        <f t="shared" si="6"/>
        <v>3.7679981170554755</v>
      </c>
      <c r="I19" s="92">
        <f t="shared" si="7"/>
        <v>0.10080204141433524</v>
      </c>
      <c r="J19" s="92">
        <f t="shared" si="8"/>
        <v>1.4210332496763975</v>
      </c>
      <c r="K19" s="92">
        <f t="shared" si="9"/>
        <v>45.452943070143789</v>
      </c>
      <c r="L19" s="92">
        <f t="shared" si="10"/>
        <v>89.570326826237249</v>
      </c>
      <c r="M19" s="93">
        <f t="shared" si="11"/>
        <v>7.4844024290567699</v>
      </c>
      <c r="N19" s="93">
        <f t="shared" si="12"/>
        <v>-8.7052416787991387</v>
      </c>
      <c r="O19" s="124">
        <v>3373263.2321428573</v>
      </c>
      <c r="P19" s="125">
        <v>77916.501204250861</v>
      </c>
      <c r="Q19" s="125">
        <v>550593.35234821099</v>
      </c>
      <c r="R19" s="125">
        <v>197.39397487372301</v>
      </c>
      <c r="S19" s="125">
        <v>43.293309889520856</v>
      </c>
      <c r="T19" s="124">
        <v>1.1060576664788</v>
      </c>
      <c r="U19" s="125">
        <v>1.4210332496763975</v>
      </c>
      <c r="V19" s="125">
        <v>45.452943070143789</v>
      </c>
      <c r="W19" s="125">
        <v>89.570326826237249</v>
      </c>
      <c r="X19" s="125">
        <v>1780.0601396876652</v>
      </c>
      <c r="Y19" s="124">
        <v>1.6571490616962514E-4</v>
      </c>
    </row>
    <row r="20" spans="1:25" x14ac:dyDescent="0.3">
      <c r="A20" s="90" t="str">
        <f t="shared" si="0"/>
        <v>NWT23</v>
      </c>
      <c r="B20" s="6" t="s">
        <v>4</v>
      </c>
      <c r="C20" s="90">
        <v>2023</v>
      </c>
      <c r="D20" s="91">
        <f t="shared" si="2"/>
        <v>15.036338730513974</v>
      </c>
      <c r="E20" s="91">
        <f t="shared" si="3"/>
        <v>11.264982053505861</v>
      </c>
      <c r="F20" s="91">
        <f t="shared" si="4"/>
        <v>13.223481413597593</v>
      </c>
      <c r="G20" s="91">
        <f t="shared" si="5"/>
        <v>5.2943876545638293</v>
      </c>
      <c r="H20" s="92">
        <f t="shared" si="6"/>
        <v>3.7713566770081139</v>
      </c>
      <c r="I20" s="92">
        <f t="shared" si="7"/>
        <v>0.10080204141433524</v>
      </c>
      <c r="J20" s="92">
        <f t="shared" si="8"/>
        <v>1.4210332496763975</v>
      </c>
      <c r="K20" s="92">
        <f t="shared" si="9"/>
        <v>45.452943070143789</v>
      </c>
      <c r="L20" s="92">
        <f t="shared" si="10"/>
        <v>89.570326826237249</v>
      </c>
      <c r="M20" s="93">
        <f t="shared" si="11"/>
        <v>7.4844024290567699</v>
      </c>
      <c r="N20" s="93">
        <f t="shared" si="12"/>
        <v>-8.7101892573588753</v>
      </c>
      <c r="O20" s="124">
        <v>3389994.0714285714</v>
      </c>
      <c r="P20" s="125">
        <v>78040.410395397237</v>
      </c>
      <c r="Q20" s="125">
        <v>553203.61507692013</v>
      </c>
      <c r="R20" s="125">
        <v>199.215599845935</v>
      </c>
      <c r="S20" s="125">
        <v>43.438957512562112</v>
      </c>
      <c r="T20" s="124">
        <v>1.1060576664788</v>
      </c>
      <c r="U20" s="125">
        <v>1.4210332496763975</v>
      </c>
      <c r="V20" s="125">
        <v>45.452943070143789</v>
      </c>
      <c r="W20" s="125">
        <v>89.570326826237249</v>
      </c>
      <c r="X20" s="125">
        <v>1780.0601396876652</v>
      </c>
      <c r="Y20" s="124">
        <v>1.6489704354097375E-4</v>
      </c>
    </row>
    <row r="21" spans="1:25" x14ac:dyDescent="0.3">
      <c r="A21" s="90" t="str">
        <f t="shared" si="0"/>
        <v>NWT24</v>
      </c>
      <c r="B21" s="6" t="s">
        <v>4</v>
      </c>
      <c r="C21" s="90">
        <v>2024</v>
      </c>
      <c r="D21" s="91">
        <f t="shared" si="2"/>
        <v>15.041261951004127</v>
      </c>
      <c r="E21" s="91">
        <f t="shared" si="3"/>
        <v>11.266568551138171</v>
      </c>
      <c r="F21" s="91">
        <f t="shared" si="4"/>
        <v>13.228188765042564</v>
      </c>
      <c r="G21" s="91">
        <f t="shared" si="5"/>
        <v>5.3070101844708244</v>
      </c>
      <c r="H21" s="92">
        <f t="shared" si="6"/>
        <v>3.7746933998659555</v>
      </c>
      <c r="I21" s="92">
        <f t="shared" si="7"/>
        <v>0.10080204141433524</v>
      </c>
      <c r="J21" s="92">
        <f t="shared" si="8"/>
        <v>1.4210332496763975</v>
      </c>
      <c r="K21" s="92">
        <f t="shared" si="9"/>
        <v>45.452943070143789</v>
      </c>
      <c r="L21" s="92">
        <f t="shared" si="10"/>
        <v>89.570326826237249</v>
      </c>
      <c r="M21" s="93">
        <f t="shared" si="11"/>
        <v>7.4844024290567699</v>
      </c>
      <c r="N21" s="93">
        <f t="shared" si="12"/>
        <v>-8.7151124778490274</v>
      </c>
      <c r="O21" s="124">
        <v>3406724.9107142859</v>
      </c>
      <c r="P21" s="125">
        <v>78164.319586543628</v>
      </c>
      <c r="Q21" s="125">
        <v>555813.87780562916</v>
      </c>
      <c r="R21" s="125">
        <v>201.74614203635201</v>
      </c>
      <c r="S21" s="125">
        <v>43.584143362782761</v>
      </c>
      <c r="T21" s="124">
        <v>1.1060576664788</v>
      </c>
      <c r="U21" s="125">
        <v>1.4210332496763975</v>
      </c>
      <c r="V21" s="125">
        <v>45.452943070143789</v>
      </c>
      <c r="W21" s="125">
        <v>89.570326826237249</v>
      </c>
      <c r="X21" s="125">
        <v>1780.0601396876652</v>
      </c>
      <c r="Y21" s="124">
        <v>1.6408721415748088E-4</v>
      </c>
    </row>
    <row r="22" spans="1:25" x14ac:dyDescent="0.3">
      <c r="A22" s="90" t="str">
        <f t="shared" si="0"/>
        <v>NWT25</v>
      </c>
      <c r="B22" s="6" t="s">
        <v>4</v>
      </c>
      <c r="C22" s="90">
        <v>2025</v>
      </c>
      <c r="D22" s="91">
        <f t="shared" si="2"/>
        <v>15.046161052090946</v>
      </c>
      <c r="E22" s="91">
        <f t="shared" si="3"/>
        <v>11.26815253578207</v>
      </c>
      <c r="F22" s="91">
        <f t="shared" si="4"/>
        <v>13.232874061111776</v>
      </c>
      <c r="G22" s="91">
        <f t="shared" si="5"/>
        <v>5.3233931258330554</v>
      </c>
      <c r="H22" s="92">
        <f t="shared" si="6"/>
        <v>3.7780085163088777</v>
      </c>
      <c r="I22" s="92">
        <f t="shared" si="7"/>
        <v>0.10080204141433524</v>
      </c>
      <c r="J22" s="92">
        <f t="shared" si="8"/>
        <v>1.4210332496763975</v>
      </c>
      <c r="K22" s="92">
        <f t="shared" si="9"/>
        <v>45.452943070143789</v>
      </c>
      <c r="L22" s="92">
        <f t="shared" si="10"/>
        <v>89.570326826237249</v>
      </c>
      <c r="M22" s="93">
        <f t="shared" si="11"/>
        <v>7.4844024290567699</v>
      </c>
      <c r="N22" s="93">
        <f t="shared" si="12"/>
        <v>-8.7200115789358481</v>
      </c>
      <c r="O22" s="124">
        <v>3423455.75</v>
      </c>
      <c r="P22" s="125">
        <v>78288.228777690005</v>
      </c>
      <c r="Q22" s="125">
        <v>558424.14053433831</v>
      </c>
      <c r="R22" s="125">
        <v>205.07856012146701</v>
      </c>
      <c r="S22" s="125">
        <v>43.728869632768991</v>
      </c>
      <c r="T22" s="124">
        <v>1.1060576664788</v>
      </c>
      <c r="U22" s="125">
        <v>1.4210332496763975</v>
      </c>
      <c r="V22" s="125">
        <v>45.452943070143789</v>
      </c>
      <c r="W22" s="125">
        <v>89.570326826237249</v>
      </c>
      <c r="X22" s="125">
        <v>1780.0601396876652</v>
      </c>
      <c r="Y22" s="124">
        <v>1.6328530024084582E-4</v>
      </c>
    </row>
    <row r="23" spans="1:25" x14ac:dyDescent="0.3">
      <c r="A23" s="90" t="str">
        <f t="shared" si="0"/>
        <v>SRN21</v>
      </c>
      <c r="B23" s="6" t="s">
        <v>5</v>
      </c>
      <c r="C23" s="90">
        <v>2021</v>
      </c>
      <c r="D23" s="91">
        <f t="shared" si="2"/>
        <v>14.515423711390874</v>
      </c>
      <c r="E23" s="91">
        <f t="shared" si="3"/>
        <v>10.59323087511031</v>
      </c>
      <c r="F23" s="91">
        <f t="shared" si="4"/>
        <v>12.650574491569053</v>
      </c>
      <c r="G23" s="91">
        <f t="shared" si="5"/>
        <v>4.824305715904762</v>
      </c>
      <c r="H23" s="92">
        <f t="shared" si="6"/>
        <v>3.9221928362805647</v>
      </c>
      <c r="I23" s="92">
        <f t="shared" si="7"/>
        <v>1.1509264416052125</v>
      </c>
      <c r="J23" s="92">
        <f t="shared" si="8"/>
        <v>2.5693239281017344</v>
      </c>
      <c r="K23" s="92">
        <f t="shared" si="9"/>
        <v>14.876343855834968</v>
      </c>
      <c r="L23" s="92">
        <f t="shared" si="10"/>
        <v>82.625810889280402</v>
      </c>
      <c r="M23" s="93">
        <f t="shared" si="11"/>
        <v>7.2899334883791429</v>
      </c>
      <c r="N23" s="93">
        <f t="shared" si="12"/>
        <v>-8.6155263578083829</v>
      </c>
      <c r="O23" s="124">
        <v>2013577.8275421292</v>
      </c>
      <c r="P23" s="125">
        <v>39864.077142857139</v>
      </c>
      <c r="Q23" s="125">
        <v>311942.6050103493</v>
      </c>
      <c r="R23" s="125">
        <v>124.5</v>
      </c>
      <c r="S23" s="125">
        <v>50.511085966602465</v>
      </c>
      <c r="T23" s="124">
        <v>3.1611201467463208</v>
      </c>
      <c r="U23" s="125">
        <v>2.5693239281017344</v>
      </c>
      <c r="V23" s="125">
        <v>14.876343855834968</v>
      </c>
      <c r="W23" s="125">
        <v>82.625810889280402</v>
      </c>
      <c r="X23" s="125">
        <v>1465.4732229630533</v>
      </c>
      <c r="Y23" s="124">
        <v>1.8126937782461417E-4</v>
      </c>
    </row>
    <row r="24" spans="1:25" x14ac:dyDescent="0.3">
      <c r="A24" s="90" t="str">
        <f t="shared" si="0"/>
        <v>SRN22</v>
      </c>
      <c r="B24" s="6" t="s">
        <v>5</v>
      </c>
      <c r="C24" s="90">
        <v>2022</v>
      </c>
      <c r="D24" s="91">
        <f t="shared" si="2"/>
        <v>14.521754838085737</v>
      </c>
      <c r="E24" s="91">
        <f t="shared" si="3"/>
        <v>10.595568003628163</v>
      </c>
      <c r="F24" s="91">
        <f t="shared" si="4"/>
        <v>12.665270538078335</v>
      </c>
      <c r="G24" s="91">
        <f t="shared" si="5"/>
        <v>4.833102254034098</v>
      </c>
      <c r="H24" s="92">
        <f t="shared" si="6"/>
        <v>3.926186834457575</v>
      </c>
      <c r="I24" s="92">
        <f t="shared" si="7"/>
        <v>1.1509264416052125</v>
      </c>
      <c r="J24" s="92">
        <f t="shared" si="8"/>
        <v>2.5693239281017344</v>
      </c>
      <c r="K24" s="92">
        <f t="shared" si="9"/>
        <v>14.876343855834968</v>
      </c>
      <c r="L24" s="92">
        <f t="shared" si="10"/>
        <v>82.625810889280402</v>
      </c>
      <c r="M24" s="93">
        <f t="shared" si="11"/>
        <v>7.2899334883791429</v>
      </c>
      <c r="N24" s="93">
        <f t="shared" si="12"/>
        <v>-8.621857484503245</v>
      </c>
      <c r="O24" s="124">
        <v>2026366.4844644221</v>
      </c>
      <c r="P24" s="125">
        <v>39957.353571428568</v>
      </c>
      <c r="Q24" s="125">
        <v>316560.77937770326</v>
      </c>
      <c r="R24" s="125">
        <v>125.6</v>
      </c>
      <c r="S24" s="125">
        <v>50.713230565734257</v>
      </c>
      <c r="T24" s="124">
        <v>3.1611201467463208</v>
      </c>
      <c r="U24" s="125">
        <v>2.5693239281017344</v>
      </c>
      <c r="V24" s="125">
        <v>14.876343855834968</v>
      </c>
      <c r="W24" s="125">
        <v>82.625810889280402</v>
      </c>
      <c r="X24" s="125">
        <v>1465.4732229630533</v>
      </c>
      <c r="Y24" s="124">
        <v>1.8012536369820149E-4</v>
      </c>
    </row>
    <row r="25" spans="1:25" x14ac:dyDescent="0.3">
      <c r="A25" s="90" t="str">
        <f t="shared" si="0"/>
        <v>SRN23</v>
      </c>
      <c r="B25" s="6" t="s">
        <v>5</v>
      </c>
      <c r="C25" s="90">
        <v>2023</v>
      </c>
      <c r="D25" s="91">
        <f t="shared" si="2"/>
        <v>14.528046133659041</v>
      </c>
      <c r="E25" s="91">
        <f t="shared" si="3"/>
        <v>10.597899682709864</v>
      </c>
      <c r="F25" s="91">
        <f t="shared" si="4"/>
        <v>12.679753735075639</v>
      </c>
      <c r="G25" s="91">
        <f t="shared" si="5"/>
        <v>4.8402423081675749</v>
      </c>
      <c r="H25" s="92">
        <f t="shared" si="6"/>
        <v>3.9301464509491777</v>
      </c>
      <c r="I25" s="92">
        <f t="shared" si="7"/>
        <v>1.1509264416052125</v>
      </c>
      <c r="J25" s="92">
        <f t="shared" si="8"/>
        <v>2.5693239281017344</v>
      </c>
      <c r="K25" s="92">
        <f t="shared" si="9"/>
        <v>14.876343855834968</v>
      </c>
      <c r="L25" s="92">
        <f t="shared" si="10"/>
        <v>82.625810889280402</v>
      </c>
      <c r="M25" s="93">
        <f t="shared" si="11"/>
        <v>7.2899334883791429</v>
      </c>
      <c r="N25" s="93">
        <f t="shared" si="12"/>
        <v>-8.6281487800765504</v>
      </c>
      <c r="O25" s="124">
        <v>2039155.1413867152</v>
      </c>
      <c r="P25" s="125">
        <v>40050.629999999997</v>
      </c>
      <c r="Q25" s="125">
        <v>321178.95374505722</v>
      </c>
      <c r="R25" s="125">
        <v>126.5</v>
      </c>
      <c r="S25" s="125">
        <v>50.914433590350896</v>
      </c>
      <c r="T25" s="124">
        <v>3.1611201467463208</v>
      </c>
      <c r="U25" s="125">
        <v>2.5693239281017344</v>
      </c>
      <c r="V25" s="125">
        <v>14.876343855834968</v>
      </c>
      <c r="W25" s="125">
        <v>82.625810889280402</v>
      </c>
      <c r="X25" s="125">
        <v>1465.4732229630533</v>
      </c>
      <c r="Y25" s="124">
        <v>1.7899569904807926E-4</v>
      </c>
    </row>
    <row r="26" spans="1:25" x14ac:dyDescent="0.3">
      <c r="A26" s="90" t="str">
        <f t="shared" si="0"/>
        <v>SRN24</v>
      </c>
      <c r="B26" s="6" t="s">
        <v>5</v>
      </c>
      <c r="C26" s="90">
        <v>2024</v>
      </c>
      <c r="D26" s="91">
        <f t="shared" si="2"/>
        <v>14.534298096159418</v>
      </c>
      <c r="E26" s="91">
        <f t="shared" si="3"/>
        <v>10.600225937708993</v>
      </c>
      <c r="F26" s="91">
        <f t="shared" si="4"/>
        <v>12.694030160232199</v>
      </c>
      <c r="G26" s="91">
        <f t="shared" si="5"/>
        <v>4.8496837630384935</v>
      </c>
      <c r="H26" s="92">
        <f t="shared" si="6"/>
        <v>3.9340721584504261</v>
      </c>
      <c r="I26" s="92">
        <f t="shared" si="7"/>
        <v>1.1509264416052125</v>
      </c>
      <c r="J26" s="92">
        <f t="shared" si="8"/>
        <v>2.5693239281017344</v>
      </c>
      <c r="K26" s="92">
        <f t="shared" si="9"/>
        <v>14.876343855834968</v>
      </c>
      <c r="L26" s="92">
        <f t="shared" si="10"/>
        <v>82.625810889280402</v>
      </c>
      <c r="M26" s="93">
        <f t="shared" si="11"/>
        <v>7.2899334883791429</v>
      </c>
      <c r="N26" s="93">
        <f t="shared" si="12"/>
        <v>-8.6344007425769274</v>
      </c>
      <c r="O26" s="124">
        <v>2051943.7983090081</v>
      </c>
      <c r="P26" s="125">
        <v>40143.906428571427</v>
      </c>
      <c r="Q26" s="125">
        <v>325797.12811241118</v>
      </c>
      <c r="R26" s="125">
        <v>127.7</v>
      </c>
      <c r="S26" s="125">
        <v>51.114701603842626</v>
      </c>
      <c r="T26" s="124">
        <v>3.1611201467463208</v>
      </c>
      <c r="U26" s="125">
        <v>2.5693239281017344</v>
      </c>
      <c r="V26" s="125">
        <v>14.876343855834968</v>
      </c>
      <c r="W26" s="125">
        <v>82.625810889280402</v>
      </c>
      <c r="X26" s="125">
        <v>1465.4732229630533</v>
      </c>
      <c r="Y26" s="124">
        <v>1.7788011557665168E-4</v>
      </c>
    </row>
    <row r="27" spans="1:25" x14ac:dyDescent="0.3">
      <c r="A27" s="90" t="str">
        <f t="shared" si="0"/>
        <v>SRN25</v>
      </c>
      <c r="B27" s="6" t="s">
        <v>5</v>
      </c>
      <c r="C27" s="90">
        <v>2025</v>
      </c>
      <c r="D27" s="91">
        <f t="shared" si="2"/>
        <v>14.540511214352106</v>
      </c>
      <c r="E27" s="91">
        <f t="shared" si="3"/>
        <v>10.602546793802603</v>
      </c>
      <c r="F27" s="91">
        <f t="shared" si="4"/>
        <v>12.708105634567849</v>
      </c>
      <c r="G27" s="91">
        <f t="shared" si="5"/>
        <v>4.8605872978525966</v>
      </c>
      <c r="H27" s="92">
        <f t="shared" si="6"/>
        <v>3.9379644205495028</v>
      </c>
      <c r="I27" s="92">
        <f t="shared" si="7"/>
        <v>1.1509264416052125</v>
      </c>
      <c r="J27" s="92">
        <f t="shared" si="8"/>
        <v>2.5693239281017344</v>
      </c>
      <c r="K27" s="92">
        <f t="shared" si="9"/>
        <v>14.876343855834968</v>
      </c>
      <c r="L27" s="92">
        <f t="shared" si="10"/>
        <v>82.625810889280402</v>
      </c>
      <c r="M27" s="93">
        <f t="shared" si="11"/>
        <v>7.2899334883791429</v>
      </c>
      <c r="N27" s="93">
        <f t="shared" si="12"/>
        <v>-8.6488670025263357</v>
      </c>
      <c r="O27" s="124">
        <v>2064732.455231301</v>
      </c>
      <c r="P27" s="125">
        <v>40237.182857142849</v>
      </c>
      <c r="Q27" s="125">
        <v>330415.30247976515</v>
      </c>
      <c r="R27" s="125">
        <v>129.1</v>
      </c>
      <c r="S27" s="125">
        <v>51.314041108739616</v>
      </c>
      <c r="T27" s="124">
        <v>3.1611201467463208</v>
      </c>
      <c r="U27" s="125">
        <v>2.5693239281017344</v>
      </c>
      <c r="V27" s="125">
        <v>14.876343855834968</v>
      </c>
      <c r="W27" s="125">
        <v>82.625810889280402</v>
      </c>
      <c r="X27" s="125">
        <v>1465.4732229630533</v>
      </c>
      <c r="Y27" s="124">
        <v>1.7532537888035815E-4</v>
      </c>
    </row>
    <row r="28" spans="1:25" x14ac:dyDescent="0.3">
      <c r="A28" s="90" t="str">
        <f t="shared" si="0"/>
        <v>SVT21</v>
      </c>
      <c r="B28" s="6" t="s">
        <v>6</v>
      </c>
      <c r="C28" s="90">
        <v>2021</v>
      </c>
      <c r="D28" s="91">
        <f t="shared" si="2"/>
        <v>15.25178527605361</v>
      </c>
      <c r="E28" s="91">
        <f t="shared" si="3"/>
        <v>11.45887327841573</v>
      </c>
      <c r="F28" s="91">
        <f t="shared" si="4"/>
        <v>13.339940375892118</v>
      </c>
      <c r="G28" s="155"/>
      <c r="H28" s="92">
        <f t="shared" si="6"/>
        <v>3.7929119976378809</v>
      </c>
      <c r="I28" s="92">
        <f t="shared" si="7"/>
        <v>0.19486424258761698</v>
      </c>
      <c r="J28" s="92">
        <f t="shared" si="8"/>
        <v>2.494793415069978</v>
      </c>
      <c r="K28" s="92">
        <f t="shared" si="9"/>
        <v>46.342652136321746</v>
      </c>
      <c r="L28" s="92">
        <f t="shared" si="10"/>
        <v>82.493446792535181</v>
      </c>
      <c r="M28" s="93">
        <f t="shared" si="11"/>
        <v>7.59819644753658</v>
      </c>
      <c r="N28" s="93">
        <f t="shared" si="12"/>
        <v>-8.3390424555604348</v>
      </c>
      <c r="O28" s="124">
        <v>4205001.7857142854</v>
      </c>
      <c r="P28" s="125">
        <v>94738.266457465157</v>
      </c>
      <c r="Q28" s="125">
        <v>621530.56982544926</v>
      </c>
      <c r="R28" s="157"/>
      <c r="S28" s="125">
        <v>44.38546263248562</v>
      </c>
      <c r="T28" s="124">
        <v>1.2151460102135938</v>
      </c>
      <c r="U28" s="125">
        <v>2.494793415069978</v>
      </c>
      <c r="V28" s="125">
        <v>46.342652136321746</v>
      </c>
      <c r="W28" s="125">
        <v>82.493446792535181</v>
      </c>
      <c r="X28" s="125">
        <v>1994.5952918895093</v>
      </c>
      <c r="Y28" s="124">
        <v>2.3900108756536116E-4</v>
      </c>
    </row>
    <row r="29" spans="1:25" x14ac:dyDescent="0.3">
      <c r="A29" s="90" t="str">
        <f t="shared" si="0"/>
        <v>SVT22</v>
      </c>
      <c r="B29" s="6" t="s">
        <v>6</v>
      </c>
      <c r="C29" s="90">
        <v>2022</v>
      </c>
      <c r="D29" s="91">
        <f t="shared" si="2"/>
        <v>15.259278876884881</v>
      </c>
      <c r="E29" s="91">
        <f t="shared" si="3"/>
        <v>11.461512074244178</v>
      </c>
      <c r="F29" s="91">
        <f t="shared" si="4"/>
        <v>13.343154626750053</v>
      </c>
      <c r="G29" s="155"/>
      <c r="H29" s="92">
        <f t="shared" si="6"/>
        <v>3.7977668026407039</v>
      </c>
      <c r="I29" s="92">
        <f t="shared" si="7"/>
        <v>0.19486424258761698</v>
      </c>
      <c r="J29" s="92">
        <f t="shared" si="8"/>
        <v>2.494793415069978</v>
      </c>
      <c r="K29" s="92">
        <f t="shared" si="9"/>
        <v>46.342652136321746</v>
      </c>
      <c r="L29" s="92">
        <f t="shared" si="10"/>
        <v>82.493446792535181</v>
      </c>
      <c r="M29" s="93">
        <f t="shared" si="11"/>
        <v>7.59819644753658</v>
      </c>
      <c r="N29" s="93">
        <f t="shared" si="12"/>
        <v>-8.3465360563917042</v>
      </c>
      <c r="O29" s="124">
        <v>4236630.75</v>
      </c>
      <c r="P29" s="125">
        <v>94988.591532913721</v>
      </c>
      <c r="Q29" s="125">
        <v>623531.53907857754</v>
      </c>
      <c r="R29" s="157"/>
      <c r="S29" s="125">
        <v>44.601469309417013</v>
      </c>
      <c r="T29" s="124">
        <v>1.2151460102135938</v>
      </c>
      <c r="U29" s="125">
        <v>2.494793415069978</v>
      </c>
      <c r="V29" s="125">
        <v>46.342652136321746</v>
      </c>
      <c r="W29" s="125">
        <v>82.493446792535181</v>
      </c>
      <c r="X29" s="125">
        <v>1994.5952918895093</v>
      </c>
      <c r="Y29" s="124">
        <v>2.3721680252639435E-4</v>
      </c>
    </row>
    <row r="30" spans="1:25" x14ac:dyDescent="0.3">
      <c r="A30" s="90" t="str">
        <f t="shared" si="0"/>
        <v>SVT23</v>
      </c>
      <c r="B30" s="6" t="s">
        <v>6</v>
      </c>
      <c r="C30" s="90">
        <v>2023</v>
      </c>
      <c r="D30" s="91">
        <f t="shared" si="2"/>
        <v>15.266716741072017</v>
      </c>
      <c r="E30" s="91">
        <f t="shared" si="3"/>
        <v>11.464143925151411</v>
      </c>
      <c r="F30" s="91">
        <f t="shared" si="4"/>
        <v>13.346358579291945</v>
      </c>
      <c r="G30" s="155"/>
      <c r="H30" s="92">
        <f t="shared" si="6"/>
        <v>3.8025728159206063</v>
      </c>
      <c r="I30" s="92">
        <f t="shared" si="7"/>
        <v>0.19486424258761698</v>
      </c>
      <c r="J30" s="92">
        <f t="shared" si="8"/>
        <v>2.494793415069978</v>
      </c>
      <c r="K30" s="92">
        <f t="shared" si="9"/>
        <v>46.342652136321746</v>
      </c>
      <c r="L30" s="92">
        <f t="shared" si="10"/>
        <v>82.493446792535181</v>
      </c>
      <c r="M30" s="93">
        <f t="shared" si="11"/>
        <v>7.59819644753658</v>
      </c>
      <c r="N30" s="93">
        <f t="shared" si="12"/>
        <v>-8.3559659531100809</v>
      </c>
      <c r="O30" s="124">
        <v>4268259.7142857146</v>
      </c>
      <c r="P30" s="125">
        <v>95238.916608362299</v>
      </c>
      <c r="Q30" s="125">
        <v>625532.50833170582</v>
      </c>
      <c r="R30" s="157"/>
      <c r="S30" s="125">
        <v>44.816340486499683</v>
      </c>
      <c r="T30" s="124">
        <v>1.2151460102135938</v>
      </c>
      <c r="U30" s="125">
        <v>2.494793415069978</v>
      </c>
      <c r="V30" s="125">
        <v>46.342652136321746</v>
      </c>
      <c r="W30" s="125">
        <v>82.493446792535181</v>
      </c>
      <c r="X30" s="125">
        <v>1994.5952918895093</v>
      </c>
      <c r="Y30" s="124">
        <v>2.3499038651349973E-4</v>
      </c>
    </row>
    <row r="31" spans="1:25" x14ac:dyDescent="0.3">
      <c r="A31" s="90" t="str">
        <f t="shared" si="0"/>
        <v>SVT24</v>
      </c>
      <c r="B31" s="6" t="s">
        <v>6</v>
      </c>
      <c r="C31" s="90">
        <v>2024</v>
      </c>
      <c r="D31" s="91">
        <f t="shared" si="2"/>
        <v>15.274099691624354</v>
      </c>
      <c r="E31" s="91">
        <f t="shared" si="3"/>
        <v>11.466768867597509</v>
      </c>
      <c r="F31" s="91">
        <f t="shared" si="4"/>
        <v>13.34955229929778</v>
      </c>
      <c r="G31" s="155"/>
      <c r="H31" s="92">
        <f t="shared" si="6"/>
        <v>3.8073308240268453</v>
      </c>
      <c r="I31" s="92">
        <f t="shared" si="7"/>
        <v>0.19486424258761698</v>
      </c>
      <c r="J31" s="92">
        <f t="shared" si="8"/>
        <v>2.494793415069978</v>
      </c>
      <c r="K31" s="92">
        <f t="shared" si="9"/>
        <v>46.342652136321746</v>
      </c>
      <c r="L31" s="92">
        <f t="shared" si="10"/>
        <v>82.493446792535181</v>
      </c>
      <c r="M31" s="93">
        <f t="shared" si="11"/>
        <v>7.59819644753658</v>
      </c>
      <c r="N31" s="93">
        <f t="shared" si="12"/>
        <v>-8.363348903662418</v>
      </c>
      <c r="O31" s="124">
        <v>4299888.6785714291</v>
      </c>
      <c r="P31" s="125">
        <v>95489.241683810862</v>
      </c>
      <c r="Q31" s="125">
        <v>627533.47758483409</v>
      </c>
      <c r="R31" s="157"/>
      <c r="S31" s="125">
        <v>45.030085093873225</v>
      </c>
      <c r="T31" s="124">
        <v>1.2151460102135938</v>
      </c>
      <c r="U31" s="125">
        <v>2.494793415069978</v>
      </c>
      <c r="V31" s="125">
        <v>46.342652136321746</v>
      </c>
      <c r="W31" s="125">
        <v>82.493446792535181</v>
      </c>
      <c r="X31" s="125">
        <v>1994.5952918895093</v>
      </c>
      <c r="Y31" s="124">
        <v>2.3326185280062438E-4</v>
      </c>
    </row>
    <row r="32" spans="1:25" x14ac:dyDescent="0.3">
      <c r="A32" s="90" t="str">
        <f t="shared" si="0"/>
        <v>SVT25</v>
      </c>
      <c r="B32" s="6" t="s">
        <v>6</v>
      </c>
      <c r="C32" s="90">
        <v>2025</v>
      </c>
      <c r="D32" s="91">
        <f t="shared" si="2"/>
        <v>15.281428533455864</v>
      </c>
      <c r="E32" s="91">
        <f t="shared" si="3"/>
        <v>11.469386937756184</v>
      </c>
      <c r="F32" s="91">
        <f t="shared" si="4"/>
        <v>13.352735851919302</v>
      </c>
      <c r="G32" s="155"/>
      <c r="H32" s="92">
        <f t="shared" si="6"/>
        <v>3.81204159569968</v>
      </c>
      <c r="I32" s="92">
        <f t="shared" si="7"/>
        <v>0.19486424258761698</v>
      </c>
      <c r="J32" s="92">
        <f t="shared" si="8"/>
        <v>2.494793415069978</v>
      </c>
      <c r="K32" s="92">
        <f t="shared" si="9"/>
        <v>46.342652136321746</v>
      </c>
      <c r="L32" s="92">
        <f t="shared" si="10"/>
        <v>82.493446792535181</v>
      </c>
      <c r="M32" s="93">
        <f t="shared" si="11"/>
        <v>7.59819644753658</v>
      </c>
      <c r="N32" s="93">
        <f t="shared" si="12"/>
        <v>-8.3776812758712662</v>
      </c>
      <c r="O32" s="124">
        <v>4331517.6428571427</v>
      </c>
      <c r="P32" s="125">
        <v>95739.56675925944</v>
      </c>
      <c r="Q32" s="125">
        <v>629534.44683796237</v>
      </c>
      <c r="R32" s="157"/>
      <c r="S32" s="125">
        <v>45.24271196828056</v>
      </c>
      <c r="T32" s="124">
        <v>1.2151460102135938</v>
      </c>
      <c r="U32" s="125">
        <v>2.494793415069978</v>
      </c>
      <c r="V32" s="125">
        <v>46.342652136321746</v>
      </c>
      <c r="W32" s="125">
        <v>82.493446792535181</v>
      </c>
      <c r="X32" s="125">
        <v>1994.5952918895093</v>
      </c>
      <c r="Y32" s="124">
        <v>2.2994250101750053E-4</v>
      </c>
    </row>
    <row r="33" spans="1:25" x14ac:dyDescent="0.3">
      <c r="A33" s="90" t="str">
        <f t="shared" si="0"/>
        <v>SWB21</v>
      </c>
      <c r="B33" s="6" t="s">
        <v>10</v>
      </c>
      <c r="C33" s="90">
        <v>2021</v>
      </c>
      <c r="D33" s="91">
        <f t="shared" si="2"/>
        <v>13.543557953807925</v>
      </c>
      <c r="E33" s="91">
        <f t="shared" si="3"/>
        <v>9.7714631870408688</v>
      </c>
      <c r="F33" s="91">
        <f t="shared" si="4"/>
        <v>11.611482858778759</v>
      </c>
      <c r="G33" s="91">
        <f t="shared" ref="G33:G57" si="13">LN(R33)</f>
        <v>3.7400477406883357</v>
      </c>
      <c r="H33" s="92">
        <f t="shared" si="6"/>
        <v>3.7720947667670548</v>
      </c>
      <c r="I33" s="92">
        <f t="shared" si="7"/>
        <v>0.87942500373504529</v>
      </c>
      <c r="J33" s="92">
        <f t="shared" si="8"/>
        <v>10.070467661800603</v>
      </c>
      <c r="K33" s="92">
        <f t="shared" si="9"/>
        <v>2.3329539147531113</v>
      </c>
      <c r="L33" s="92">
        <f t="shared" si="10"/>
        <v>58.394020020361324</v>
      </c>
      <c r="M33" s="93">
        <f t="shared" si="11"/>
        <v>6.8573575821277979</v>
      </c>
      <c r="N33" s="93">
        <f t="shared" si="12"/>
        <v>-7.0650483115993552</v>
      </c>
      <c r="O33" s="124">
        <v>761890.37067099568</v>
      </c>
      <c r="P33" s="125">
        <v>17526.392857142855</v>
      </c>
      <c r="Q33" s="125">
        <v>110357.77411063778</v>
      </c>
      <c r="R33" s="125">
        <v>42.1</v>
      </c>
      <c r="S33" s="125">
        <v>43.47103119741427</v>
      </c>
      <c r="T33" s="124">
        <v>2.409513846561143</v>
      </c>
      <c r="U33" s="125">
        <v>10.070467661800603</v>
      </c>
      <c r="V33" s="125">
        <v>2.3329539147531113</v>
      </c>
      <c r="W33" s="125">
        <v>58.394020020361324</v>
      </c>
      <c r="X33" s="125">
        <v>950.85119876541251</v>
      </c>
      <c r="Y33" s="124">
        <v>8.5445363934271183E-4</v>
      </c>
    </row>
    <row r="34" spans="1:25" x14ac:dyDescent="0.3">
      <c r="A34" s="90" t="str">
        <f t="shared" si="0"/>
        <v>SWB22</v>
      </c>
      <c r="B34" s="6" t="s">
        <v>10</v>
      </c>
      <c r="C34" s="90">
        <v>2022</v>
      </c>
      <c r="D34" s="91">
        <f t="shared" si="2"/>
        <v>13.552328169557757</v>
      </c>
      <c r="E34" s="91">
        <f t="shared" si="3"/>
        <v>9.7736043949611453</v>
      </c>
      <c r="F34" s="91">
        <f t="shared" si="4"/>
        <v>11.620847971482551</v>
      </c>
      <c r="G34" s="91">
        <f t="shared" si="13"/>
        <v>3.7471483622379123</v>
      </c>
      <c r="H34" s="92">
        <f t="shared" si="6"/>
        <v>3.7787237745966125</v>
      </c>
      <c r="I34" s="92">
        <f t="shared" si="7"/>
        <v>0.87942500373504529</v>
      </c>
      <c r="J34" s="92">
        <f t="shared" si="8"/>
        <v>10.070467661800603</v>
      </c>
      <c r="K34" s="92">
        <f t="shared" si="9"/>
        <v>2.3329539147531113</v>
      </c>
      <c r="L34" s="92">
        <f t="shared" si="10"/>
        <v>58.394020020361324</v>
      </c>
      <c r="M34" s="93">
        <f t="shared" si="11"/>
        <v>6.8573575821277979</v>
      </c>
      <c r="N34" s="93">
        <f t="shared" si="12"/>
        <v>-7.0738185273491876</v>
      </c>
      <c r="O34" s="124">
        <v>768601.70048701297</v>
      </c>
      <c r="P34" s="125">
        <v>17563.960714285713</v>
      </c>
      <c r="Q34" s="125">
        <v>111396.14172862137</v>
      </c>
      <c r="R34" s="125">
        <v>42.4</v>
      </c>
      <c r="S34" s="125">
        <v>43.760158257577288</v>
      </c>
      <c r="T34" s="124">
        <v>2.409513846561143</v>
      </c>
      <c r="U34" s="125">
        <v>10.070467661800603</v>
      </c>
      <c r="V34" s="125">
        <v>2.3329539147531113</v>
      </c>
      <c r="W34" s="125">
        <v>58.394020020361324</v>
      </c>
      <c r="X34" s="125">
        <v>950.85119876541251</v>
      </c>
      <c r="Y34" s="124">
        <v>8.4699266159247836E-4</v>
      </c>
    </row>
    <row r="35" spans="1:25" x14ac:dyDescent="0.3">
      <c r="A35" s="90" t="str">
        <f t="shared" si="0"/>
        <v>SWB23</v>
      </c>
      <c r="B35" s="6" t="s">
        <v>10</v>
      </c>
      <c r="C35" s="90">
        <v>2023</v>
      </c>
      <c r="D35" s="91">
        <f t="shared" si="2"/>
        <v>13.561022136854197</v>
      </c>
      <c r="E35" s="91">
        <f t="shared" si="3"/>
        <v>9.775741027904294</v>
      </c>
      <c r="F35" s="91">
        <f t="shared" si="4"/>
        <v>11.630126191976544</v>
      </c>
      <c r="G35" s="91">
        <f t="shared" si="13"/>
        <v>3.7541989202345789</v>
      </c>
      <c r="H35" s="92">
        <f t="shared" si="6"/>
        <v>3.7852811089499023</v>
      </c>
      <c r="I35" s="92">
        <f t="shared" si="7"/>
        <v>0.87942500373504529</v>
      </c>
      <c r="J35" s="92">
        <f t="shared" si="8"/>
        <v>10.070467661800603</v>
      </c>
      <c r="K35" s="92">
        <f t="shared" si="9"/>
        <v>2.3329539147531113</v>
      </c>
      <c r="L35" s="92">
        <f t="shared" si="10"/>
        <v>58.394020020361324</v>
      </c>
      <c r="M35" s="93">
        <f t="shared" si="11"/>
        <v>6.8573575821277979</v>
      </c>
      <c r="N35" s="93">
        <f t="shared" si="12"/>
        <v>-7.0825124946456279</v>
      </c>
      <c r="O35" s="124">
        <v>775313.03030303027</v>
      </c>
      <c r="P35" s="125">
        <v>17601.528571428571</v>
      </c>
      <c r="Q35" s="125">
        <v>112434.50934660496</v>
      </c>
      <c r="R35" s="125">
        <v>42.7</v>
      </c>
      <c r="S35" s="125">
        <v>44.048051119920686</v>
      </c>
      <c r="T35" s="124">
        <v>2.409513846561143</v>
      </c>
      <c r="U35" s="125">
        <v>10.070467661800603</v>
      </c>
      <c r="V35" s="125">
        <v>2.3329539147531113</v>
      </c>
      <c r="W35" s="125">
        <v>58.394020020361324</v>
      </c>
      <c r="X35" s="125">
        <v>950.85119876541251</v>
      </c>
      <c r="Y35" s="124">
        <v>8.3966085252760081E-4</v>
      </c>
    </row>
    <row r="36" spans="1:25" x14ac:dyDescent="0.3">
      <c r="A36" s="90" t="str">
        <f t="shared" si="0"/>
        <v>SWB24</v>
      </c>
      <c r="B36" s="6" t="s">
        <v>10</v>
      </c>
      <c r="C36" s="90">
        <v>2024</v>
      </c>
      <c r="D36" s="91">
        <f t="shared" si="2"/>
        <v>13.569641170089639</v>
      </c>
      <c r="E36" s="91">
        <f t="shared" si="3"/>
        <v>9.7778731053787453</v>
      </c>
      <c r="F36" s="91">
        <f t="shared" si="4"/>
        <v>11.639319117870849</v>
      </c>
      <c r="G36" s="91">
        <f t="shared" si="13"/>
        <v>3.7612001156935624</v>
      </c>
      <c r="H36" s="92">
        <f t="shared" si="6"/>
        <v>3.7917680647108938</v>
      </c>
      <c r="I36" s="92">
        <f t="shared" si="7"/>
        <v>0.87942500373504529</v>
      </c>
      <c r="J36" s="92">
        <f t="shared" si="8"/>
        <v>10.070467661800603</v>
      </c>
      <c r="K36" s="92">
        <f t="shared" si="9"/>
        <v>2.3329539147531113</v>
      </c>
      <c r="L36" s="92">
        <f t="shared" si="10"/>
        <v>58.394020020361324</v>
      </c>
      <c r="M36" s="93">
        <f t="shared" si="11"/>
        <v>6.8573575821277979</v>
      </c>
      <c r="N36" s="93">
        <f t="shared" si="12"/>
        <v>-7.0911315278810703</v>
      </c>
      <c r="O36" s="124">
        <v>782024.36011904757</v>
      </c>
      <c r="P36" s="125">
        <v>17639.096428571429</v>
      </c>
      <c r="Q36" s="125">
        <v>113472.87696458855</v>
      </c>
      <c r="R36" s="125">
        <v>43</v>
      </c>
      <c r="S36" s="125">
        <v>44.334717670251031</v>
      </c>
      <c r="T36" s="124">
        <v>2.409513846561143</v>
      </c>
      <c r="U36" s="125">
        <v>10.070467661800603</v>
      </c>
      <c r="V36" s="125">
        <v>2.3329539147531113</v>
      </c>
      <c r="W36" s="125">
        <v>58.394020020361324</v>
      </c>
      <c r="X36" s="125">
        <v>950.85119876541251</v>
      </c>
      <c r="Y36" s="124">
        <v>8.3245488657271275E-4</v>
      </c>
    </row>
    <row r="37" spans="1:25" x14ac:dyDescent="0.3">
      <c r="A37" s="90" t="str">
        <f t="shared" si="0"/>
        <v>SWB25</v>
      </c>
      <c r="B37" s="6" t="s">
        <v>10</v>
      </c>
      <c r="C37" s="90">
        <v>2025</v>
      </c>
      <c r="D37" s="91">
        <f t="shared" si="2"/>
        <v>13.578186549959907</v>
      </c>
      <c r="E37" s="91">
        <f t="shared" si="3"/>
        <v>9.7800006467684106</v>
      </c>
      <c r="F37" s="91">
        <f t="shared" si="4"/>
        <v>11.648428303115871</v>
      </c>
      <c r="G37" s="91">
        <f t="shared" si="13"/>
        <v>3.7704594411063592</v>
      </c>
      <c r="H37" s="92">
        <f t="shared" si="6"/>
        <v>3.7981859031914977</v>
      </c>
      <c r="I37" s="92">
        <f t="shared" si="7"/>
        <v>0.87942500373504529</v>
      </c>
      <c r="J37" s="92">
        <f t="shared" si="8"/>
        <v>10.070467661800603</v>
      </c>
      <c r="K37" s="92">
        <f t="shared" si="9"/>
        <v>2.3329539147531113</v>
      </c>
      <c r="L37" s="92">
        <f t="shared" si="10"/>
        <v>58.394020020361324</v>
      </c>
      <c r="M37" s="93">
        <f t="shared" si="11"/>
        <v>6.8573575821277979</v>
      </c>
      <c r="N37" s="93">
        <f t="shared" si="12"/>
        <v>-7.0996769077513386</v>
      </c>
      <c r="O37" s="124">
        <v>788735.68993506487</v>
      </c>
      <c r="P37" s="125">
        <v>17676.664285714287</v>
      </c>
      <c r="Q37" s="125">
        <v>114511.24458257214</v>
      </c>
      <c r="R37" s="125">
        <v>43.4</v>
      </c>
      <c r="S37" s="125">
        <v>44.620165727336676</v>
      </c>
      <c r="T37" s="124">
        <v>2.409513846561143</v>
      </c>
      <c r="U37" s="125">
        <v>10.070467661800603</v>
      </c>
      <c r="V37" s="125">
        <v>2.3329539147531113</v>
      </c>
      <c r="W37" s="125">
        <v>58.394020020361324</v>
      </c>
      <c r="X37" s="125">
        <v>950.85119876541251</v>
      </c>
      <c r="Y37" s="124">
        <v>8.2537155134135699E-4</v>
      </c>
    </row>
    <row r="38" spans="1:25" x14ac:dyDescent="0.3">
      <c r="A38" s="90" t="str">
        <f t="shared" si="0"/>
        <v>TMS21</v>
      </c>
      <c r="B38" s="6" t="s">
        <v>7</v>
      </c>
      <c r="C38" s="90">
        <v>2021</v>
      </c>
      <c r="D38" s="91">
        <f t="shared" si="2"/>
        <v>15.599375782810613</v>
      </c>
      <c r="E38" s="91">
        <f t="shared" si="3"/>
        <v>11.600041240081612</v>
      </c>
      <c r="F38" s="91">
        <f t="shared" si="4"/>
        <v>13.824617212682522</v>
      </c>
      <c r="G38" s="91">
        <f t="shared" si="13"/>
        <v>6.0216036670788542</v>
      </c>
      <c r="H38" s="92">
        <f t="shared" si="6"/>
        <v>3.9993345427289992</v>
      </c>
      <c r="I38" s="92">
        <f t="shared" si="7"/>
        <v>0.233377201250967</v>
      </c>
      <c r="J38" s="92">
        <f t="shared" si="8"/>
        <v>0.67938022323728298</v>
      </c>
      <c r="K38" s="92">
        <f t="shared" si="9"/>
        <v>85.849013974051644</v>
      </c>
      <c r="L38" s="92">
        <f t="shared" si="10"/>
        <v>94.203004476565113</v>
      </c>
      <c r="M38" s="93">
        <f t="shared" si="11"/>
        <v>8.516643161309581</v>
      </c>
      <c r="N38" s="93">
        <f t="shared" si="12"/>
        <v>-9.7022219151738724</v>
      </c>
      <c r="O38" s="124">
        <v>5952821</v>
      </c>
      <c r="P38" s="125">
        <v>109102.29857142858</v>
      </c>
      <c r="Q38" s="125">
        <v>1009148.2464563223</v>
      </c>
      <c r="R38" s="125">
        <v>412.23916029225001</v>
      </c>
      <c r="S38" s="125">
        <v>54.561829383482021</v>
      </c>
      <c r="T38" s="124">
        <v>1.262857741018067</v>
      </c>
      <c r="U38" s="125">
        <v>0.67938022323728298</v>
      </c>
      <c r="V38" s="125">
        <v>85.849013974051644</v>
      </c>
      <c r="W38" s="125">
        <v>94.203004476565113</v>
      </c>
      <c r="X38" s="125">
        <v>4997.2506056608609</v>
      </c>
      <c r="Y38" s="124">
        <v>6.1147479489136332E-5</v>
      </c>
    </row>
    <row r="39" spans="1:25" x14ac:dyDescent="0.3">
      <c r="A39" s="90" t="str">
        <f t="shared" si="0"/>
        <v>TMS22</v>
      </c>
      <c r="B39" s="6" t="s">
        <v>7</v>
      </c>
      <c r="C39" s="90">
        <v>2022</v>
      </c>
      <c r="D39" s="91">
        <f t="shared" si="2"/>
        <v>15.606246586989355</v>
      </c>
      <c r="E39" s="91">
        <f t="shared" si="3"/>
        <v>11.60048333546222</v>
      </c>
      <c r="F39" s="91">
        <f t="shared" si="4"/>
        <v>13.835996965090361</v>
      </c>
      <c r="G39" s="91">
        <f t="shared" si="13"/>
        <v>6.0478945214406954</v>
      </c>
      <c r="H39" s="92">
        <f t="shared" si="6"/>
        <v>4.0057632515271351</v>
      </c>
      <c r="I39" s="92">
        <f t="shared" si="7"/>
        <v>0.233377201250967</v>
      </c>
      <c r="J39" s="92">
        <f t="shared" si="8"/>
        <v>0.67938022323728298</v>
      </c>
      <c r="K39" s="92">
        <f t="shared" si="9"/>
        <v>85.849013974051644</v>
      </c>
      <c r="L39" s="92">
        <f t="shared" si="10"/>
        <v>94.203004476565113</v>
      </c>
      <c r="M39" s="93">
        <f t="shared" si="11"/>
        <v>8.516643161309581</v>
      </c>
      <c r="N39" s="93">
        <f t="shared" si="12"/>
        <v>-9.7090927193526149</v>
      </c>
      <c r="O39" s="124">
        <v>5993862.5</v>
      </c>
      <c r="P39" s="125">
        <v>109150.54285714286</v>
      </c>
      <c r="Q39" s="125">
        <v>1020697.6939338419</v>
      </c>
      <c r="R39" s="125">
        <v>423.221008548881</v>
      </c>
      <c r="S39" s="125">
        <v>54.913721389776477</v>
      </c>
      <c r="T39" s="124">
        <v>1.262857741018067</v>
      </c>
      <c r="U39" s="125">
        <v>0.67938022323728298</v>
      </c>
      <c r="V39" s="125">
        <v>85.849013974051644</v>
      </c>
      <c r="W39" s="125">
        <v>94.203004476565113</v>
      </c>
      <c r="X39" s="125">
        <v>4997.2506056608609</v>
      </c>
      <c r="Y39" s="124">
        <v>6.0728787155194168E-5</v>
      </c>
    </row>
    <row r="40" spans="1:25" x14ac:dyDescent="0.3">
      <c r="A40" s="90" t="str">
        <f t="shared" ref="A40:A62" si="14">B40&amp;RIGHT(C40,2)</f>
        <v>TMS23</v>
      </c>
      <c r="B40" s="6" t="s">
        <v>7</v>
      </c>
      <c r="C40" s="90">
        <v>2023</v>
      </c>
      <c r="D40" s="91">
        <f t="shared" si="2"/>
        <v>15.613070505179294</v>
      </c>
      <c r="E40" s="91">
        <f t="shared" si="3"/>
        <v>11.600925235480869</v>
      </c>
      <c r="F40" s="91">
        <f t="shared" si="4"/>
        <v>13.847248674465124</v>
      </c>
      <c r="G40" s="91">
        <f t="shared" si="13"/>
        <v>6.0547727056653509</v>
      </c>
      <c r="H40" s="92">
        <f t="shared" si="6"/>
        <v>4.0121452696984257</v>
      </c>
      <c r="I40" s="92">
        <f t="shared" si="7"/>
        <v>0.233377201250967</v>
      </c>
      <c r="J40" s="92">
        <f t="shared" si="8"/>
        <v>0.67938022323728298</v>
      </c>
      <c r="K40" s="92">
        <f t="shared" si="9"/>
        <v>85.849013974051644</v>
      </c>
      <c r="L40" s="92">
        <f t="shared" si="10"/>
        <v>94.203004476565113</v>
      </c>
      <c r="M40" s="93">
        <f t="shared" si="11"/>
        <v>8.516643161309581</v>
      </c>
      <c r="N40" s="93">
        <f t="shared" si="12"/>
        <v>-9.7159166375425539</v>
      </c>
      <c r="O40" s="124">
        <v>6034904</v>
      </c>
      <c r="P40" s="125">
        <v>109198.78714285715</v>
      </c>
      <c r="Q40" s="125">
        <v>1032247.1414113616</v>
      </c>
      <c r="R40" s="125">
        <v>426.142034775686</v>
      </c>
      <c r="S40" s="125">
        <v>55.265302462608453</v>
      </c>
      <c r="T40" s="124">
        <v>1.262857741018067</v>
      </c>
      <c r="U40" s="125">
        <v>0.67938022323728298</v>
      </c>
      <c r="V40" s="125">
        <v>85.849013974051644</v>
      </c>
      <c r="W40" s="125">
        <v>94.203004476565113</v>
      </c>
      <c r="X40" s="125">
        <v>4997.2506056608609</v>
      </c>
      <c r="Y40" s="124">
        <v>6.0315789613223345E-5</v>
      </c>
    </row>
    <row r="41" spans="1:25" x14ac:dyDescent="0.3">
      <c r="A41" s="90" t="str">
        <f t="shared" si="14"/>
        <v>TMS24</v>
      </c>
      <c r="B41" s="6" t="s">
        <v>7</v>
      </c>
      <c r="C41" s="90">
        <v>2024</v>
      </c>
      <c r="D41" s="91">
        <f t="shared" si="2"/>
        <v>15.619848172940653</v>
      </c>
      <c r="E41" s="91">
        <f t="shared" si="3"/>
        <v>11.601366940310141</v>
      </c>
      <c r="F41" s="91">
        <f t="shared" si="4"/>
        <v>13.858375190212247</v>
      </c>
      <c r="G41" s="91">
        <f t="shared" si="13"/>
        <v>6.0616039034690621</v>
      </c>
      <c r="H41" s="92">
        <f t="shared" si="6"/>
        <v>4.0184812326305126</v>
      </c>
      <c r="I41" s="92">
        <f t="shared" si="7"/>
        <v>0.233377201250967</v>
      </c>
      <c r="J41" s="92">
        <f t="shared" si="8"/>
        <v>0.67938022323728298</v>
      </c>
      <c r="K41" s="92">
        <f t="shared" si="9"/>
        <v>85.849013974051644</v>
      </c>
      <c r="L41" s="92">
        <f t="shared" si="10"/>
        <v>94.203004476565113</v>
      </c>
      <c r="M41" s="93">
        <f t="shared" si="11"/>
        <v>8.516643161309581</v>
      </c>
      <c r="N41" s="93">
        <f t="shared" si="12"/>
        <v>-9.7226943053039125</v>
      </c>
      <c r="O41" s="124">
        <v>6075945.5</v>
      </c>
      <c r="P41" s="125">
        <v>109247.03142857143</v>
      </c>
      <c r="Q41" s="125">
        <v>1043796.5888888814</v>
      </c>
      <c r="R41" s="125">
        <v>429.063061002491</v>
      </c>
      <c r="S41" s="125">
        <v>55.616573013909424</v>
      </c>
      <c r="T41" s="124">
        <v>1.262857741018067</v>
      </c>
      <c r="U41" s="125">
        <v>0.67938022323728298</v>
      </c>
      <c r="V41" s="125">
        <v>85.849013974051644</v>
      </c>
      <c r="W41" s="125">
        <v>94.203004476565113</v>
      </c>
      <c r="X41" s="125">
        <v>4997.2506056608609</v>
      </c>
      <c r="Y41" s="124">
        <v>5.990837146251559E-5</v>
      </c>
    </row>
    <row r="42" spans="1:25" x14ac:dyDescent="0.3">
      <c r="A42" s="90" t="str">
        <f t="shared" si="14"/>
        <v>TMS25</v>
      </c>
      <c r="B42" s="6" t="s">
        <v>7</v>
      </c>
      <c r="C42" s="90">
        <v>2025</v>
      </c>
      <c r="D42" s="91">
        <f t="shared" si="2"/>
        <v>15.626580212997661</v>
      </c>
      <c r="E42" s="91">
        <f t="shared" si="3"/>
        <v>11.601808450122395</v>
      </c>
      <c r="F42" s="91">
        <f t="shared" si="4"/>
        <v>13.869379267669023</v>
      </c>
      <c r="G42" s="91">
        <f t="shared" si="13"/>
        <v>6.0683887524483104</v>
      </c>
      <c r="H42" s="92">
        <f t="shared" si="6"/>
        <v>4.0247717628752664</v>
      </c>
      <c r="I42" s="92">
        <f t="shared" si="7"/>
        <v>0.233377201250967</v>
      </c>
      <c r="J42" s="92">
        <f t="shared" si="8"/>
        <v>0.67938022323728298</v>
      </c>
      <c r="K42" s="92">
        <f t="shared" si="9"/>
        <v>85.849013974051644</v>
      </c>
      <c r="L42" s="92">
        <f t="shared" si="10"/>
        <v>94.203004476565113</v>
      </c>
      <c r="M42" s="93">
        <f t="shared" si="11"/>
        <v>8.516643161309581</v>
      </c>
      <c r="N42" s="93">
        <f t="shared" si="12"/>
        <v>-9.7294263453609204</v>
      </c>
      <c r="O42" s="124">
        <v>6116987</v>
      </c>
      <c r="P42" s="125">
        <v>109295.27571428572</v>
      </c>
      <c r="Q42" s="125">
        <v>1055346.036366401</v>
      </c>
      <c r="R42" s="125">
        <v>431.98408722929599</v>
      </c>
      <c r="S42" s="125">
        <v>55.96753345488348</v>
      </c>
      <c r="T42" s="124">
        <v>1.262857741018067</v>
      </c>
      <c r="U42" s="125">
        <v>0.67938022323728298</v>
      </c>
      <c r="V42" s="125">
        <v>85.849013974051644</v>
      </c>
      <c r="W42" s="125">
        <v>94.203004476565113</v>
      </c>
      <c r="X42" s="125">
        <v>4997.2506056608609</v>
      </c>
      <c r="Y42" s="124">
        <v>5.9506420399454827E-5</v>
      </c>
    </row>
    <row r="43" spans="1:25" x14ac:dyDescent="0.3">
      <c r="A43" s="90" t="str">
        <f t="shared" si="14"/>
        <v>WSH21</v>
      </c>
      <c r="B43" s="6" t="s">
        <v>12</v>
      </c>
      <c r="C43" s="90">
        <v>2021</v>
      </c>
      <c r="D43" s="91">
        <f t="shared" si="2"/>
        <v>14.202121320443615</v>
      </c>
      <c r="E43" s="91">
        <f t="shared" si="3"/>
        <v>10.503825457351139</v>
      </c>
      <c r="F43" s="91">
        <f t="shared" si="4"/>
        <v>12.4762117394335</v>
      </c>
      <c r="G43" s="91">
        <f t="shared" si="13"/>
        <v>4.2959239356204701</v>
      </c>
      <c r="H43" s="92">
        <f t="shared" si="6"/>
        <v>3.6982958630924756</v>
      </c>
      <c r="I43" s="92">
        <f t="shared" si="7"/>
        <v>0.5116785427340983</v>
      </c>
      <c r="J43" s="92">
        <f t="shared" si="8"/>
        <v>6.1613773818191069</v>
      </c>
      <c r="K43" s="92">
        <f t="shared" si="9"/>
        <v>2.0611453397868384</v>
      </c>
      <c r="L43" s="92">
        <f t="shared" si="10"/>
        <v>73.838196306748031</v>
      </c>
      <c r="M43" s="93">
        <f t="shared" si="11"/>
        <v>6.3697202405144084</v>
      </c>
      <c r="N43" s="93">
        <f t="shared" si="12"/>
        <v>-7.4770876782767717</v>
      </c>
      <c r="O43" s="124">
        <v>1471983.4285714289</v>
      </c>
      <c r="P43" s="125">
        <v>36454.692142857144</v>
      </c>
      <c r="Q43" s="125">
        <v>262029.33429490455</v>
      </c>
      <c r="R43" s="125">
        <v>73.400000000000006</v>
      </c>
      <c r="S43" s="125">
        <v>40.378435313706149</v>
      </c>
      <c r="T43" s="124">
        <v>1.6680888046782083</v>
      </c>
      <c r="U43" s="125">
        <v>6.1613773818191069</v>
      </c>
      <c r="V43" s="125">
        <v>2.0611453397868384</v>
      </c>
      <c r="W43" s="125">
        <v>73.838196306748031</v>
      </c>
      <c r="X43" s="125">
        <v>583.89445602714807</v>
      </c>
      <c r="Y43" s="124">
        <v>5.6590310993407907E-4</v>
      </c>
    </row>
    <row r="44" spans="1:25" x14ac:dyDescent="0.3">
      <c r="A44" s="90" t="str">
        <f t="shared" si="14"/>
        <v>WSH22</v>
      </c>
      <c r="B44" s="6" t="s">
        <v>12</v>
      </c>
      <c r="C44" s="90">
        <v>2022</v>
      </c>
      <c r="D44" s="91">
        <f t="shared" si="2"/>
        <v>14.207673777399702</v>
      </c>
      <c r="E44" s="91">
        <f t="shared" si="3"/>
        <v>10.505934160032677</v>
      </c>
      <c r="F44" s="91">
        <f t="shared" si="4"/>
        <v>12.488985531287916</v>
      </c>
      <c r="G44" s="91">
        <f t="shared" si="13"/>
        <v>4.3067641501733345</v>
      </c>
      <c r="H44" s="92">
        <f t="shared" si="6"/>
        <v>3.7017396173670254</v>
      </c>
      <c r="I44" s="92">
        <f t="shared" si="7"/>
        <v>0.5116785427340983</v>
      </c>
      <c r="J44" s="92">
        <f t="shared" si="8"/>
        <v>6.1613773818191069</v>
      </c>
      <c r="K44" s="92">
        <f t="shared" si="9"/>
        <v>2.0611453397868384</v>
      </c>
      <c r="L44" s="92">
        <f t="shared" si="10"/>
        <v>73.838196306748031</v>
      </c>
      <c r="M44" s="93">
        <f t="shared" si="11"/>
        <v>6.3697202405144084</v>
      </c>
      <c r="N44" s="93">
        <f t="shared" si="12"/>
        <v>-7.4826401352328586</v>
      </c>
      <c r="O44" s="124">
        <v>1480179.2857142861</v>
      </c>
      <c r="P44" s="125">
        <v>36531.645357142857</v>
      </c>
      <c r="Q44" s="125">
        <v>265397.91141841427</v>
      </c>
      <c r="R44" s="125">
        <v>74.2</v>
      </c>
      <c r="S44" s="125">
        <v>40.517728430889683</v>
      </c>
      <c r="T44" s="124">
        <v>1.6680888046782083</v>
      </c>
      <c r="U44" s="125">
        <v>6.1613773818191069</v>
      </c>
      <c r="V44" s="125">
        <v>2.0611453397868384</v>
      </c>
      <c r="W44" s="125">
        <v>73.838196306748031</v>
      </c>
      <c r="X44" s="125">
        <v>583.89445602714807</v>
      </c>
      <c r="Y44" s="124">
        <v>5.6276966448562437E-4</v>
      </c>
    </row>
    <row r="45" spans="1:25" x14ac:dyDescent="0.3">
      <c r="A45" s="90" t="str">
        <f t="shared" si="14"/>
        <v>WSH23</v>
      </c>
      <c r="B45" s="6" t="s">
        <v>12</v>
      </c>
      <c r="C45" s="90">
        <v>2023</v>
      </c>
      <c r="D45" s="91">
        <f t="shared" si="2"/>
        <v>14.213195574735428</v>
      </c>
      <c r="E45" s="91">
        <f t="shared" si="3"/>
        <v>10.508038425442459</v>
      </c>
      <c r="F45" s="91">
        <f t="shared" si="4"/>
        <v>12.501598209256144</v>
      </c>
      <c r="G45" s="91">
        <f t="shared" si="13"/>
        <v>4.3188205587700894</v>
      </c>
      <c r="H45" s="92">
        <f t="shared" si="6"/>
        <v>3.7051571492929676</v>
      </c>
      <c r="I45" s="92">
        <f t="shared" si="7"/>
        <v>0.5116785427340983</v>
      </c>
      <c r="J45" s="92">
        <f t="shared" si="8"/>
        <v>6.1613773818191069</v>
      </c>
      <c r="K45" s="92">
        <f t="shared" si="9"/>
        <v>2.0611453397868384</v>
      </c>
      <c r="L45" s="92">
        <f t="shared" si="10"/>
        <v>73.838196306748031</v>
      </c>
      <c r="M45" s="93">
        <f t="shared" si="11"/>
        <v>6.3697202405144084</v>
      </c>
      <c r="N45" s="93">
        <f t="shared" si="12"/>
        <v>-7.4953908797117359</v>
      </c>
      <c r="O45" s="124">
        <v>1488375.1428571432</v>
      </c>
      <c r="P45" s="125">
        <v>36608.598571428571</v>
      </c>
      <c r="Q45" s="125">
        <v>268766.48854192399</v>
      </c>
      <c r="R45" s="125">
        <v>75.099999999999994</v>
      </c>
      <c r="S45" s="125">
        <v>40.65643594504477</v>
      </c>
      <c r="T45" s="124">
        <v>1.6680888046782083</v>
      </c>
      <c r="U45" s="125">
        <v>6.1613773818191069</v>
      </c>
      <c r="V45" s="125">
        <v>2.0611453397868384</v>
      </c>
      <c r="W45" s="125">
        <v>73.838196306748031</v>
      </c>
      <c r="X45" s="125">
        <v>583.89445602714807</v>
      </c>
      <c r="Y45" s="124">
        <v>5.5563948643515932E-4</v>
      </c>
    </row>
    <row r="46" spans="1:25" x14ac:dyDescent="0.3">
      <c r="A46" s="90" t="str">
        <f t="shared" si="14"/>
        <v>WSH24</v>
      </c>
      <c r="B46" s="6" t="s">
        <v>12</v>
      </c>
      <c r="C46" s="90">
        <v>2024</v>
      </c>
      <c r="D46" s="91">
        <f t="shared" si="2"/>
        <v>14.218687049185542</v>
      </c>
      <c r="E46" s="91">
        <f t="shared" si="3"/>
        <v>10.510138272215686</v>
      </c>
      <c r="F46" s="91">
        <f t="shared" si="4"/>
        <v>12.514053786977007</v>
      </c>
      <c r="G46" s="91">
        <f t="shared" si="13"/>
        <v>4.3294166844015844</v>
      </c>
      <c r="H46" s="92">
        <f t="shared" si="6"/>
        <v>3.7085487769698569</v>
      </c>
      <c r="I46" s="92">
        <f t="shared" si="7"/>
        <v>0.5116785427340983</v>
      </c>
      <c r="J46" s="92">
        <f t="shared" si="8"/>
        <v>6.1613773818191069</v>
      </c>
      <c r="K46" s="92">
        <f t="shared" si="9"/>
        <v>2.0611453397868384</v>
      </c>
      <c r="L46" s="92">
        <f t="shared" si="10"/>
        <v>73.838196306748031</v>
      </c>
      <c r="M46" s="93">
        <f t="shared" si="11"/>
        <v>6.3697202405144084</v>
      </c>
      <c r="N46" s="93">
        <f t="shared" si="12"/>
        <v>-7.5008823541618508</v>
      </c>
      <c r="O46" s="124">
        <v>1496571.0000000005</v>
      </c>
      <c r="P46" s="125">
        <v>36685.551785714284</v>
      </c>
      <c r="Q46" s="125">
        <v>272135.06566543371</v>
      </c>
      <c r="R46" s="125">
        <v>75.900000000000006</v>
      </c>
      <c r="S46" s="125">
        <v>40.794561541330829</v>
      </c>
      <c r="T46" s="124">
        <v>1.6680888046782083</v>
      </c>
      <c r="U46" s="125">
        <v>6.1613773818191069</v>
      </c>
      <c r="V46" s="125">
        <v>2.0611453397868384</v>
      </c>
      <c r="W46" s="125">
        <v>73.838196306748031</v>
      </c>
      <c r="X46" s="125">
        <v>583.89445602714807</v>
      </c>
      <c r="Y46" s="124">
        <v>5.5259656909027353E-4</v>
      </c>
    </row>
    <row r="47" spans="1:25" x14ac:dyDescent="0.3">
      <c r="A47" s="90" t="str">
        <f t="shared" si="14"/>
        <v>WSH25</v>
      </c>
      <c r="B47" s="6" t="s">
        <v>12</v>
      </c>
      <c r="C47" s="90">
        <v>2025</v>
      </c>
      <c r="D47" s="91">
        <f t="shared" si="2"/>
        <v>14.224148531967543</v>
      </c>
      <c r="E47" s="91">
        <f t="shared" si="3"/>
        <v>10.512233718870402</v>
      </c>
      <c r="F47" s="91">
        <f t="shared" si="4"/>
        <v>12.526356129952095</v>
      </c>
      <c r="G47" s="91">
        <f t="shared" si="13"/>
        <v>4.3412046401536264</v>
      </c>
      <c r="H47" s="92">
        <f t="shared" si="6"/>
        <v>3.7119148130971409</v>
      </c>
      <c r="I47" s="92">
        <f t="shared" si="7"/>
        <v>0.5116785427340983</v>
      </c>
      <c r="J47" s="92">
        <f t="shared" si="8"/>
        <v>6.1613773818191069</v>
      </c>
      <c r="K47" s="92">
        <f t="shared" si="9"/>
        <v>2.0611453397868384</v>
      </c>
      <c r="L47" s="92">
        <f t="shared" si="10"/>
        <v>73.838196306748031</v>
      </c>
      <c r="M47" s="93">
        <f t="shared" si="11"/>
        <v>6.3697202405144084</v>
      </c>
      <c r="N47" s="93">
        <f t="shared" si="12"/>
        <v>-7.5087651456328617</v>
      </c>
      <c r="O47" s="124">
        <v>1504766.8571428577</v>
      </c>
      <c r="P47" s="125">
        <v>36762.505000000005</v>
      </c>
      <c r="Q47" s="125">
        <v>275503.64278894343</v>
      </c>
      <c r="R47" s="125">
        <v>76.8</v>
      </c>
      <c r="S47" s="125">
        <v>40.932108874051359</v>
      </c>
      <c r="T47" s="124">
        <v>1.6680888046782083</v>
      </c>
      <c r="U47" s="125">
        <v>6.1613773818191069</v>
      </c>
      <c r="V47" s="125">
        <v>2.0611453397868384</v>
      </c>
      <c r="W47" s="125">
        <v>73.838196306748031</v>
      </c>
      <c r="X47" s="125">
        <v>583.89445602714807</v>
      </c>
      <c r="Y47" s="124">
        <v>5.4825768927849075E-4</v>
      </c>
    </row>
    <row r="48" spans="1:25" x14ac:dyDescent="0.3">
      <c r="A48" s="90" t="str">
        <f t="shared" si="14"/>
        <v>WSX21</v>
      </c>
      <c r="B48" s="6" t="s">
        <v>8</v>
      </c>
      <c r="C48" s="90">
        <v>2021</v>
      </c>
      <c r="D48" s="91">
        <f t="shared" si="2"/>
        <v>14.050372098966887</v>
      </c>
      <c r="E48" s="91">
        <f t="shared" si="3"/>
        <v>10.468571322954006</v>
      </c>
      <c r="F48" s="91">
        <f t="shared" si="4"/>
        <v>12.141966020499368</v>
      </c>
      <c r="G48" s="91">
        <f t="shared" si="13"/>
        <v>4.3099398022034778</v>
      </c>
      <c r="H48" s="92">
        <f t="shared" si="6"/>
        <v>3.5818007760128805</v>
      </c>
      <c r="I48" s="92">
        <f t="shared" si="7"/>
        <v>0.3330851145091851</v>
      </c>
      <c r="J48" s="92">
        <f t="shared" si="8"/>
        <v>4.5136944985424705</v>
      </c>
      <c r="K48" s="92">
        <f t="shared" si="9"/>
        <v>6.1513487509809979</v>
      </c>
      <c r="L48" s="92">
        <f t="shared" si="10"/>
        <v>71.098056216032035</v>
      </c>
      <c r="M48" s="93">
        <f t="shared" si="11"/>
        <v>7.189034457327053</v>
      </c>
      <c r="N48" s="93">
        <f t="shared" si="12"/>
        <v>-8.0589075518589048</v>
      </c>
      <c r="O48" s="124">
        <v>1264733.6428571427</v>
      </c>
      <c r="P48" s="125">
        <v>35191.903571428571</v>
      </c>
      <c r="Q48" s="125">
        <v>187580.9980101221</v>
      </c>
      <c r="R48" s="125">
        <v>74.436007921814294</v>
      </c>
      <c r="S48" s="125">
        <v>35.938199259103122</v>
      </c>
      <c r="T48" s="124">
        <v>1.3952660508010553</v>
      </c>
      <c r="U48" s="125">
        <v>4.5136944985424705</v>
      </c>
      <c r="V48" s="125">
        <v>6.1513487509809979</v>
      </c>
      <c r="W48" s="125">
        <v>71.098056216032035</v>
      </c>
      <c r="X48" s="125">
        <v>1324.8234143194454</v>
      </c>
      <c r="Y48" s="124">
        <v>3.1627212754170548E-4</v>
      </c>
    </row>
    <row r="49" spans="1:25" x14ac:dyDescent="0.3">
      <c r="A49" s="90" t="str">
        <f t="shared" si="14"/>
        <v>WSX22</v>
      </c>
      <c r="B49" s="6" t="s">
        <v>8</v>
      </c>
      <c r="C49" s="90">
        <v>2022</v>
      </c>
      <c r="D49" s="91">
        <f t="shared" si="2"/>
        <v>14.057337370822713</v>
      </c>
      <c r="E49" s="91">
        <f t="shared" si="3"/>
        <v>10.471172381693208</v>
      </c>
      <c r="F49" s="91">
        <f t="shared" si="4"/>
        <v>12.148930965059394</v>
      </c>
      <c r="G49" s="91">
        <f t="shared" si="13"/>
        <v>4.31816327662382</v>
      </c>
      <c r="H49" s="92">
        <f t="shared" si="6"/>
        <v>3.586164989129506</v>
      </c>
      <c r="I49" s="92">
        <f t="shared" si="7"/>
        <v>0.3330851145091851</v>
      </c>
      <c r="J49" s="92">
        <f t="shared" si="8"/>
        <v>4.5136944985424705</v>
      </c>
      <c r="K49" s="92">
        <f t="shared" si="9"/>
        <v>6.1513487509809979</v>
      </c>
      <c r="L49" s="92">
        <f t="shared" si="10"/>
        <v>71.098056216032035</v>
      </c>
      <c r="M49" s="93">
        <f t="shared" si="11"/>
        <v>7.189034457327053</v>
      </c>
      <c r="N49" s="93">
        <f t="shared" si="12"/>
        <v>-8.0633759435161441</v>
      </c>
      <c r="O49" s="124">
        <v>1273573.6071428568</v>
      </c>
      <c r="P49" s="125">
        <v>35283.55892857143</v>
      </c>
      <c r="Q49" s="125">
        <v>188892.04966284384</v>
      </c>
      <c r="R49" s="125">
        <v>75.050654329605806</v>
      </c>
      <c r="S49" s="125">
        <v>36.095383963990095</v>
      </c>
      <c r="T49" s="124">
        <v>1.3952660508010553</v>
      </c>
      <c r="U49" s="125">
        <v>4.5136944985424705</v>
      </c>
      <c r="V49" s="125">
        <v>6.1513487509809979</v>
      </c>
      <c r="W49" s="125">
        <v>71.098056216032035</v>
      </c>
      <c r="X49" s="125">
        <v>1324.8234143194454</v>
      </c>
      <c r="Y49" s="124">
        <v>3.1486205253546828E-4</v>
      </c>
    </row>
    <row r="50" spans="1:25" x14ac:dyDescent="0.3">
      <c r="A50" s="90" t="str">
        <f t="shared" si="14"/>
        <v>WSX23</v>
      </c>
      <c r="B50" s="6" t="s">
        <v>8</v>
      </c>
      <c r="C50" s="90">
        <v>2023</v>
      </c>
      <c r="D50" s="91">
        <f t="shared" si="2"/>
        <v>14.064254463057237</v>
      </c>
      <c r="E50" s="91">
        <f t="shared" si="3"/>
        <v>10.473766692473886</v>
      </c>
      <c r="F50" s="91">
        <f t="shared" si="4"/>
        <v>12.15584773451026</v>
      </c>
      <c r="G50" s="91">
        <f t="shared" si="13"/>
        <v>4.3245751850914029</v>
      </c>
      <c r="H50" s="92">
        <f t="shared" si="6"/>
        <v>3.5904877705833509</v>
      </c>
      <c r="I50" s="92">
        <f t="shared" si="7"/>
        <v>0.3330851145091851</v>
      </c>
      <c r="J50" s="92">
        <f t="shared" si="8"/>
        <v>4.5136944985424705</v>
      </c>
      <c r="K50" s="92">
        <f t="shared" si="9"/>
        <v>6.1513487509809979</v>
      </c>
      <c r="L50" s="92">
        <f t="shared" si="10"/>
        <v>71.098056216032035</v>
      </c>
      <c r="M50" s="93">
        <f t="shared" si="11"/>
        <v>7.189034457327053</v>
      </c>
      <c r="N50" s="93">
        <f t="shared" si="12"/>
        <v>-8.0702930357506677</v>
      </c>
      <c r="O50" s="124">
        <v>1282413.5714285711</v>
      </c>
      <c r="P50" s="125">
        <v>35375.21428571429</v>
      </c>
      <c r="Q50" s="125">
        <v>190203.10131556558</v>
      </c>
      <c r="R50" s="125">
        <v>75.533418320889993</v>
      </c>
      <c r="S50" s="125">
        <v>36.251754153937469</v>
      </c>
      <c r="T50" s="124">
        <v>1.3952660508010553</v>
      </c>
      <c r="U50" s="125">
        <v>4.5136944985424705</v>
      </c>
      <c r="V50" s="125">
        <v>6.1513487509809979</v>
      </c>
      <c r="W50" s="125">
        <v>71.098056216032035</v>
      </c>
      <c r="X50" s="125">
        <v>1324.8234143194454</v>
      </c>
      <c r="Y50" s="124">
        <v>3.1269163781017829E-4</v>
      </c>
    </row>
    <row r="51" spans="1:25" x14ac:dyDescent="0.3">
      <c r="A51" s="90" t="str">
        <f t="shared" si="14"/>
        <v>WSX24</v>
      </c>
      <c r="B51" s="6" t="s">
        <v>8</v>
      </c>
      <c r="C51" s="90">
        <v>2024</v>
      </c>
      <c r="D51" s="91">
        <f t="shared" si="2"/>
        <v>14.071124037622718</v>
      </c>
      <c r="E51" s="91">
        <f t="shared" si="3"/>
        <v>10.476354290218085</v>
      </c>
      <c r="F51" s="91">
        <f t="shared" si="4"/>
        <v>12.162716990711557</v>
      </c>
      <c r="G51" s="91">
        <f t="shared" si="13"/>
        <v>4.3355368965871657</v>
      </c>
      <c r="H51" s="92">
        <f t="shared" si="6"/>
        <v>3.5947697474046345</v>
      </c>
      <c r="I51" s="92">
        <f t="shared" si="7"/>
        <v>0.3330851145091851</v>
      </c>
      <c r="J51" s="92">
        <f t="shared" si="8"/>
        <v>4.5136944985424705</v>
      </c>
      <c r="K51" s="92">
        <f t="shared" si="9"/>
        <v>6.1513487509809979</v>
      </c>
      <c r="L51" s="92">
        <f t="shared" si="10"/>
        <v>71.098056216032035</v>
      </c>
      <c r="M51" s="93">
        <f t="shared" si="11"/>
        <v>7.189034457327053</v>
      </c>
      <c r="N51" s="93">
        <f t="shared" si="12"/>
        <v>-8.0771626103161491</v>
      </c>
      <c r="O51" s="124">
        <v>1291253.5357142854</v>
      </c>
      <c r="P51" s="125">
        <v>35466.869642857142</v>
      </c>
      <c r="Q51" s="125">
        <v>191514.15296828729</v>
      </c>
      <c r="R51" s="125">
        <v>76.365948502318105</v>
      </c>
      <c r="S51" s="125">
        <v>36.407316143682777</v>
      </c>
      <c r="T51" s="124">
        <v>1.3952660508010553</v>
      </c>
      <c r="U51" s="125">
        <v>4.5136944985424705</v>
      </c>
      <c r="V51" s="125">
        <v>6.1513487509809979</v>
      </c>
      <c r="W51" s="125">
        <v>71.098056216032035</v>
      </c>
      <c r="X51" s="125">
        <v>1324.8234143194454</v>
      </c>
      <c r="Y51" s="124">
        <v>3.1055094054644968E-4</v>
      </c>
    </row>
    <row r="52" spans="1:25" x14ac:dyDescent="0.3">
      <c r="A52" s="90" t="str">
        <f t="shared" si="14"/>
        <v>WSX25</v>
      </c>
      <c r="B52" s="6" t="s">
        <v>8</v>
      </c>
      <c r="C52" s="90">
        <v>2025</v>
      </c>
      <c r="D52" s="91">
        <f t="shared" si="2"/>
        <v>14.077946742922347</v>
      </c>
      <c r="E52" s="91">
        <f t="shared" si="3"/>
        <v>10.478935209577454</v>
      </c>
      <c r="F52" s="91">
        <f t="shared" si="4"/>
        <v>12.169539381976325</v>
      </c>
      <c r="G52" s="91">
        <f t="shared" si="13"/>
        <v>4.35457081611617</v>
      </c>
      <c r="H52" s="92">
        <f t="shared" si="6"/>
        <v>3.5990115333448931</v>
      </c>
      <c r="I52" s="92">
        <f t="shared" si="7"/>
        <v>0.3330851145091851</v>
      </c>
      <c r="J52" s="92">
        <f t="shared" si="8"/>
        <v>4.5136944985424705</v>
      </c>
      <c r="K52" s="92">
        <f t="shared" si="9"/>
        <v>6.1513487509809979</v>
      </c>
      <c r="L52" s="92">
        <f t="shared" si="10"/>
        <v>71.098056216032035</v>
      </c>
      <c r="M52" s="93">
        <f t="shared" si="11"/>
        <v>7.189034457327053</v>
      </c>
      <c r="N52" s="93">
        <f t="shared" si="12"/>
        <v>-8.0839853156157773</v>
      </c>
      <c r="O52" s="124">
        <v>1300093.4999999995</v>
      </c>
      <c r="P52" s="125">
        <v>35558.525000000001</v>
      </c>
      <c r="Q52" s="125">
        <v>192825.20462100906</v>
      </c>
      <c r="R52" s="125">
        <v>77.833413320770802</v>
      </c>
      <c r="S52" s="125">
        <v>36.562076182856273</v>
      </c>
      <c r="T52" s="124">
        <v>1.3952660508010553</v>
      </c>
      <c r="U52" s="125">
        <v>4.5136944985424705</v>
      </c>
      <c r="V52" s="125">
        <v>6.1513487509809979</v>
      </c>
      <c r="W52" s="125">
        <v>71.098056216032035</v>
      </c>
      <c r="X52" s="125">
        <v>1324.8234143194454</v>
      </c>
      <c r="Y52" s="124">
        <v>3.0843935455411489E-4</v>
      </c>
    </row>
    <row r="53" spans="1:25" x14ac:dyDescent="0.3">
      <c r="A53" s="90" t="str">
        <f t="shared" si="14"/>
        <v>YKY21</v>
      </c>
      <c r="B53" s="6" t="s">
        <v>9</v>
      </c>
      <c r="C53" s="90">
        <v>2021</v>
      </c>
      <c r="D53" s="91">
        <f t="shared" si="2"/>
        <v>14.653261091149753</v>
      </c>
      <c r="E53" s="91">
        <f t="shared" si="3"/>
        <v>10.866590894300524</v>
      </c>
      <c r="F53" s="91">
        <f t="shared" si="4"/>
        <v>12.879949977539145</v>
      </c>
      <c r="G53" s="91">
        <f t="shared" si="13"/>
        <v>5.0284752122245866</v>
      </c>
      <c r="H53" s="92">
        <f t="shared" si="6"/>
        <v>3.7866701968492302</v>
      </c>
      <c r="I53" s="92">
        <f t="shared" si="7"/>
        <v>0.27936667530645887</v>
      </c>
      <c r="J53" s="92">
        <f t="shared" si="8"/>
        <v>2.2335791211767639</v>
      </c>
      <c r="K53" s="92">
        <f t="shared" si="9"/>
        <v>40.959838960222946</v>
      </c>
      <c r="L53" s="92">
        <f t="shared" si="10"/>
        <v>80.86925794865779</v>
      </c>
      <c r="M53" s="93">
        <f t="shared" si="11"/>
        <v>6.9861994273513588</v>
      </c>
      <c r="N53" s="93">
        <f t="shared" si="12"/>
        <v>-8.241442823439856</v>
      </c>
      <c r="O53" s="124">
        <v>2311162.242270059</v>
      </c>
      <c r="P53" s="125">
        <v>52396.280989130661</v>
      </c>
      <c r="Q53" s="125">
        <v>392365.85125372937</v>
      </c>
      <c r="R53" s="125">
        <v>152.69999999999999</v>
      </c>
      <c r="S53" s="125">
        <v>44.109280251197553</v>
      </c>
      <c r="T53" s="124">
        <v>1.3222921068523084</v>
      </c>
      <c r="U53" s="125">
        <v>2.2335791211767639</v>
      </c>
      <c r="V53" s="125">
        <v>40.959838960222946</v>
      </c>
      <c r="W53" s="125">
        <v>80.86925794865779</v>
      </c>
      <c r="X53" s="125">
        <v>1081.6029441869796</v>
      </c>
      <c r="Y53" s="124">
        <v>2.6350378561127363E-4</v>
      </c>
    </row>
    <row r="54" spans="1:25" x14ac:dyDescent="0.3">
      <c r="A54" s="90" t="str">
        <f t="shared" si="14"/>
        <v>YKY22</v>
      </c>
      <c r="B54" s="6" t="s">
        <v>9</v>
      </c>
      <c r="C54" s="90">
        <v>2022</v>
      </c>
      <c r="D54" s="91">
        <f t="shared" si="2"/>
        <v>14.657687827385125</v>
      </c>
      <c r="E54" s="91">
        <f t="shared" si="3"/>
        <v>10.867422897536365</v>
      </c>
      <c r="F54" s="91">
        <f t="shared" si="4"/>
        <v>12.888110557111718</v>
      </c>
      <c r="G54" s="91">
        <f t="shared" si="13"/>
        <v>5.0350026505445502</v>
      </c>
      <c r="H54" s="92">
        <f t="shared" si="6"/>
        <v>3.7902649298487607</v>
      </c>
      <c r="I54" s="92">
        <f t="shared" si="7"/>
        <v>0.27936667530645887</v>
      </c>
      <c r="J54" s="92">
        <f t="shared" si="8"/>
        <v>2.2335791211767639</v>
      </c>
      <c r="K54" s="92">
        <f t="shared" si="9"/>
        <v>40.959838960222946</v>
      </c>
      <c r="L54" s="92">
        <f t="shared" si="10"/>
        <v>80.86925794865779</v>
      </c>
      <c r="M54" s="93">
        <f t="shared" si="11"/>
        <v>6.9861994273513588</v>
      </c>
      <c r="N54" s="93">
        <f t="shared" si="12"/>
        <v>-8.2458695596752278</v>
      </c>
      <c r="O54" s="124">
        <v>2321415.8261252446</v>
      </c>
      <c r="P54" s="125">
        <v>52439.893004612895</v>
      </c>
      <c r="Q54" s="125">
        <v>395580.88442938408</v>
      </c>
      <c r="R54" s="125">
        <v>153.69999999999999</v>
      </c>
      <c r="S54" s="125">
        <v>44.268126670682577</v>
      </c>
      <c r="T54" s="124">
        <v>1.3222921068523084</v>
      </c>
      <c r="U54" s="125">
        <v>2.2335791211767639</v>
      </c>
      <c r="V54" s="125">
        <v>40.959838960222946</v>
      </c>
      <c r="W54" s="125">
        <v>80.86925794865779</v>
      </c>
      <c r="X54" s="125">
        <v>1081.6029441869796</v>
      </c>
      <c r="Y54" s="124">
        <v>2.6233990185916108E-4</v>
      </c>
    </row>
    <row r="55" spans="1:25" x14ac:dyDescent="0.3">
      <c r="A55" s="90" t="str">
        <f t="shared" si="14"/>
        <v>YKY23</v>
      </c>
      <c r="B55" s="6" t="s">
        <v>9</v>
      </c>
      <c r="C55" s="90">
        <v>2023</v>
      </c>
      <c r="D55" s="91">
        <f t="shared" si="2"/>
        <v>14.662095053959206</v>
      </c>
      <c r="E55" s="91">
        <f t="shared" si="3"/>
        <v>10.868254209118241</v>
      </c>
      <c r="F55" s="91">
        <f t="shared" si="4"/>
        <v>12.896205080319929</v>
      </c>
      <c r="G55" s="91">
        <f t="shared" si="13"/>
        <v>5.0434251169192468</v>
      </c>
      <c r="H55" s="92">
        <f t="shared" si="6"/>
        <v>3.7938408448409651</v>
      </c>
      <c r="I55" s="92">
        <f t="shared" si="7"/>
        <v>0.27936667530645887</v>
      </c>
      <c r="J55" s="92">
        <f t="shared" si="8"/>
        <v>2.2335791211767639</v>
      </c>
      <c r="K55" s="92">
        <f t="shared" si="9"/>
        <v>40.959838960222946</v>
      </c>
      <c r="L55" s="92">
        <f t="shared" si="10"/>
        <v>80.86925794865779</v>
      </c>
      <c r="M55" s="93">
        <f t="shared" si="11"/>
        <v>6.9861994273513588</v>
      </c>
      <c r="N55" s="93">
        <f t="shared" si="12"/>
        <v>-8.2502767862493087</v>
      </c>
      <c r="O55" s="124">
        <v>2331669.4099804307</v>
      </c>
      <c r="P55" s="125">
        <v>52483.50502009513</v>
      </c>
      <c r="Q55" s="125">
        <v>398795.91760503879</v>
      </c>
      <c r="R55" s="125">
        <v>155</v>
      </c>
      <c r="S55" s="125">
        <v>44.42670909817609</v>
      </c>
      <c r="T55" s="124">
        <v>1.3222921068523084</v>
      </c>
      <c r="U55" s="125">
        <v>2.2335791211767639</v>
      </c>
      <c r="V55" s="125">
        <v>40.959838960222946</v>
      </c>
      <c r="W55" s="125">
        <v>80.86925794865779</v>
      </c>
      <c r="X55" s="125">
        <v>1081.6029441869796</v>
      </c>
      <c r="Y55" s="124">
        <v>2.6118625453215995E-4</v>
      </c>
    </row>
    <row r="56" spans="1:25" x14ac:dyDescent="0.3">
      <c r="A56" s="90" t="str">
        <f t="shared" si="14"/>
        <v>YKY24</v>
      </c>
      <c r="B56" s="6" t="s">
        <v>9</v>
      </c>
      <c r="C56" s="90">
        <v>2024</v>
      </c>
      <c r="D56" s="91">
        <f t="shared" si="2"/>
        <v>14.66648294208497</v>
      </c>
      <c r="E56" s="91">
        <f t="shared" si="3"/>
        <v>10.869084830195156</v>
      </c>
      <c r="F56" s="91">
        <f t="shared" si="4"/>
        <v>12.904234607978129</v>
      </c>
      <c r="G56" s="91">
        <f t="shared" si="13"/>
        <v>5.0764230346342591</v>
      </c>
      <c r="H56" s="92">
        <f t="shared" si="6"/>
        <v>3.7973981118898141</v>
      </c>
      <c r="I56" s="92">
        <f t="shared" si="7"/>
        <v>0.27936667530645887</v>
      </c>
      <c r="J56" s="92">
        <f t="shared" si="8"/>
        <v>2.2335791211767639</v>
      </c>
      <c r="K56" s="92">
        <f t="shared" si="9"/>
        <v>40.959838960222946</v>
      </c>
      <c r="L56" s="92">
        <f t="shared" si="10"/>
        <v>80.86925794865779</v>
      </c>
      <c r="M56" s="93">
        <f t="shared" si="11"/>
        <v>6.9861994273513588</v>
      </c>
      <c r="N56" s="93">
        <f t="shared" si="12"/>
        <v>-8.2546646743750731</v>
      </c>
      <c r="O56" s="124">
        <v>2341922.9938356164</v>
      </c>
      <c r="P56" s="125">
        <v>52527.117035577365</v>
      </c>
      <c r="Q56" s="125">
        <v>402010.9507806935</v>
      </c>
      <c r="R56" s="125">
        <v>160.19999999999999</v>
      </c>
      <c r="S56" s="125">
        <v>44.585028191236894</v>
      </c>
      <c r="T56" s="124">
        <v>1.3222921068523084</v>
      </c>
      <c r="U56" s="125">
        <v>2.2335791211767639</v>
      </c>
      <c r="V56" s="125">
        <v>40.959838960222946</v>
      </c>
      <c r="W56" s="125">
        <v>80.86925794865779</v>
      </c>
      <c r="X56" s="125">
        <v>1081.6029441869796</v>
      </c>
      <c r="Y56" s="124">
        <v>2.6004270917660529E-4</v>
      </c>
    </row>
    <row r="57" spans="1:25" x14ac:dyDescent="0.3">
      <c r="A57" s="90" t="str">
        <f t="shared" si="14"/>
        <v>YKY25</v>
      </c>
      <c r="B57" s="6" t="s">
        <v>9</v>
      </c>
      <c r="C57" s="90">
        <v>2025</v>
      </c>
      <c r="D57" s="91">
        <f t="shared" si="2"/>
        <v>14.670851660731437</v>
      </c>
      <c r="E57" s="91">
        <f t="shared" si="3"/>
        <v>10.869914761913252</v>
      </c>
      <c r="F57" s="91">
        <f t="shared" si="4"/>
        <v>12.912200175550291</v>
      </c>
      <c r="G57" s="91">
        <f t="shared" si="13"/>
        <v>5.1727541435726909</v>
      </c>
      <c r="H57" s="92">
        <f t="shared" si="6"/>
        <v>3.8009368988181844</v>
      </c>
      <c r="I57" s="92">
        <f t="shared" si="7"/>
        <v>0.27936667530645887</v>
      </c>
      <c r="J57" s="92">
        <f t="shared" si="8"/>
        <v>2.2335791211767639</v>
      </c>
      <c r="K57" s="92">
        <f t="shared" si="9"/>
        <v>40.959838960222946</v>
      </c>
      <c r="L57" s="92">
        <f t="shared" si="10"/>
        <v>80.86925794865779</v>
      </c>
      <c r="M57" s="93">
        <f t="shared" si="11"/>
        <v>6.9861994273513588</v>
      </c>
      <c r="N57" s="93">
        <f t="shared" si="12"/>
        <v>-8.2639716746621232</v>
      </c>
      <c r="O57" s="124">
        <v>2352176.5776908025</v>
      </c>
      <c r="P57" s="125">
        <v>52570.729051059599</v>
      </c>
      <c r="Q57" s="125">
        <v>405225.98395634827</v>
      </c>
      <c r="R57" s="125">
        <v>176.4</v>
      </c>
      <c r="S57" s="125">
        <v>44.743084605241798</v>
      </c>
      <c r="T57" s="124">
        <v>1.3222921068523084</v>
      </c>
      <c r="U57" s="125">
        <v>2.2335791211767639</v>
      </c>
      <c r="V57" s="125">
        <v>40.959838960222946</v>
      </c>
      <c r="W57" s="125">
        <v>80.86925794865779</v>
      </c>
      <c r="X57" s="125">
        <v>1081.6029441869796</v>
      </c>
      <c r="Y57" s="124">
        <v>2.5763371923162635E-4</v>
      </c>
    </row>
    <row r="58" spans="1:25" x14ac:dyDescent="0.3">
      <c r="A58" s="34" t="str">
        <f t="shared" si="14"/>
        <v>SVH21</v>
      </c>
      <c r="B58" s="34" t="s">
        <v>67</v>
      </c>
      <c r="C58" s="34">
        <v>2021</v>
      </c>
      <c r="D58" s="54">
        <f t="shared" ref="D58:D62" si="15">LN(O58)</f>
        <v>15.25178527605361</v>
      </c>
      <c r="E58" s="54">
        <f t="shared" ref="E58:E62" si="16">LN(P58)</f>
        <v>11.45887327841573</v>
      </c>
      <c r="F58" s="54">
        <f t="shared" ref="F58:F62" si="17">LN(Q58)</f>
        <v>13.339940375892118</v>
      </c>
      <c r="G58" s="54">
        <f t="shared" ref="G58:G62" si="18">LN(R58)</f>
        <v>5.4728692475316398</v>
      </c>
      <c r="H58" s="55">
        <f t="shared" ref="H58:H62" si="19">LN(S58)</f>
        <v>3.7929119976378809</v>
      </c>
      <c r="I58" s="55">
        <f t="shared" ref="I58:I62" si="20">LN(T58)</f>
        <v>0.19486424258761698</v>
      </c>
      <c r="J58" s="55">
        <f t="shared" ref="J58:J62" si="21">U58</f>
        <v>2.494793415069978</v>
      </c>
      <c r="K58" s="55">
        <f t="shared" ref="K58:K62" si="22">V58</f>
        <v>46.342652136321746</v>
      </c>
      <c r="L58" s="55">
        <f t="shared" ref="L58:L62" si="23">W58</f>
        <v>82.493446792535181</v>
      </c>
      <c r="M58" s="56">
        <f t="shared" ref="M58:M62" si="24">LN(X58)</f>
        <v>7.59819644753658</v>
      </c>
      <c r="N58" s="56">
        <f t="shared" ref="N58:N62" si="25">LN(Y58)</f>
        <v>-8.3390424555604348</v>
      </c>
      <c r="O58" s="126">
        <v>4205001.7857142854</v>
      </c>
      <c r="P58" s="127">
        <v>94738.266457465157</v>
      </c>
      <c r="Q58" s="127">
        <v>621530.56982544926</v>
      </c>
      <c r="R58" s="127">
        <v>238.14250322381685</v>
      </c>
      <c r="S58" s="127">
        <v>44.38546263248562</v>
      </c>
      <c r="T58" s="126">
        <v>1.2151460102135938</v>
      </c>
      <c r="U58" s="127">
        <v>2.494793415069978</v>
      </c>
      <c r="V58" s="127">
        <v>46.342652136321746</v>
      </c>
      <c r="W58" s="127">
        <v>82.493446792535181</v>
      </c>
      <c r="X58" s="127">
        <v>1994.5952918895093</v>
      </c>
      <c r="Y58" s="126">
        <v>2.3900108756536116E-4</v>
      </c>
    </row>
    <row r="59" spans="1:25" x14ac:dyDescent="0.3">
      <c r="A59" s="34" t="str">
        <f t="shared" si="14"/>
        <v>SVH22</v>
      </c>
      <c r="B59" s="34" t="s">
        <v>67</v>
      </c>
      <c r="C59" s="34">
        <v>2022</v>
      </c>
      <c r="D59" s="54">
        <f t="shared" si="15"/>
        <v>15.259278876884881</v>
      </c>
      <c r="E59" s="54">
        <f t="shared" si="16"/>
        <v>11.461512074244178</v>
      </c>
      <c r="F59" s="54">
        <f t="shared" si="17"/>
        <v>13.343154626750053</v>
      </c>
      <c r="G59" s="54">
        <f t="shared" si="18"/>
        <v>5.4760942841626612</v>
      </c>
      <c r="H59" s="55">
        <f t="shared" si="19"/>
        <v>3.7977668026407039</v>
      </c>
      <c r="I59" s="55">
        <f t="shared" si="20"/>
        <v>0.19486424258761698</v>
      </c>
      <c r="J59" s="55">
        <f t="shared" si="21"/>
        <v>2.494793415069978</v>
      </c>
      <c r="K59" s="55">
        <f t="shared" si="22"/>
        <v>46.342652136321746</v>
      </c>
      <c r="L59" s="55">
        <f t="shared" si="23"/>
        <v>82.493446792535181</v>
      </c>
      <c r="M59" s="56">
        <f t="shared" si="24"/>
        <v>7.59819644753658</v>
      </c>
      <c r="N59" s="56">
        <f t="shared" si="25"/>
        <v>-8.3465360563917042</v>
      </c>
      <c r="O59" s="126">
        <v>4236630.75</v>
      </c>
      <c r="P59" s="127">
        <v>94988.591532913721</v>
      </c>
      <c r="Q59" s="127">
        <v>623531.53907857754</v>
      </c>
      <c r="R59" s="127">
        <v>238.91176129610227</v>
      </c>
      <c r="S59" s="127">
        <v>44.601469309417013</v>
      </c>
      <c r="T59" s="126">
        <v>1.2151460102135938</v>
      </c>
      <c r="U59" s="127">
        <v>2.494793415069978</v>
      </c>
      <c r="V59" s="127">
        <v>46.342652136321746</v>
      </c>
      <c r="W59" s="127">
        <v>82.493446792535181</v>
      </c>
      <c r="X59" s="127">
        <v>1994.5952918895093</v>
      </c>
      <c r="Y59" s="126">
        <v>2.3721680252639435E-4</v>
      </c>
    </row>
    <row r="60" spans="1:25" x14ac:dyDescent="0.3">
      <c r="A60" s="34" t="str">
        <f t="shared" si="14"/>
        <v>SVH23</v>
      </c>
      <c r="B60" s="34" t="s">
        <v>67</v>
      </c>
      <c r="C60" s="34">
        <v>2023</v>
      </c>
      <c r="D60" s="54">
        <f t="shared" si="15"/>
        <v>15.266716741072017</v>
      </c>
      <c r="E60" s="54">
        <f t="shared" si="16"/>
        <v>11.464143925151411</v>
      </c>
      <c r="F60" s="54">
        <f t="shared" si="17"/>
        <v>13.346358579291945</v>
      </c>
      <c r="G60" s="54">
        <f t="shared" si="18"/>
        <v>5.4804380909405186</v>
      </c>
      <c r="H60" s="55">
        <f t="shared" si="19"/>
        <v>3.8025728159206063</v>
      </c>
      <c r="I60" s="55">
        <f t="shared" si="20"/>
        <v>0.19486424258761698</v>
      </c>
      <c r="J60" s="55">
        <f t="shared" si="21"/>
        <v>2.494793415069978</v>
      </c>
      <c r="K60" s="55">
        <f t="shared" si="22"/>
        <v>46.342652136321746</v>
      </c>
      <c r="L60" s="55">
        <f t="shared" si="23"/>
        <v>82.493446792535181</v>
      </c>
      <c r="M60" s="56">
        <f t="shared" si="24"/>
        <v>7.59819644753658</v>
      </c>
      <c r="N60" s="56">
        <f t="shared" si="25"/>
        <v>-8.3559659531100809</v>
      </c>
      <c r="O60" s="126">
        <v>4268259.7142857146</v>
      </c>
      <c r="P60" s="127">
        <v>95238.916608362299</v>
      </c>
      <c r="Q60" s="127">
        <v>625532.50833170582</v>
      </c>
      <c r="R60" s="127">
        <v>239.95180506336101</v>
      </c>
      <c r="S60" s="127">
        <v>44.816340486499683</v>
      </c>
      <c r="T60" s="126">
        <v>1.2151460102135938</v>
      </c>
      <c r="U60" s="127">
        <v>2.494793415069978</v>
      </c>
      <c r="V60" s="127">
        <v>46.342652136321746</v>
      </c>
      <c r="W60" s="127">
        <v>82.493446792535181</v>
      </c>
      <c r="X60" s="127">
        <v>1994.5952918895093</v>
      </c>
      <c r="Y60" s="126">
        <v>2.3499038651349973E-4</v>
      </c>
    </row>
    <row r="61" spans="1:25" x14ac:dyDescent="0.3">
      <c r="A61" s="34" t="str">
        <f t="shared" si="14"/>
        <v>SVH24</v>
      </c>
      <c r="B61" s="34" t="s">
        <v>67</v>
      </c>
      <c r="C61" s="34">
        <v>2024</v>
      </c>
      <c r="D61" s="54">
        <f t="shared" si="15"/>
        <v>15.274099691624354</v>
      </c>
      <c r="E61" s="54">
        <f t="shared" si="16"/>
        <v>11.466768867597509</v>
      </c>
      <c r="F61" s="54">
        <f t="shared" si="17"/>
        <v>13.34955229929778</v>
      </c>
      <c r="G61" s="54">
        <f t="shared" si="18"/>
        <v>5.4831767379161311</v>
      </c>
      <c r="H61" s="55">
        <f t="shared" si="19"/>
        <v>3.8073308240268453</v>
      </c>
      <c r="I61" s="55">
        <f t="shared" si="20"/>
        <v>0.19486424258761698</v>
      </c>
      <c r="J61" s="55">
        <f t="shared" si="21"/>
        <v>2.494793415069978</v>
      </c>
      <c r="K61" s="55">
        <f t="shared" si="22"/>
        <v>46.342652136321746</v>
      </c>
      <c r="L61" s="55">
        <f t="shared" si="23"/>
        <v>82.493446792535181</v>
      </c>
      <c r="M61" s="56">
        <f t="shared" si="24"/>
        <v>7.59819644753658</v>
      </c>
      <c r="N61" s="56">
        <f t="shared" si="25"/>
        <v>-8.363348903662418</v>
      </c>
      <c r="O61" s="126">
        <v>4299888.6785714291</v>
      </c>
      <c r="P61" s="127">
        <v>95489.241683810862</v>
      </c>
      <c r="Q61" s="127">
        <v>627533.47758483409</v>
      </c>
      <c r="R61" s="127">
        <v>240.6098490123382</v>
      </c>
      <c r="S61" s="127">
        <v>45.030085093873225</v>
      </c>
      <c r="T61" s="126">
        <v>1.2151460102135938</v>
      </c>
      <c r="U61" s="127">
        <v>2.494793415069978</v>
      </c>
      <c r="V61" s="127">
        <v>46.342652136321746</v>
      </c>
      <c r="W61" s="127">
        <v>82.493446792535181</v>
      </c>
      <c r="X61" s="127">
        <v>1994.5952918895093</v>
      </c>
      <c r="Y61" s="126">
        <v>2.3326185280062438E-4</v>
      </c>
    </row>
    <row r="62" spans="1:25" x14ac:dyDescent="0.3">
      <c r="A62" s="34" t="str">
        <f t="shared" si="14"/>
        <v>SVH25</v>
      </c>
      <c r="B62" s="34" t="s">
        <v>67</v>
      </c>
      <c r="C62" s="34">
        <v>2025</v>
      </c>
      <c r="D62" s="54">
        <f t="shared" si="15"/>
        <v>15.281428533455864</v>
      </c>
      <c r="E62" s="54">
        <f t="shared" si="16"/>
        <v>11.469386937756184</v>
      </c>
      <c r="F62" s="54">
        <f t="shared" si="17"/>
        <v>13.352735851919302</v>
      </c>
      <c r="G62" s="54">
        <f t="shared" si="18"/>
        <v>5.4875749771004214</v>
      </c>
      <c r="H62" s="55">
        <f t="shared" si="19"/>
        <v>3.81204159569968</v>
      </c>
      <c r="I62" s="55">
        <f t="shared" si="20"/>
        <v>0.19486424258761698</v>
      </c>
      <c r="J62" s="55">
        <f t="shared" si="21"/>
        <v>2.494793415069978</v>
      </c>
      <c r="K62" s="55">
        <f t="shared" si="22"/>
        <v>46.342652136321746</v>
      </c>
      <c r="L62" s="55">
        <f t="shared" si="23"/>
        <v>82.493446792535181</v>
      </c>
      <c r="M62" s="56">
        <f t="shared" si="24"/>
        <v>7.59819644753658</v>
      </c>
      <c r="N62" s="56">
        <f t="shared" si="25"/>
        <v>-8.3776812758712662</v>
      </c>
      <c r="O62" s="126">
        <v>4331517.6428571427</v>
      </c>
      <c r="P62" s="127">
        <v>95739.56675925944</v>
      </c>
      <c r="Q62" s="127">
        <v>629534.44683796237</v>
      </c>
      <c r="R62" s="127">
        <v>241.67043933362919</v>
      </c>
      <c r="S62" s="127">
        <v>45.24271196828056</v>
      </c>
      <c r="T62" s="126">
        <v>1.2151460102135938</v>
      </c>
      <c r="U62" s="127">
        <v>2.494793415069978</v>
      </c>
      <c r="V62" s="127">
        <v>46.342652136321746</v>
      </c>
      <c r="W62" s="127">
        <v>82.493446792535181</v>
      </c>
      <c r="X62" s="127">
        <v>1994.5952918895093</v>
      </c>
      <c r="Y62" s="126">
        <v>2.2994250101750053E-4</v>
      </c>
    </row>
  </sheetData>
  <mergeCells count="1">
    <mergeCell ref="A4:B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K19"/>
  <sheetViews>
    <sheetView showGridLines="0" zoomScale="80" zoomScaleNormal="80" workbookViewId="0"/>
  </sheetViews>
  <sheetFormatPr defaultColWidth="9" defaultRowHeight="13" x14ac:dyDescent="0.3"/>
  <cols>
    <col min="1" max="1" width="2.08203125" style="8" customWidth="1"/>
    <col min="2" max="2" width="21.4140625" style="8" bestFit="1" customWidth="1"/>
    <col min="3" max="3" width="29.6640625" style="8" bestFit="1" customWidth="1"/>
    <col min="4" max="6" width="9.9140625" style="14" bestFit="1" customWidth="1"/>
    <col min="7" max="7" width="10.08203125" style="14" bestFit="1" customWidth="1"/>
    <col min="8" max="16384" width="9" style="8"/>
  </cols>
  <sheetData>
    <row r="1" spans="2:11" ht="15.5" x14ac:dyDescent="0.35">
      <c r="B1" s="107" t="s">
        <v>114</v>
      </c>
    </row>
    <row r="2" spans="2:11" ht="15.75" customHeight="1" x14ac:dyDescent="0.3"/>
    <row r="3" spans="2:11" x14ac:dyDescent="0.3">
      <c r="B3" s="59" t="s">
        <v>162</v>
      </c>
      <c r="C3" s="59" t="s">
        <v>162</v>
      </c>
      <c r="D3" s="60" t="s">
        <v>163</v>
      </c>
      <c r="E3" s="60"/>
      <c r="F3" s="60" t="s">
        <v>164</v>
      </c>
      <c r="G3" s="60"/>
      <c r="H3" s="60" t="s">
        <v>24</v>
      </c>
      <c r="I3" s="60"/>
      <c r="J3" s="60" t="s">
        <v>165</v>
      </c>
      <c r="K3" s="60"/>
    </row>
    <row r="4" spans="2:11" x14ac:dyDescent="0.3">
      <c r="B4" s="59" t="s">
        <v>162</v>
      </c>
      <c r="C4" s="59" t="s">
        <v>162</v>
      </c>
      <c r="D4" s="108" t="s">
        <v>166</v>
      </c>
      <c r="E4" s="108" t="s">
        <v>167</v>
      </c>
      <c r="F4" s="108" t="s">
        <v>168</v>
      </c>
      <c r="G4" s="108" t="s">
        <v>169</v>
      </c>
      <c r="H4" s="108" t="s">
        <v>170</v>
      </c>
      <c r="I4" s="108" t="s">
        <v>171</v>
      </c>
      <c r="J4" s="108" t="s">
        <v>172</v>
      </c>
      <c r="K4" s="108" t="s">
        <v>173</v>
      </c>
    </row>
    <row r="5" spans="2:11" x14ac:dyDescent="0.3">
      <c r="B5" s="59" t="s">
        <v>174</v>
      </c>
      <c r="C5" s="59" t="s">
        <v>175</v>
      </c>
      <c r="D5" s="108" t="s">
        <v>16</v>
      </c>
      <c r="E5" s="108" t="s">
        <v>17</v>
      </c>
      <c r="F5" s="108" t="s">
        <v>21</v>
      </c>
      <c r="G5" s="108" t="s">
        <v>22</v>
      </c>
      <c r="H5" s="108" t="s">
        <v>25</v>
      </c>
      <c r="I5" s="108" t="s">
        <v>26</v>
      </c>
      <c r="J5" s="108" t="s">
        <v>28</v>
      </c>
      <c r="K5" s="108" t="s">
        <v>29</v>
      </c>
    </row>
    <row r="6" spans="2:11" x14ac:dyDescent="0.3">
      <c r="B6" s="62" t="s">
        <v>176</v>
      </c>
      <c r="C6" s="62" t="s">
        <v>18</v>
      </c>
      <c r="D6" s="63">
        <v>0.73939849999999996</v>
      </c>
      <c r="E6" s="63">
        <v>0.71431279999999997</v>
      </c>
      <c r="F6" s="63" t="s">
        <v>162</v>
      </c>
      <c r="G6" s="63" t="s">
        <v>162</v>
      </c>
      <c r="H6" s="63" t="s">
        <v>162</v>
      </c>
      <c r="I6" s="63" t="s">
        <v>162</v>
      </c>
      <c r="J6" s="63" t="s">
        <v>162</v>
      </c>
      <c r="K6" s="63" t="s">
        <v>162</v>
      </c>
    </row>
    <row r="7" spans="2:11" x14ac:dyDescent="0.3">
      <c r="B7" s="62" t="s">
        <v>177</v>
      </c>
      <c r="C7" s="62" t="s">
        <v>20</v>
      </c>
      <c r="D7" s="63">
        <v>0.1697023</v>
      </c>
      <c r="E7" s="63">
        <v>0.3456304</v>
      </c>
      <c r="F7" s="63" t="s">
        <v>162</v>
      </c>
      <c r="G7" s="63" t="s">
        <v>162</v>
      </c>
      <c r="H7" s="63" t="s">
        <v>162</v>
      </c>
      <c r="I7" s="63" t="s">
        <v>162</v>
      </c>
      <c r="J7" s="63" t="s">
        <v>162</v>
      </c>
      <c r="K7" s="63" t="s">
        <v>162</v>
      </c>
    </row>
    <row r="8" spans="2:11" x14ac:dyDescent="0.3">
      <c r="B8" s="62" t="s">
        <v>178</v>
      </c>
      <c r="C8" s="62" t="s">
        <v>19</v>
      </c>
      <c r="D8" s="63">
        <v>1.470629</v>
      </c>
      <c r="E8" s="63" t="s">
        <v>162</v>
      </c>
      <c r="F8" s="63" t="s">
        <v>162</v>
      </c>
      <c r="G8" s="63" t="s">
        <v>162</v>
      </c>
      <c r="H8" s="63" t="s">
        <v>162</v>
      </c>
      <c r="I8" s="63" t="s">
        <v>162</v>
      </c>
      <c r="J8" s="63" t="s">
        <v>162</v>
      </c>
      <c r="K8" s="63" t="s">
        <v>162</v>
      </c>
    </row>
    <row r="9" spans="2:11" x14ac:dyDescent="0.3">
      <c r="B9" s="62" t="s">
        <v>179</v>
      </c>
      <c r="C9" s="62" t="s">
        <v>60</v>
      </c>
      <c r="D9" s="63" t="s">
        <v>162</v>
      </c>
      <c r="E9" s="63">
        <v>0.25587300000000002</v>
      </c>
      <c r="F9" s="63" t="s">
        <v>162</v>
      </c>
      <c r="G9" s="63" t="s">
        <v>162</v>
      </c>
      <c r="H9" s="63">
        <v>-0.27998200000000001</v>
      </c>
      <c r="I9" s="63" t="s">
        <v>162</v>
      </c>
      <c r="J9" s="63" t="s">
        <v>162</v>
      </c>
      <c r="K9" s="63" t="s">
        <v>162</v>
      </c>
    </row>
    <row r="10" spans="2:11" x14ac:dyDescent="0.3">
      <c r="B10" s="62" t="s">
        <v>180</v>
      </c>
      <c r="C10" s="62" t="s">
        <v>23</v>
      </c>
      <c r="D10" s="63" t="s">
        <v>162</v>
      </c>
      <c r="E10" s="63" t="s">
        <v>162</v>
      </c>
      <c r="F10" s="63">
        <v>0.79454179999999996</v>
      </c>
      <c r="G10" s="63">
        <v>0.77855920000000001</v>
      </c>
      <c r="H10" s="63" t="s">
        <v>162</v>
      </c>
      <c r="I10" s="63" t="s">
        <v>162</v>
      </c>
      <c r="J10" s="63">
        <v>0.78752869999999997</v>
      </c>
      <c r="K10" s="63">
        <v>0.77039100000000005</v>
      </c>
    </row>
    <row r="11" spans="2:11" x14ac:dyDescent="0.3">
      <c r="B11" s="62" t="s">
        <v>39</v>
      </c>
      <c r="C11" s="62" t="s">
        <v>181</v>
      </c>
      <c r="D11" s="63" t="s">
        <v>162</v>
      </c>
      <c r="E11" s="63" t="s">
        <v>162</v>
      </c>
      <c r="F11" s="63">
        <v>4.4843899999999999E-2</v>
      </c>
      <c r="G11" s="63" t="s">
        <v>162</v>
      </c>
      <c r="H11" s="63" t="s">
        <v>162</v>
      </c>
      <c r="I11" s="63" t="s">
        <v>162</v>
      </c>
      <c r="J11" s="63">
        <v>3.9131899999999997E-2</v>
      </c>
      <c r="K11" s="63" t="s">
        <v>162</v>
      </c>
    </row>
    <row r="12" spans="2:11" x14ac:dyDescent="0.3">
      <c r="B12" s="62" t="s">
        <v>38</v>
      </c>
      <c r="C12" s="62" t="s">
        <v>182</v>
      </c>
      <c r="D12" s="63" t="s">
        <v>162</v>
      </c>
      <c r="E12" s="63" t="s">
        <v>162</v>
      </c>
      <c r="F12" s="63">
        <v>3.8804999999999998E-3</v>
      </c>
      <c r="G12" s="63">
        <v>4.1212000000000002E-3</v>
      </c>
      <c r="H12" s="63" t="s">
        <v>162</v>
      </c>
      <c r="I12" s="63" t="s">
        <v>162</v>
      </c>
      <c r="J12" s="63">
        <v>5.0943999999999998E-3</v>
      </c>
      <c r="K12" s="63">
        <v>5.3661000000000004E-3</v>
      </c>
    </row>
    <row r="13" spans="2:11" x14ac:dyDescent="0.3">
      <c r="B13" s="62" t="s">
        <v>61</v>
      </c>
      <c r="C13" s="62" t="s">
        <v>183</v>
      </c>
      <c r="D13" s="63" t="s">
        <v>162</v>
      </c>
      <c r="E13" s="63" t="s">
        <v>162</v>
      </c>
      <c r="F13" s="63" t="s">
        <v>162</v>
      </c>
      <c r="G13" s="63">
        <v>-1.17996E-2</v>
      </c>
      <c r="H13" s="63" t="s">
        <v>162</v>
      </c>
      <c r="I13" s="63" t="s">
        <v>162</v>
      </c>
      <c r="J13" s="63" t="s">
        <v>162</v>
      </c>
      <c r="K13" s="63">
        <v>-1.0225E-2</v>
      </c>
    </row>
    <row r="14" spans="2:11" x14ac:dyDescent="0.3">
      <c r="B14" s="62" t="s">
        <v>184</v>
      </c>
      <c r="C14" s="62" t="s">
        <v>27</v>
      </c>
      <c r="D14" s="63" t="s">
        <v>162</v>
      </c>
      <c r="E14" s="63" t="s">
        <v>162</v>
      </c>
      <c r="F14" s="63" t="s">
        <v>162</v>
      </c>
      <c r="G14" s="63" t="s">
        <v>162</v>
      </c>
      <c r="H14" s="63">
        <v>1.058049</v>
      </c>
      <c r="I14" s="63">
        <v>1.1829769999999999</v>
      </c>
      <c r="J14" s="63" t="s">
        <v>162</v>
      </c>
      <c r="K14" s="63" t="s">
        <v>162</v>
      </c>
    </row>
    <row r="15" spans="2:11" x14ac:dyDescent="0.3">
      <c r="B15" s="62" t="s">
        <v>185</v>
      </c>
      <c r="C15" s="62" t="s">
        <v>186</v>
      </c>
      <c r="D15" s="63" t="s">
        <v>162</v>
      </c>
      <c r="E15" s="63" t="s">
        <v>162</v>
      </c>
      <c r="F15" s="63" t="s">
        <v>162</v>
      </c>
      <c r="G15" s="63" t="s">
        <v>162</v>
      </c>
      <c r="H15" s="63" t="s">
        <v>162</v>
      </c>
      <c r="I15" s="63">
        <v>0.31997969999999998</v>
      </c>
      <c r="J15" s="63" t="s">
        <v>162</v>
      </c>
      <c r="K15" s="63" t="s">
        <v>162</v>
      </c>
    </row>
    <row r="16" spans="2:11" x14ac:dyDescent="0.3">
      <c r="B16" s="62" t="s">
        <v>187</v>
      </c>
      <c r="C16" s="62" t="s">
        <v>188</v>
      </c>
      <c r="D16" s="63">
        <v>-8.9068070000000006</v>
      </c>
      <c r="E16" s="63">
        <v>-5.0366549999999997</v>
      </c>
      <c r="F16" s="63">
        <v>-5.4984289999999998</v>
      </c>
      <c r="G16" s="63">
        <v>-4.2031559999999999</v>
      </c>
      <c r="H16" s="63">
        <v>0.7485811</v>
      </c>
      <c r="I16" s="63">
        <v>0.74621009999999999</v>
      </c>
      <c r="J16" s="63">
        <v>-5.1073979999999999</v>
      </c>
      <c r="K16" s="63">
        <v>-3.944067</v>
      </c>
    </row>
    <row r="17" spans="2:7" x14ac:dyDescent="0.3">
      <c r="D17" s="64"/>
      <c r="E17" s="64"/>
      <c r="F17" s="64"/>
      <c r="G17" s="8"/>
    </row>
    <row r="18" spans="2:7" x14ac:dyDescent="0.3">
      <c r="B18" s="74"/>
      <c r="C18" s="8" t="s">
        <v>162</v>
      </c>
      <c r="D18" s="8"/>
      <c r="E18" s="8"/>
      <c r="F18" s="8"/>
      <c r="G18" s="8"/>
    </row>
    <row r="19" spans="2:7" x14ac:dyDescent="0.3">
      <c r="D19" s="8"/>
      <c r="E19" s="8"/>
      <c r="F19" s="8"/>
      <c r="G19" s="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
  <sheetViews>
    <sheetView showGridLines="0" workbookViewId="0"/>
  </sheetViews>
  <sheetFormatPr defaultRowHeight="14" x14ac:dyDescent="0.3"/>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K96"/>
  <sheetViews>
    <sheetView showGridLines="0"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8.6640625" defaultRowHeight="14.5" x14ac:dyDescent="0.35"/>
  <cols>
    <col min="1" max="1" width="12.1640625" style="10" bestFit="1" customWidth="1"/>
    <col min="2" max="2" width="10.5" style="10" customWidth="1"/>
    <col min="3" max="3" width="8.6640625" style="2"/>
    <col min="4" max="11" width="8.6640625" style="10"/>
    <col min="12" max="12" width="3" style="8" customWidth="1"/>
    <col min="13" max="20" width="14.5" style="10" customWidth="1"/>
    <col min="21" max="21" width="3" style="8" customWidth="1"/>
    <col min="22" max="25" width="10.58203125" style="8" customWidth="1"/>
    <col min="26" max="26" width="8.58203125" style="8"/>
    <col min="27" max="27" width="18.1640625" style="8" customWidth="1"/>
    <col min="28" max="29" width="13.1640625" style="8" customWidth="1"/>
    <col min="30" max="30" width="8.58203125" style="8"/>
    <col min="31" max="31" width="14.4140625" style="14" customWidth="1"/>
    <col min="32" max="32" width="13.4140625" style="14" customWidth="1"/>
    <col min="33" max="33" width="13" style="8" customWidth="1"/>
    <col min="34" max="34" width="8.58203125" style="8"/>
    <col min="35" max="35" width="17.58203125" style="8" customWidth="1"/>
    <col min="36" max="36" width="13" style="8" customWidth="1"/>
    <col min="37" max="37" width="14.5" style="8" customWidth="1"/>
    <col min="38" max="16384" width="8.6640625" style="10"/>
  </cols>
  <sheetData>
    <row r="1" spans="1:34" ht="15.5" x14ac:dyDescent="0.35">
      <c r="A1" s="65" t="s">
        <v>100</v>
      </c>
      <c r="L1" s="21"/>
      <c r="U1" s="21"/>
    </row>
    <row r="2" spans="1:34" ht="13" x14ac:dyDescent="0.3">
      <c r="A2" s="38"/>
      <c r="B2" s="38"/>
      <c r="C2" s="10"/>
      <c r="O2" s="26"/>
      <c r="R2" s="39"/>
      <c r="S2" s="39"/>
      <c r="AE2" s="27"/>
      <c r="AF2" s="27"/>
      <c r="AH2" s="28"/>
    </row>
    <row r="3" spans="1:34" ht="13" x14ac:dyDescent="0.3">
      <c r="A3" s="37"/>
      <c r="B3" s="37"/>
      <c r="C3" s="10"/>
      <c r="D3" s="68" t="s">
        <v>53</v>
      </c>
      <c r="E3" s="25"/>
      <c r="F3" s="25"/>
      <c r="G3" s="25"/>
      <c r="H3" s="25"/>
      <c r="I3" s="25"/>
      <c r="J3" s="25"/>
      <c r="K3" s="25"/>
      <c r="O3" s="40"/>
    </row>
    <row r="4" spans="1:34" ht="13" x14ac:dyDescent="0.3">
      <c r="A4" s="32"/>
      <c r="B4" s="32"/>
      <c r="C4" s="10"/>
      <c r="D4" s="69" t="s">
        <v>161</v>
      </c>
      <c r="E4" s="69" t="s">
        <v>161</v>
      </c>
      <c r="F4" s="69" t="s">
        <v>161</v>
      </c>
      <c r="G4" s="69" t="s">
        <v>161</v>
      </c>
      <c r="H4" s="69" t="s">
        <v>161</v>
      </c>
      <c r="I4" s="69" t="s">
        <v>161</v>
      </c>
      <c r="J4" s="69" t="s">
        <v>161</v>
      </c>
      <c r="K4" s="69" t="s">
        <v>161</v>
      </c>
      <c r="L4" s="14"/>
      <c r="U4" s="14"/>
    </row>
    <row r="5" spans="1:34" ht="13" x14ac:dyDescent="0.3">
      <c r="A5" s="35"/>
      <c r="B5" s="36"/>
      <c r="C5" s="10"/>
      <c r="D5" s="70">
        <f>INDEX(Controls!$C$24:$C$31,MATCH(D$6,Controls!$B$24:$B$31,0))</f>
        <v>0.5</v>
      </c>
      <c r="E5" s="70">
        <f>INDEX(Controls!$C$24:$C$31,MATCH(E$6,Controls!$B$24:$B$31,0))</f>
        <v>0.5</v>
      </c>
      <c r="F5" s="70">
        <f>INDEX(Controls!$C$24:$C$31,MATCH(F$6,Controls!$B$24:$B$31,0))</f>
        <v>0.5</v>
      </c>
      <c r="G5" s="70">
        <f>INDEX(Controls!$C$24:$C$31,MATCH(G$6,Controls!$B$24:$B$31,0))</f>
        <v>0.5</v>
      </c>
      <c r="H5" s="70">
        <f>INDEX(Controls!$C$24:$C$31,MATCH(H$6,Controls!$B$24:$B$31,0))</f>
        <v>0.5</v>
      </c>
      <c r="I5" s="70">
        <f>INDEX(Controls!$C$24:$C$31,MATCH(I$6,Controls!$B$24:$B$31,0))</f>
        <v>0.5</v>
      </c>
      <c r="J5" s="70">
        <f>INDEX(Controls!$C$24:$C$31,MATCH(J$6,Controls!$B$24:$B$31,0))</f>
        <v>0.5</v>
      </c>
      <c r="K5" s="70">
        <f>INDEX(Controls!$C$24:$C$31,MATCH(K$6,Controls!$B$24:$B$31,0))</f>
        <v>0.5</v>
      </c>
      <c r="L5" s="10"/>
      <c r="R5" s="70">
        <f>INDEX(Controls!$G$24:$G$25,MATCH(R$6,Controls!$F$24:$F$25,0))</f>
        <v>0.5</v>
      </c>
      <c r="S5" s="70">
        <f>INDEX(Controls!$G$24:$G$25,MATCH(S$6,Controls!$F$24:$F$25,0))</f>
        <v>0.5</v>
      </c>
      <c r="U5" s="10"/>
      <c r="Z5" s="74" t="s">
        <v>91</v>
      </c>
    </row>
    <row r="6" spans="1:34" ht="39" x14ac:dyDescent="0.3">
      <c r="A6" s="4" t="str">
        <f>'Forecast drivers'!B7</f>
        <v>Company code</v>
      </c>
      <c r="B6" s="4" t="str">
        <f>'Forecast drivers'!C7</f>
        <v>Financial year</v>
      </c>
      <c r="C6" s="31" t="str">
        <f>'Forecast drivers'!A7</f>
        <v>Unique id</v>
      </c>
      <c r="D6" s="5" t="s">
        <v>16</v>
      </c>
      <c r="E6" s="5" t="s">
        <v>17</v>
      </c>
      <c r="F6" s="5" t="s">
        <v>21</v>
      </c>
      <c r="G6" s="5" t="s">
        <v>22</v>
      </c>
      <c r="H6" s="5" t="s">
        <v>25</v>
      </c>
      <c r="I6" s="5" t="s">
        <v>26</v>
      </c>
      <c r="J6" s="5" t="s">
        <v>28</v>
      </c>
      <c r="K6" s="5" t="s">
        <v>29</v>
      </c>
      <c r="M6" s="30" t="s">
        <v>83</v>
      </c>
      <c r="N6" s="30" t="s">
        <v>84</v>
      </c>
      <c r="O6" s="30" t="s">
        <v>85</v>
      </c>
      <c r="P6" s="30" t="s">
        <v>24</v>
      </c>
      <c r="Q6" s="30" t="s">
        <v>86</v>
      </c>
      <c r="R6" s="30" t="s">
        <v>88</v>
      </c>
      <c r="S6" s="30" t="s">
        <v>89</v>
      </c>
      <c r="T6" s="71" t="s">
        <v>110</v>
      </c>
      <c r="V6" s="30" t="s">
        <v>199</v>
      </c>
      <c r="W6" s="30" t="s">
        <v>15</v>
      </c>
      <c r="X6" s="71" t="s">
        <v>106</v>
      </c>
      <c r="Z6" s="9" t="s">
        <v>11</v>
      </c>
      <c r="AA6" s="9" t="s">
        <v>66</v>
      </c>
      <c r="AB6" s="9" t="s">
        <v>92</v>
      </c>
      <c r="AC6" s="24" t="s">
        <v>93</v>
      </c>
    </row>
    <row r="7" spans="1:34" ht="13" x14ac:dyDescent="0.3">
      <c r="A7" s="4" t="str">
        <f>'Forecast drivers'!B8</f>
        <v>ANH</v>
      </c>
      <c r="B7" s="4">
        <f>'Forecast drivers'!C8</f>
        <v>2021</v>
      </c>
      <c r="C7" s="31" t="str">
        <f>'Forecast drivers'!A8</f>
        <v>ANH21</v>
      </c>
      <c r="D7" s="43">
        <f>EXP('Model Coeffs'!$D$16+'Model Coeffs'!$D$6*'Forecast drivers'!E8+'Model Coeffs'!$D$7*'Forecast drivers'!I8+'Model Coeffs'!$D$8*'Forecast drivers'!H8)</f>
        <v>118.36139894523173</v>
      </c>
      <c r="E7" s="43">
        <f>EXP('Model Coeffs'!$E$16+'Model Coeffs'!$E$6*'Forecast drivers'!E8+'Model Coeffs'!$E$7*'Forecast drivers'!I8+'Model Coeffs'!$E$9*'Forecast drivers'!M8)</f>
        <v>130.62956062696523</v>
      </c>
      <c r="F7" s="43">
        <f>EXP('Model Coeffs'!$F$16+'Model Coeffs'!$F$10*'Forecast drivers'!F8+'Model Coeffs'!$F$11*'Forecast drivers'!J8+'Model Coeffs'!$F$12*'Forecast drivers'!K8)</f>
        <v>167.94456890587966</v>
      </c>
      <c r="G7" s="43">
        <f>EXP('Model Coeffs'!$G$16+'Model Coeffs'!$G$10*'Forecast drivers'!F8+'Model Coeffs'!$G$12*'Forecast drivers'!K8+'Model Coeffs'!$G$13*'Forecast drivers'!L8)</f>
        <v>181.60198238485086</v>
      </c>
      <c r="H7" s="44">
        <f>EXP('Model Coeffs'!$H$16+'Model Coeffs'!$H$9*'Forecast drivers'!M8+'Model Coeffs'!$H$14*'Forecast drivers'!G8)</f>
        <v>67.764064520411367</v>
      </c>
      <c r="I7" s="44">
        <f>EXP('Model Coeffs'!$I$16+'Model Coeffs'!$I$14*'Forecast drivers'!G8+'Model Coeffs'!$I$15*'Forecast drivers'!N8)</f>
        <v>68.348550462216565</v>
      </c>
      <c r="J7" s="44">
        <f>EXP('Model Coeffs'!$J$16+'Model Coeffs'!$J$10*'Forecast drivers'!F8+'Model Coeffs'!$J$11*'Forecast drivers'!J8+'Model Coeffs'!$J$12*'Forecast drivers'!K8)</f>
        <v>225.15978798453352</v>
      </c>
      <c r="K7" s="44">
        <f>EXP('Model Coeffs'!$K$16+'Model Coeffs'!$K$10*'Forecast drivers'!F8+'Model Coeffs'!$K$12*'Forecast drivers'!K8+'Model Coeffs'!$K$13*'Forecast drivers'!L8)</f>
        <v>240.47355701052149</v>
      </c>
      <c r="L7" s="66"/>
      <c r="M7" s="139">
        <f>D$5*D7+E$5*E7</f>
        <v>124.49547978609849</v>
      </c>
      <c r="N7" s="139">
        <f>F$5*F7+G$5*G7</f>
        <v>174.77327564536526</v>
      </c>
      <c r="O7" s="139">
        <f>M7+N7</f>
        <v>299.26875543146377</v>
      </c>
      <c r="P7" s="139">
        <f>H$5*H7+I$5*I7</f>
        <v>68.056307491313959</v>
      </c>
      <c r="Q7" s="139">
        <f>J$5*J7+K$5*K7</f>
        <v>232.81667249752752</v>
      </c>
      <c r="R7" s="139">
        <f>M7+N7+P7</f>
        <v>367.32506292277776</v>
      </c>
      <c r="S7" s="139">
        <f>M7+Q7</f>
        <v>357.31215228362601</v>
      </c>
      <c r="T7" s="140">
        <f>R$5*R7+S$5*S7</f>
        <v>362.31860760320188</v>
      </c>
      <c r="V7" s="139">
        <f>Controls!$E$14*T7</f>
        <v>349.04025606878758</v>
      </c>
      <c r="W7" s="149">
        <f>-(INDEX(Controls!$E$16:$E$20,MATCH($B7,Controls!$B$16:$B$20,0),0))*$V7</f>
        <v>-5.2356038410317796</v>
      </c>
      <c r="X7" s="98">
        <f>V7+W7</f>
        <v>343.80465222775581</v>
      </c>
      <c r="Z7" s="75" t="s">
        <v>2</v>
      </c>
      <c r="AA7" s="76">
        <f>SUMIFS('BP costs'!$I$7:$I$71,'BP costs'!$B$7:$B$71,$Z7)</f>
        <v>2032.9868413776496</v>
      </c>
      <c r="AB7" s="76">
        <f t="shared" ref="AB7:AB16" si="0">SUMIF($A$7:$A$66,$Z7,T$7:T$66)</f>
        <v>1829.136722860891</v>
      </c>
      <c r="AC7" s="158">
        <f t="shared" ref="AC7:AC17" si="1">AA7/AB7</f>
        <v>1.1114460805302315</v>
      </c>
    </row>
    <row r="8" spans="1:34" ht="13" x14ac:dyDescent="0.3">
      <c r="A8" s="4" t="str">
        <f>'Forecast drivers'!B9</f>
        <v>ANH</v>
      </c>
      <c r="B8" s="4">
        <f>'Forecast drivers'!C9</f>
        <v>2022</v>
      </c>
      <c r="C8" s="31" t="str">
        <f>'Forecast drivers'!A9</f>
        <v>ANH22</v>
      </c>
      <c r="D8" s="43">
        <f>EXP('Model Coeffs'!$D$16+'Model Coeffs'!$D$6*'Forecast drivers'!E9+'Model Coeffs'!$D$7*'Forecast drivers'!I9+'Model Coeffs'!$D$8*'Forecast drivers'!H9)</f>
        <v>119.21064305439459</v>
      </c>
      <c r="E8" s="43">
        <f>EXP('Model Coeffs'!$E$16+'Model Coeffs'!$E$6*'Forecast drivers'!E9+'Model Coeffs'!$E$7*'Forecast drivers'!I9+'Model Coeffs'!$E$9*'Forecast drivers'!M9)</f>
        <v>130.78759023667902</v>
      </c>
      <c r="F8" s="43">
        <f>EXP('Model Coeffs'!$F$16+'Model Coeffs'!$F$10*'Forecast drivers'!F9+'Model Coeffs'!$F$11*'Forecast drivers'!J9+'Model Coeffs'!$F$12*'Forecast drivers'!K9)</f>
        <v>168.64437971144994</v>
      </c>
      <c r="G8" s="43">
        <f>EXP('Model Coeffs'!$G$16+'Model Coeffs'!$G$10*'Forecast drivers'!F9+'Model Coeffs'!$G$12*'Forecast drivers'!K9+'Model Coeffs'!$G$13*'Forecast drivers'!L9)</f>
        <v>182.34344964678633</v>
      </c>
      <c r="H8" s="44">
        <f>EXP('Model Coeffs'!$H$16+'Model Coeffs'!$H$9*'Forecast drivers'!M9+'Model Coeffs'!$H$14*'Forecast drivers'!G9)</f>
        <v>68.437964069205051</v>
      </c>
      <c r="I8" s="44">
        <f>EXP('Model Coeffs'!$I$16+'Model Coeffs'!$I$14*'Forecast drivers'!G9+'Model Coeffs'!$I$15*'Forecast drivers'!N9)</f>
        <v>68.982964910430425</v>
      </c>
      <c r="J8" s="44">
        <f>EXP('Model Coeffs'!$J$16+'Model Coeffs'!$J$10*'Forecast drivers'!F9+'Model Coeffs'!$J$11*'Forecast drivers'!J9+'Model Coeffs'!$J$12*'Forecast drivers'!K9)</f>
        <v>226.08971138312288</v>
      </c>
      <c r="K8" s="44">
        <f>EXP('Model Coeffs'!$K$16+'Model Coeffs'!$K$10*'Forecast drivers'!F9+'Model Coeffs'!$K$12*'Forecast drivers'!K9+'Model Coeffs'!$K$13*'Forecast drivers'!L9)</f>
        <v>241.44507085370822</v>
      </c>
      <c r="L8" s="66"/>
      <c r="M8" s="139">
        <f t="shared" ref="M8:M56" si="2">D$5*D8+E$5*E8</f>
        <v>124.99911664553682</v>
      </c>
      <c r="N8" s="139">
        <f t="shared" ref="N8:N56" si="3">F$5*F8+G$5*G8</f>
        <v>175.49391467911812</v>
      </c>
      <c r="O8" s="139">
        <f t="shared" ref="O8:O56" si="4">M8+N8</f>
        <v>300.49303132465491</v>
      </c>
      <c r="P8" s="139">
        <f t="shared" ref="P8:P56" si="5">H$5*H8+I$5*I8</f>
        <v>68.710464489817738</v>
      </c>
      <c r="Q8" s="139">
        <f t="shared" ref="Q8:Q56" si="6">J$5*J8+K$5*K8</f>
        <v>233.76739111841556</v>
      </c>
      <c r="R8" s="139">
        <f t="shared" ref="R8:R56" si="7">M8+N8+P8</f>
        <v>369.20349581447266</v>
      </c>
      <c r="S8" s="139">
        <f t="shared" ref="S8:S56" si="8">M8+Q8</f>
        <v>358.7665077639524</v>
      </c>
      <c r="T8" s="140">
        <f t="shared" ref="T8:T56" si="9">R$5*R8+S$5*S8</f>
        <v>363.98500178921256</v>
      </c>
      <c r="V8" s="139">
        <f>Controls!$E$14*T8</f>
        <v>350.64557978440996</v>
      </c>
      <c r="W8" s="149">
        <f>-(INDEX(Controls!$E$16:$E$20,MATCH($B8,Controls!$B$16:$B$20,0),0))*$V8</f>
        <v>-10.563198091005257</v>
      </c>
      <c r="X8" s="98">
        <f t="shared" ref="X8:X66" si="10">V8+W8</f>
        <v>340.08238169340473</v>
      </c>
      <c r="Z8" s="75" t="s">
        <v>3</v>
      </c>
      <c r="AA8" s="76">
        <f>SUMIFS('BP costs'!$I$7:$I$71,'BP costs'!$B$7:$B$71,$Z8)</f>
        <v>730.10560500000008</v>
      </c>
      <c r="AB8" s="76">
        <f t="shared" si="0"/>
        <v>744.77677586120626</v>
      </c>
      <c r="AC8" s="158">
        <f t="shared" si="1"/>
        <v>0.9803012508758191</v>
      </c>
    </row>
    <row r="9" spans="1:34" ht="13" x14ac:dyDescent="0.3">
      <c r="A9" s="4" t="str">
        <f>'Forecast drivers'!B10</f>
        <v>ANH</v>
      </c>
      <c r="B9" s="4">
        <f>'Forecast drivers'!C10</f>
        <v>2023</v>
      </c>
      <c r="C9" s="31" t="str">
        <f>'Forecast drivers'!A10</f>
        <v>ANH23</v>
      </c>
      <c r="D9" s="43">
        <f>EXP('Model Coeffs'!$D$16+'Model Coeffs'!$D$6*'Forecast drivers'!E10+'Model Coeffs'!$D$7*'Forecast drivers'!I10+'Model Coeffs'!$D$8*'Forecast drivers'!H10)</f>
        <v>120.0605213134161</v>
      </c>
      <c r="E9" s="43">
        <f>EXP('Model Coeffs'!$E$16+'Model Coeffs'!$E$6*'Forecast drivers'!E10+'Model Coeffs'!$E$7*'Forecast drivers'!I10+'Model Coeffs'!$E$9*'Forecast drivers'!M10)</f>
        <v>130.94554351501506</v>
      </c>
      <c r="F9" s="43">
        <f>EXP('Model Coeffs'!$F$16+'Model Coeffs'!$F$10*'Forecast drivers'!F10+'Model Coeffs'!$F$11*'Forecast drivers'!J10+'Model Coeffs'!$F$12*'Forecast drivers'!K10)</f>
        <v>169.3434403945981</v>
      </c>
      <c r="G9" s="43">
        <f>EXP('Model Coeffs'!$G$16+'Model Coeffs'!$G$10*'Forecast drivers'!F10+'Model Coeffs'!$G$12*'Forecast drivers'!K10+'Model Coeffs'!$G$13*'Forecast drivers'!L10)</f>
        <v>183.08406034525041</v>
      </c>
      <c r="H9" s="44">
        <f>EXP('Model Coeffs'!$H$16+'Model Coeffs'!$H$9*'Forecast drivers'!M10+'Model Coeffs'!$H$14*'Forecast drivers'!G10)</f>
        <v>69.088315468952501</v>
      </c>
      <c r="I9" s="44">
        <f>EXP('Model Coeffs'!$I$16+'Model Coeffs'!$I$14*'Forecast drivers'!G10+'Model Coeffs'!$I$15*'Forecast drivers'!N10)</f>
        <v>69.589920397475282</v>
      </c>
      <c r="J9" s="44">
        <f>EXP('Model Coeffs'!$J$16+'Model Coeffs'!$J$10*'Forecast drivers'!F10+'Model Coeffs'!$J$11*'Forecast drivers'!J10+'Model Coeffs'!$J$12*'Forecast drivers'!K10)</f>
        <v>227.01860399803144</v>
      </c>
      <c r="K9" s="44">
        <f>EXP('Model Coeffs'!$K$16+'Model Coeffs'!$K$10*'Forecast drivers'!F10+'Model Coeffs'!$K$12*'Forecast drivers'!K10+'Model Coeffs'!$K$13*'Forecast drivers'!L10)</f>
        <v>242.41542100347337</v>
      </c>
      <c r="L9" s="66"/>
      <c r="M9" s="139">
        <f t="shared" si="2"/>
        <v>125.50303241421558</v>
      </c>
      <c r="N9" s="139">
        <f t="shared" si="3"/>
        <v>176.21375036992424</v>
      </c>
      <c r="O9" s="139">
        <f t="shared" si="4"/>
        <v>301.71678278413981</v>
      </c>
      <c r="P9" s="139">
        <f t="shared" si="5"/>
        <v>69.339117933213885</v>
      </c>
      <c r="Q9" s="139">
        <f t="shared" si="6"/>
        <v>234.71701250075239</v>
      </c>
      <c r="R9" s="139">
        <f t="shared" si="7"/>
        <v>371.05590071735367</v>
      </c>
      <c r="S9" s="139">
        <f t="shared" si="8"/>
        <v>360.22004491496796</v>
      </c>
      <c r="T9" s="140">
        <f t="shared" si="9"/>
        <v>365.63797281616081</v>
      </c>
      <c r="V9" s="139">
        <f>Controls!$E$14*T9</f>
        <v>352.23797227657849</v>
      </c>
      <c r="W9" s="149">
        <f>-(INDEX(Controls!$E$16:$E$20,MATCH($B9,Controls!$B$16:$B$20,0),0))*$V9</f>
        <v>-15.9831942597684</v>
      </c>
      <c r="X9" s="98">
        <f t="shared" si="10"/>
        <v>336.25477801681006</v>
      </c>
      <c r="Z9" s="75" t="s">
        <v>4</v>
      </c>
      <c r="AA9" s="76">
        <f>SUMIFS('BP costs'!$I$7:$I$71,'BP costs'!$B$7:$B$71,$Z9)</f>
        <v>2043.8431992269902</v>
      </c>
      <c r="AB9" s="76">
        <f t="shared" si="0"/>
        <v>2030.1319445118143</v>
      </c>
      <c r="AC9" s="158">
        <f t="shared" si="1"/>
        <v>1.0067538736840442</v>
      </c>
    </row>
    <row r="10" spans="1:34" ht="13" x14ac:dyDescent="0.3">
      <c r="A10" s="4" t="str">
        <f>'Forecast drivers'!B11</f>
        <v>ANH</v>
      </c>
      <c r="B10" s="4">
        <f>'Forecast drivers'!C11</f>
        <v>2024</v>
      </c>
      <c r="C10" s="31" t="str">
        <f>'Forecast drivers'!A11</f>
        <v>ANH24</v>
      </c>
      <c r="D10" s="43">
        <f>EXP('Model Coeffs'!$D$16+'Model Coeffs'!$D$6*'Forecast drivers'!E11+'Model Coeffs'!$D$7*'Forecast drivers'!I11+'Model Coeffs'!$D$8*'Forecast drivers'!H11)</f>
        <v>120.91102468210759</v>
      </c>
      <c r="E10" s="43">
        <f>EXP('Model Coeffs'!$E$16+'Model Coeffs'!$E$6*'Forecast drivers'!E11+'Model Coeffs'!$E$7*'Forecast drivers'!I11+'Model Coeffs'!$E$9*'Forecast drivers'!M11)</f>
        <v>131.10342062761836</v>
      </c>
      <c r="F10" s="43">
        <f>EXP('Model Coeffs'!$F$16+'Model Coeffs'!$F$10*'Forecast drivers'!F11+'Model Coeffs'!$F$11*'Forecast drivers'!J11+'Model Coeffs'!$F$12*'Forecast drivers'!K11)</f>
        <v>170.04175564836368</v>
      </c>
      <c r="G10" s="43">
        <f>EXP('Model Coeffs'!$G$16+'Model Coeffs'!$G$10*'Forecast drivers'!F11+'Model Coeffs'!$G$12*'Forecast drivers'!K11+'Model Coeffs'!$G$13*'Forecast drivers'!L11)</f>
        <v>183.82381991004399</v>
      </c>
      <c r="H10" s="44">
        <f>EXP('Model Coeffs'!$H$16+'Model Coeffs'!$H$9*'Forecast drivers'!M11+'Model Coeffs'!$H$14*'Forecast drivers'!G11)</f>
        <v>69.724662997805339</v>
      </c>
      <c r="I10" s="44">
        <f>EXP('Model Coeffs'!$I$16+'Model Coeffs'!$I$14*'Forecast drivers'!G11+'Model Coeffs'!$I$15*'Forecast drivers'!N11)</f>
        <v>70.180219476674552</v>
      </c>
      <c r="J10" s="44">
        <f>EXP('Model Coeffs'!$J$16+'Model Coeffs'!$J$10*'Forecast drivers'!F11+'Model Coeffs'!$J$11*'Forecast drivers'!J11+'Model Coeffs'!$J$12*'Forecast drivers'!K11)</f>
        <v>227.94647231561905</v>
      </c>
      <c r="K10" s="44">
        <f>EXP('Model Coeffs'!$K$16+'Model Coeffs'!$K$10*'Forecast drivers'!F11+'Model Coeffs'!$K$12*'Forecast drivers'!K11+'Model Coeffs'!$K$13*'Forecast drivers'!L11)</f>
        <v>243.38461488570351</v>
      </c>
      <c r="L10" s="66"/>
      <c r="M10" s="139">
        <f t="shared" si="2"/>
        <v>126.00722265486297</v>
      </c>
      <c r="N10" s="139">
        <f t="shared" si="3"/>
        <v>176.93278777920384</v>
      </c>
      <c r="O10" s="139">
        <f t="shared" si="4"/>
        <v>302.94001043406683</v>
      </c>
      <c r="P10" s="139">
        <f t="shared" si="5"/>
        <v>69.952441237239952</v>
      </c>
      <c r="Q10" s="139">
        <f t="shared" si="6"/>
        <v>235.66554360066129</v>
      </c>
      <c r="R10" s="139">
        <f t="shared" si="7"/>
        <v>372.89245167130679</v>
      </c>
      <c r="S10" s="139">
        <f t="shared" si="8"/>
        <v>361.67276625552427</v>
      </c>
      <c r="T10" s="140">
        <f t="shared" si="9"/>
        <v>367.28260896341556</v>
      </c>
      <c r="V10" s="139">
        <f>Controls!$E$14*T10</f>
        <v>353.82233534800667</v>
      </c>
      <c r="W10" s="149">
        <f>-(INDEX(Controls!$E$16:$E$20,MATCH($B10,Controls!$B$16:$B$20,0),0))*$V10</f>
        <v>-21.496302832262561</v>
      </c>
      <c r="X10" s="98">
        <f t="shared" si="10"/>
        <v>332.32603251574409</v>
      </c>
      <c r="Z10" s="75" t="s">
        <v>5</v>
      </c>
      <c r="AA10" s="76">
        <f>SUMIFS('BP costs'!$I$7:$I$71,'BP costs'!$B$7:$B$71,$Z10)</f>
        <v>1434.9898899999998</v>
      </c>
      <c r="AB10" s="76">
        <f t="shared" si="0"/>
        <v>1431.0649236188403</v>
      </c>
      <c r="AC10" s="158">
        <f t="shared" si="1"/>
        <v>1.0027426892493698</v>
      </c>
    </row>
    <row r="11" spans="1:34" ht="13" x14ac:dyDescent="0.3">
      <c r="A11" s="4" t="str">
        <f>'Forecast drivers'!B12</f>
        <v>ANH</v>
      </c>
      <c r="B11" s="4">
        <f>'Forecast drivers'!C12</f>
        <v>2025</v>
      </c>
      <c r="C11" s="31" t="str">
        <f>'Forecast drivers'!A12</f>
        <v>ANH25</v>
      </c>
      <c r="D11" s="43">
        <f>EXP('Model Coeffs'!$D$16+'Model Coeffs'!$D$6*'Forecast drivers'!E12+'Model Coeffs'!$D$7*'Forecast drivers'!I12+'Model Coeffs'!$D$8*'Forecast drivers'!H12)</f>
        <v>121.76214423200199</v>
      </c>
      <c r="E11" s="43">
        <f>EXP('Model Coeffs'!$E$16+'Model Coeffs'!$E$6*'Forecast drivers'!E12+'Model Coeffs'!$E$7*'Forecast drivers'!I12+'Model Coeffs'!$E$9*'Forecast drivers'!M12)</f>
        <v>131.26122173949628</v>
      </c>
      <c r="F11" s="43">
        <f>EXP('Model Coeffs'!$F$16+'Model Coeffs'!$F$10*'Forecast drivers'!F12+'Model Coeffs'!$F$11*'Forecast drivers'!J12+'Model Coeffs'!$F$12*'Forecast drivers'!K12)</f>
        <v>170.73933011234445</v>
      </c>
      <c r="G11" s="43">
        <f>EXP('Model Coeffs'!$G$16+'Model Coeffs'!$G$10*'Forecast drivers'!F12+'Model Coeffs'!$G$12*'Forecast drivers'!K12+'Model Coeffs'!$G$13*'Forecast drivers'!L12)</f>
        <v>184.56273370869059</v>
      </c>
      <c r="H11" s="44">
        <f>EXP('Model Coeffs'!$H$16+'Model Coeffs'!$H$9*'Forecast drivers'!M12+'Model Coeffs'!$H$14*'Forecast drivers'!G12)</f>
        <v>72.216195095355758</v>
      </c>
      <c r="I11" s="44">
        <f>EXP('Model Coeffs'!$I$16+'Model Coeffs'!$I$14*'Forecast drivers'!G12+'Model Coeffs'!$I$15*'Forecast drivers'!N12)</f>
        <v>72.859153307262289</v>
      </c>
      <c r="J11" s="44">
        <f>EXP('Model Coeffs'!$J$16+'Model Coeffs'!$J$10*'Forecast drivers'!F12+'Model Coeffs'!$J$11*'Forecast drivers'!J12+'Model Coeffs'!$J$12*'Forecast drivers'!K12)</f>
        <v>228.87332274814875</v>
      </c>
      <c r="K11" s="44">
        <f>EXP('Model Coeffs'!$K$16+'Model Coeffs'!$K$10*'Forecast drivers'!F12+'Model Coeffs'!$K$12*'Forecast drivers'!K12+'Model Coeffs'!$K$13*'Forecast drivers'!L12)</f>
        <v>244.3526598408024</v>
      </c>
      <c r="L11" s="66"/>
      <c r="M11" s="139">
        <f t="shared" si="2"/>
        <v>126.51168298574913</v>
      </c>
      <c r="N11" s="139">
        <f t="shared" si="3"/>
        <v>177.65103191051753</v>
      </c>
      <c r="O11" s="139">
        <f t="shared" si="4"/>
        <v>304.16271489626666</v>
      </c>
      <c r="P11" s="139">
        <f t="shared" si="5"/>
        <v>72.537674201309017</v>
      </c>
      <c r="Q11" s="139">
        <f t="shared" si="6"/>
        <v>236.61299129447559</v>
      </c>
      <c r="R11" s="139">
        <f t="shared" si="7"/>
        <v>376.70038909757568</v>
      </c>
      <c r="S11" s="139">
        <f t="shared" si="8"/>
        <v>363.12467428022472</v>
      </c>
      <c r="T11" s="140">
        <f t="shared" si="9"/>
        <v>369.91253168890023</v>
      </c>
      <c r="V11" s="139">
        <f>Controls!$E$14*T11</f>
        <v>356.35587594537395</v>
      </c>
      <c r="W11" s="149">
        <f>-(INDEX(Controls!$E$16:$E$20,MATCH($B11,Controls!$B$16:$B$20,0),0))*$V11</f>
        <v>-27.176163512593931</v>
      </c>
      <c r="X11" s="98">
        <f t="shared" si="10"/>
        <v>329.17971243278004</v>
      </c>
      <c r="Z11" s="75" t="s">
        <v>67</v>
      </c>
      <c r="AA11" s="76">
        <f>SUMIFS('BP costs'!$I$7:$I$71,'BP costs'!$B$7:$B$71,$Z11)</f>
        <v>2036.2897270528772</v>
      </c>
      <c r="AB11" s="76">
        <f t="shared" si="0"/>
        <v>2442.6909823796004</v>
      </c>
      <c r="AC11" s="158">
        <f t="shared" si="1"/>
        <v>0.83362559641874201</v>
      </c>
    </row>
    <row r="12" spans="1:34" ht="13" x14ac:dyDescent="0.3">
      <c r="A12" s="4" t="str">
        <f>'Forecast drivers'!B13</f>
        <v>NES</v>
      </c>
      <c r="B12" s="4">
        <f>'Forecast drivers'!C13</f>
        <v>2021</v>
      </c>
      <c r="C12" s="31" t="str">
        <f>'Forecast drivers'!A13</f>
        <v>NES21</v>
      </c>
      <c r="D12" s="43">
        <f>EXP('Model Coeffs'!$D$16+'Model Coeffs'!$D$6*'Forecast drivers'!E13+'Model Coeffs'!$D$7*'Forecast drivers'!I13+'Model Coeffs'!$D$8*'Forecast drivers'!H13)</f>
        <v>60.311099125945489</v>
      </c>
      <c r="E12" s="43">
        <f>EXP('Model Coeffs'!$E$16+'Model Coeffs'!$E$6*'Forecast drivers'!E13+'Model Coeffs'!$E$7*'Forecast drivers'!I13+'Model Coeffs'!$E$9*'Forecast drivers'!M13)</f>
        <v>49.159617421480647</v>
      </c>
      <c r="F12" s="43">
        <f>EXP('Model Coeffs'!$F$16+'Model Coeffs'!$F$10*'Forecast drivers'!F13+'Model Coeffs'!$F$11*'Forecast drivers'!J13+'Model Coeffs'!$F$12*'Forecast drivers'!K13)</f>
        <v>69.190984788904942</v>
      </c>
      <c r="G12" s="43">
        <f>EXP('Model Coeffs'!$G$16+'Model Coeffs'!$G$10*'Forecast drivers'!F13+'Model Coeffs'!$G$12*'Forecast drivers'!K13+'Model Coeffs'!$G$13*'Forecast drivers'!L13)</f>
        <v>68.059827766836491</v>
      </c>
      <c r="H12" s="44">
        <f>EXP('Model Coeffs'!$H$16+'Model Coeffs'!$H$9*'Forecast drivers'!M13+'Model Coeffs'!$H$14*'Forecast drivers'!G13)</f>
        <v>26.642700617095358</v>
      </c>
      <c r="I12" s="44">
        <f>EXP('Model Coeffs'!$I$16+'Model Coeffs'!$I$14*'Forecast drivers'!G13+'Model Coeffs'!$I$15*'Forecast drivers'!N13)</f>
        <v>25.670533396709104</v>
      </c>
      <c r="J12" s="44">
        <f>EXP('Model Coeffs'!$J$16+'Model Coeffs'!$J$10*'Forecast drivers'!F13+'Model Coeffs'!$J$11*'Forecast drivers'!J13+'Model Coeffs'!$J$12*'Forecast drivers'!K13)</f>
        <v>92.992301451108219</v>
      </c>
      <c r="K12" s="44">
        <f>EXP('Model Coeffs'!$K$16+'Model Coeffs'!$K$10*'Forecast drivers'!F13+'Model Coeffs'!$K$12*'Forecast drivers'!K13+'Model Coeffs'!$K$13*'Forecast drivers'!L13)</f>
        <v>91.734552638754749</v>
      </c>
      <c r="L12" s="66"/>
      <c r="M12" s="139">
        <f t="shared" si="2"/>
        <v>54.735358273713068</v>
      </c>
      <c r="N12" s="139">
        <f t="shared" si="3"/>
        <v>68.625406277870724</v>
      </c>
      <c r="O12" s="139">
        <f t="shared" si="4"/>
        <v>123.3607645515838</v>
      </c>
      <c r="P12" s="139">
        <f t="shared" si="5"/>
        <v>26.156617006902231</v>
      </c>
      <c r="Q12" s="139">
        <f t="shared" si="6"/>
        <v>92.363427044931484</v>
      </c>
      <c r="R12" s="139">
        <f t="shared" si="7"/>
        <v>149.51738155848602</v>
      </c>
      <c r="S12" s="139">
        <f t="shared" si="8"/>
        <v>147.09878531864456</v>
      </c>
      <c r="T12" s="140">
        <f t="shared" si="9"/>
        <v>148.30808343856529</v>
      </c>
      <c r="V12" s="139">
        <f>Controls!$E$14*T12</f>
        <v>142.87284818989926</v>
      </c>
      <c r="W12" s="149">
        <f>-(INDEX(Controls!$E$16:$E$20,MATCH($B12,Controls!$B$16:$B$20,0),0))*$V12</f>
        <v>-2.1430927228484751</v>
      </c>
      <c r="X12" s="98">
        <f t="shared" si="10"/>
        <v>140.72975546705078</v>
      </c>
      <c r="Z12" s="75" t="s">
        <v>10</v>
      </c>
      <c r="AA12" s="76">
        <f>SUMIFS('BP costs'!$I$7:$I$71,'BP costs'!$B$7:$B$71,$Z12)</f>
        <v>681.99400000000003</v>
      </c>
      <c r="AB12" s="76">
        <f t="shared" si="0"/>
        <v>700.19153665263775</v>
      </c>
      <c r="AC12" s="158">
        <f t="shared" si="1"/>
        <v>0.97401063037746283</v>
      </c>
    </row>
    <row r="13" spans="1:34" ht="13" x14ac:dyDescent="0.3">
      <c r="A13" s="4" t="str">
        <f>'Forecast drivers'!B14</f>
        <v>NES</v>
      </c>
      <c r="B13" s="4">
        <f>'Forecast drivers'!C14</f>
        <v>2022</v>
      </c>
      <c r="C13" s="31" t="str">
        <f>'Forecast drivers'!A14</f>
        <v>NES22</v>
      </c>
      <c r="D13" s="43">
        <f>EXP('Model Coeffs'!$D$16+'Model Coeffs'!$D$6*'Forecast drivers'!E14+'Model Coeffs'!$D$7*'Forecast drivers'!I14+'Model Coeffs'!$D$8*'Forecast drivers'!H14)</f>
        <v>60.63148872214034</v>
      </c>
      <c r="E13" s="43">
        <f>EXP('Model Coeffs'!$E$16+'Model Coeffs'!$E$6*'Forecast drivers'!E14+'Model Coeffs'!$E$7*'Forecast drivers'!I14+'Model Coeffs'!$E$9*'Forecast drivers'!M14)</f>
        <v>49.197129603938969</v>
      </c>
      <c r="F13" s="43">
        <f>EXP('Model Coeffs'!$F$16+'Model Coeffs'!$F$10*'Forecast drivers'!F14+'Model Coeffs'!$F$11*'Forecast drivers'!J14+'Model Coeffs'!$F$12*'Forecast drivers'!K14)</f>
        <v>69.190984788904942</v>
      </c>
      <c r="G13" s="43">
        <f>EXP('Model Coeffs'!$G$16+'Model Coeffs'!$G$10*'Forecast drivers'!F14+'Model Coeffs'!$G$12*'Forecast drivers'!K14+'Model Coeffs'!$G$13*'Forecast drivers'!L14)</f>
        <v>68.059827766836491</v>
      </c>
      <c r="H13" s="44">
        <f>EXP('Model Coeffs'!$H$16+'Model Coeffs'!$H$9*'Forecast drivers'!M14+'Model Coeffs'!$H$14*'Forecast drivers'!G14)</f>
        <v>26.952997785262284</v>
      </c>
      <c r="I13" s="44">
        <f>EXP('Model Coeffs'!$I$16+'Model Coeffs'!$I$14*'Forecast drivers'!G14+'Model Coeffs'!$I$15*'Forecast drivers'!N14)</f>
        <v>25.970664575656265</v>
      </c>
      <c r="J13" s="44">
        <f>EXP('Model Coeffs'!$J$16+'Model Coeffs'!$J$10*'Forecast drivers'!F14+'Model Coeffs'!$J$11*'Forecast drivers'!J14+'Model Coeffs'!$J$12*'Forecast drivers'!K14)</f>
        <v>92.992301451108219</v>
      </c>
      <c r="K13" s="44">
        <f>EXP('Model Coeffs'!$K$16+'Model Coeffs'!$K$10*'Forecast drivers'!F14+'Model Coeffs'!$K$12*'Forecast drivers'!K14+'Model Coeffs'!$K$13*'Forecast drivers'!L14)</f>
        <v>91.734552638754749</v>
      </c>
      <c r="L13" s="66"/>
      <c r="M13" s="139">
        <f t="shared" si="2"/>
        <v>54.914309163039654</v>
      </c>
      <c r="N13" s="139">
        <f t="shared" si="3"/>
        <v>68.625406277870724</v>
      </c>
      <c r="O13" s="139">
        <f t="shared" si="4"/>
        <v>123.53971544091038</v>
      </c>
      <c r="P13" s="139">
        <f t="shared" si="5"/>
        <v>26.461831180459274</v>
      </c>
      <c r="Q13" s="139">
        <f t="shared" si="6"/>
        <v>92.363427044931484</v>
      </c>
      <c r="R13" s="139">
        <f t="shared" si="7"/>
        <v>150.00154662136967</v>
      </c>
      <c r="S13" s="139">
        <f t="shared" si="8"/>
        <v>147.27773620797115</v>
      </c>
      <c r="T13" s="140">
        <f t="shared" si="9"/>
        <v>148.63964141467039</v>
      </c>
      <c r="V13" s="139">
        <f>Controls!$E$14*T13</f>
        <v>143.19225513851535</v>
      </c>
      <c r="W13" s="149">
        <f>-(INDEX(Controls!$E$16:$E$20,MATCH($B13,Controls!$B$16:$B$20,0),0))*$V13</f>
        <v>-4.3136666860477373</v>
      </c>
      <c r="X13" s="98">
        <f t="shared" si="10"/>
        <v>138.87858845246762</v>
      </c>
      <c r="Z13" s="75" t="s">
        <v>7</v>
      </c>
      <c r="AA13" s="76">
        <f>SUMIFS('BP costs'!$I$7:$I$71,'BP costs'!$B$7:$B$71,$Z13)</f>
        <v>3655.6821809643325</v>
      </c>
      <c r="AB13" s="76">
        <f t="shared" si="0"/>
        <v>3746.3828031070625</v>
      </c>
      <c r="AC13" s="158">
        <f t="shared" si="1"/>
        <v>0.97578981462665604</v>
      </c>
    </row>
    <row r="14" spans="1:34" ht="13" x14ac:dyDescent="0.3">
      <c r="A14" s="4" t="str">
        <f>'Forecast drivers'!B15</f>
        <v>NES</v>
      </c>
      <c r="B14" s="4">
        <f>'Forecast drivers'!C15</f>
        <v>2023</v>
      </c>
      <c r="C14" s="31" t="str">
        <f>'Forecast drivers'!A15</f>
        <v>NES23</v>
      </c>
      <c r="D14" s="43">
        <f>EXP('Model Coeffs'!$D$16+'Model Coeffs'!$D$6*'Forecast drivers'!E15+'Model Coeffs'!$D$7*'Forecast drivers'!I15+'Model Coeffs'!$D$8*'Forecast drivers'!H15)</f>
        <v>60.952105723640386</v>
      </c>
      <c r="E14" s="43">
        <f>EXP('Model Coeffs'!$E$16+'Model Coeffs'!$E$6*'Forecast drivers'!E15+'Model Coeffs'!$E$7*'Forecast drivers'!I15+'Model Coeffs'!$E$9*'Forecast drivers'!M15)</f>
        <v>49.234630350377444</v>
      </c>
      <c r="F14" s="43">
        <f>EXP('Model Coeffs'!$F$16+'Model Coeffs'!$F$10*'Forecast drivers'!F15+'Model Coeffs'!$F$11*'Forecast drivers'!J15+'Model Coeffs'!$F$12*'Forecast drivers'!K15)</f>
        <v>69.190984788904942</v>
      </c>
      <c r="G14" s="43">
        <f>EXP('Model Coeffs'!$G$16+'Model Coeffs'!$G$10*'Forecast drivers'!F15+'Model Coeffs'!$G$12*'Forecast drivers'!K15+'Model Coeffs'!$G$13*'Forecast drivers'!L15)</f>
        <v>68.059827766836491</v>
      </c>
      <c r="H14" s="44">
        <f>EXP('Model Coeffs'!$H$16+'Model Coeffs'!$H$9*'Forecast drivers'!M15+'Model Coeffs'!$H$14*'Forecast drivers'!G15)</f>
        <v>27.224668755082071</v>
      </c>
      <c r="I14" s="44">
        <f>EXP('Model Coeffs'!$I$16+'Model Coeffs'!$I$14*'Forecast drivers'!G15+'Model Coeffs'!$I$15*'Forecast drivers'!N15)</f>
        <v>26.228943439681633</v>
      </c>
      <c r="J14" s="44">
        <f>EXP('Model Coeffs'!$J$16+'Model Coeffs'!$J$10*'Forecast drivers'!F15+'Model Coeffs'!$J$11*'Forecast drivers'!J15+'Model Coeffs'!$J$12*'Forecast drivers'!K15)</f>
        <v>92.992301451108219</v>
      </c>
      <c r="K14" s="44">
        <f>EXP('Model Coeffs'!$K$16+'Model Coeffs'!$K$10*'Forecast drivers'!F15+'Model Coeffs'!$K$12*'Forecast drivers'!K15+'Model Coeffs'!$K$13*'Forecast drivers'!L15)</f>
        <v>91.734552638754749</v>
      </c>
      <c r="L14" s="66"/>
      <c r="M14" s="139">
        <f t="shared" si="2"/>
        <v>55.093368037008915</v>
      </c>
      <c r="N14" s="139">
        <f t="shared" si="3"/>
        <v>68.625406277870724</v>
      </c>
      <c r="O14" s="139">
        <f t="shared" si="4"/>
        <v>123.71877431487964</v>
      </c>
      <c r="P14" s="139">
        <f t="shared" si="5"/>
        <v>26.726806097381854</v>
      </c>
      <c r="Q14" s="139">
        <f t="shared" si="6"/>
        <v>92.363427044931484</v>
      </c>
      <c r="R14" s="139">
        <f t="shared" si="7"/>
        <v>150.44558041226151</v>
      </c>
      <c r="S14" s="139">
        <f t="shared" si="8"/>
        <v>147.45679508194041</v>
      </c>
      <c r="T14" s="140">
        <f t="shared" si="9"/>
        <v>148.95118774710096</v>
      </c>
      <c r="V14" s="139">
        <f>Controls!$E$14*T14</f>
        <v>143.4923838356535</v>
      </c>
      <c r="W14" s="149">
        <f>-(INDEX(Controls!$E$16:$E$20,MATCH($B14,Controls!$B$16:$B$20,0),0))*$V14</f>
        <v>-6.5111283454745275</v>
      </c>
      <c r="X14" s="98">
        <f t="shared" si="10"/>
        <v>136.98125549017897</v>
      </c>
      <c r="Z14" s="75" t="s">
        <v>12</v>
      </c>
      <c r="AA14" s="76">
        <f>SUMIFS('BP costs'!$I$7:$I$71,'BP costs'!$B$7:$B$71,$Z14)</f>
        <v>1077.598692</v>
      </c>
      <c r="AB14" s="76">
        <f t="shared" si="0"/>
        <v>1097.6420116425006</v>
      </c>
      <c r="AC14" s="158">
        <f t="shared" si="1"/>
        <v>0.98173965698296484</v>
      </c>
    </row>
    <row r="15" spans="1:34" ht="13" x14ac:dyDescent="0.3">
      <c r="A15" s="4" t="str">
        <f>'Forecast drivers'!B16</f>
        <v>NES</v>
      </c>
      <c r="B15" s="4">
        <f>'Forecast drivers'!C16</f>
        <v>2024</v>
      </c>
      <c r="C15" s="31" t="str">
        <f>'Forecast drivers'!A16</f>
        <v>NES24</v>
      </c>
      <c r="D15" s="43">
        <f>EXP('Model Coeffs'!$D$16+'Model Coeffs'!$D$6*'Forecast drivers'!E16+'Model Coeffs'!$D$7*'Forecast drivers'!I16+'Model Coeffs'!$D$8*'Forecast drivers'!H16)</f>
        <v>61.272948243344246</v>
      </c>
      <c r="E15" s="43">
        <f>EXP('Model Coeffs'!$E$16+'Model Coeffs'!$E$6*'Forecast drivers'!E16+'Model Coeffs'!$E$7*'Forecast drivers'!I16+'Model Coeffs'!$E$9*'Forecast drivers'!M16)</f>
        <v>49.272119676469323</v>
      </c>
      <c r="F15" s="43">
        <f>EXP('Model Coeffs'!$F$16+'Model Coeffs'!$F$10*'Forecast drivers'!F16+'Model Coeffs'!$F$11*'Forecast drivers'!J16+'Model Coeffs'!$F$12*'Forecast drivers'!K16)</f>
        <v>69.190984788904942</v>
      </c>
      <c r="G15" s="43">
        <f>EXP('Model Coeffs'!$G$16+'Model Coeffs'!$G$10*'Forecast drivers'!F16+'Model Coeffs'!$G$12*'Forecast drivers'!K16+'Model Coeffs'!$G$13*'Forecast drivers'!L16)</f>
        <v>68.059827766836491</v>
      </c>
      <c r="H15" s="44">
        <f>EXP('Model Coeffs'!$H$16+'Model Coeffs'!$H$9*'Forecast drivers'!M16+'Model Coeffs'!$H$14*'Forecast drivers'!G16)</f>
        <v>27.53533201362546</v>
      </c>
      <c r="I15" s="44">
        <f>EXP('Model Coeffs'!$I$16+'Model Coeffs'!$I$14*'Forecast drivers'!G16+'Model Coeffs'!$I$15*'Forecast drivers'!N16)</f>
        <v>26.528984121598956</v>
      </c>
      <c r="J15" s="44">
        <f>EXP('Model Coeffs'!$J$16+'Model Coeffs'!$J$10*'Forecast drivers'!F16+'Model Coeffs'!$J$11*'Forecast drivers'!J16+'Model Coeffs'!$J$12*'Forecast drivers'!K16)</f>
        <v>92.992301451108219</v>
      </c>
      <c r="K15" s="44">
        <f>EXP('Model Coeffs'!$K$16+'Model Coeffs'!$K$10*'Forecast drivers'!F16+'Model Coeffs'!$K$12*'Forecast drivers'!K16+'Model Coeffs'!$K$13*'Forecast drivers'!L16)</f>
        <v>91.734552638754749</v>
      </c>
      <c r="L15" s="66"/>
      <c r="M15" s="139">
        <f t="shared" si="2"/>
        <v>55.272533959906781</v>
      </c>
      <c r="N15" s="139">
        <f t="shared" si="3"/>
        <v>68.625406277870724</v>
      </c>
      <c r="O15" s="139">
        <f t="shared" si="4"/>
        <v>123.8979402377775</v>
      </c>
      <c r="P15" s="139">
        <f t="shared" si="5"/>
        <v>27.032158067612208</v>
      </c>
      <c r="Q15" s="139">
        <f t="shared" si="6"/>
        <v>92.363427044931484</v>
      </c>
      <c r="R15" s="139">
        <f t="shared" si="7"/>
        <v>150.93009830538972</v>
      </c>
      <c r="S15" s="139">
        <f t="shared" si="8"/>
        <v>147.63596100483826</v>
      </c>
      <c r="T15" s="140">
        <f t="shared" si="9"/>
        <v>149.28302965511398</v>
      </c>
      <c r="V15" s="139">
        <f>Controls!$E$14*T15</f>
        <v>143.81206431056322</v>
      </c>
      <c r="W15" s="149">
        <f>-(INDEX(Controls!$E$16:$E$20,MATCH($B15,Controls!$B$16:$B$20,0),0))*$V15</f>
        <v>-8.7372315891592063</v>
      </c>
      <c r="X15" s="98">
        <f t="shared" si="10"/>
        <v>135.07483272140402</v>
      </c>
      <c r="Z15" s="75" t="s">
        <v>8</v>
      </c>
      <c r="AA15" s="76">
        <f>SUMIFS('BP costs'!$I$7:$I$71,'BP costs'!$B$7:$B$71,$Z15)</f>
        <v>828.46846420364682</v>
      </c>
      <c r="AB15" s="76">
        <f t="shared" si="0"/>
        <v>915.97755111176525</v>
      </c>
      <c r="AC15" s="158">
        <f t="shared" si="1"/>
        <v>0.90446372097012151</v>
      </c>
    </row>
    <row r="16" spans="1:34" ht="13" x14ac:dyDescent="0.3">
      <c r="A16" s="4" t="str">
        <f>'Forecast drivers'!B17</f>
        <v>NES</v>
      </c>
      <c r="B16" s="4">
        <f>'Forecast drivers'!C17</f>
        <v>2025</v>
      </c>
      <c r="C16" s="31" t="str">
        <f>'Forecast drivers'!A17</f>
        <v>NES25</v>
      </c>
      <c r="D16" s="43">
        <f>EXP('Model Coeffs'!$D$16+'Model Coeffs'!$D$6*'Forecast drivers'!E17+'Model Coeffs'!$D$7*'Forecast drivers'!I17+'Model Coeffs'!$D$8*'Forecast drivers'!H17)</f>
        <v>61.594014409698325</v>
      </c>
      <c r="E16" s="43">
        <f>EXP('Model Coeffs'!$E$16+'Model Coeffs'!$E$6*'Forecast drivers'!E17+'Model Coeffs'!$E$7*'Forecast drivers'!I17+'Model Coeffs'!$E$9*'Forecast drivers'!M17)</f>
        <v>49.309597597849674</v>
      </c>
      <c r="F16" s="43">
        <f>EXP('Model Coeffs'!$F$16+'Model Coeffs'!$F$10*'Forecast drivers'!F17+'Model Coeffs'!$F$11*'Forecast drivers'!J17+'Model Coeffs'!$F$12*'Forecast drivers'!K17)</f>
        <v>69.190984788904942</v>
      </c>
      <c r="G16" s="43">
        <f>EXP('Model Coeffs'!$G$16+'Model Coeffs'!$G$10*'Forecast drivers'!F17+'Model Coeffs'!$G$12*'Forecast drivers'!K17+'Model Coeffs'!$G$13*'Forecast drivers'!L17)</f>
        <v>68.059827766836491</v>
      </c>
      <c r="H16" s="44">
        <f>EXP('Model Coeffs'!$H$16+'Model Coeffs'!$H$9*'Forecast drivers'!M17+'Model Coeffs'!$H$14*'Forecast drivers'!G17)</f>
        <v>27.807320277206252</v>
      </c>
      <c r="I16" s="44">
        <f>EXP('Model Coeffs'!$I$16+'Model Coeffs'!$I$14*'Forecast drivers'!G17+'Model Coeffs'!$I$15*'Forecast drivers'!N17)</f>
        <v>26.787123485116112</v>
      </c>
      <c r="J16" s="44">
        <f>EXP('Model Coeffs'!$J$16+'Model Coeffs'!$J$10*'Forecast drivers'!F17+'Model Coeffs'!$J$11*'Forecast drivers'!J17+'Model Coeffs'!$J$12*'Forecast drivers'!K17)</f>
        <v>92.992301451108219</v>
      </c>
      <c r="K16" s="44">
        <f>EXP('Model Coeffs'!$K$16+'Model Coeffs'!$K$10*'Forecast drivers'!F17+'Model Coeffs'!$K$12*'Forecast drivers'!K17+'Model Coeffs'!$K$13*'Forecast drivers'!L17)</f>
        <v>91.734552638754749</v>
      </c>
      <c r="L16" s="66"/>
      <c r="M16" s="139">
        <f t="shared" si="2"/>
        <v>55.451806003773996</v>
      </c>
      <c r="N16" s="139">
        <f t="shared" si="3"/>
        <v>68.625406277870724</v>
      </c>
      <c r="O16" s="139">
        <f t="shared" si="4"/>
        <v>124.07721228164472</v>
      </c>
      <c r="P16" s="139">
        <f t="shared" si="5"/>
        <v>27.297221881161182</v>
      </c>
      <c r="Q16" s="139">
        <f t="shared" si="6"/>
        <v>92.363427044931484</v>
      </c>
      <c r="R16" s="139">
        <f t="shared" si="7"/>
        <v>151.3744341628059</v>
      </c>
      <c r="S16" s="139">
        <f t="shared" si="8"/>
        <v>147.81523304870547</v>
      </c>
      <c r="T16" s="140">
        <f t="shared" si="9"/>
        <v>149.5948336057557</v>
      </c>
      <c r="V16" s="139">
        <f>Controls!$E$14*T16</f>
        <v>144.11244118464978</v>
      </c>
      <c r="W16" s="149">
        <f>-(INDEX(Controls!$E$16:$E$20,MATCH($B16,Controls!$B$16:$B$20,0),0))*$V16</f>
        <v>-10.990202576127773</v>
      </c>
      <c r="X16" s="98">
        <f t="shared" si="10"/>
        <v>133.122238608522</v>
      </c>
      <c r="Z16" s="75" t="s">
        <v>9</v>
      </c>
      <c r="AA16" s="76">
        <f>SUMIFS('BP costs'!$I$7:$I$71,'BP costs'!$B$7:$B$71,$Z16)</f>
        <v>1831.4277099999999</v>
      </c>
      <c r="AB16" s="76">
        <f t="shared" si="0"/>
        <v>1614.6201251258494</v>
      </c>
      <c r="AC16" s="158">
        <f t="shared" si="1"/>
        <v>1.1342777669498276</v>
      </c>
    </row>
    <row r="17" spans="1:29" ht="13" x14ac:dyDescent="0.3">
      <c r="A17" s="4" t="str">
        <f>'Forecast drivers'!B18</f>
        <v>NWT</v>
      </c>
      <c r="B17" s="4">
        <f>'Forecast drivers'!C18</f>
        <v>2021</v>
      </c>
      <c r="C17" s="31" t="str">
        <f>'Forecast drivers'!A18</f>
        <v>NWT21</v>
      </c>
      <c r="D17" s="43">
        <f>EXP('Model Coeffs'!$D$16+'Model Coeffs'!$D$6*'Forecast drivers'!E18+'Model Coeffs'!$D$7*'Forecast drivers'!I18+'Model Coeffs'!$D$8*'Forecast drivers'!H18)</f>
        <v>144.54835869405099</v>
      </c>
      <c r="E17" s="43">
        <f>EXP('Model Coeffs'!$E$16+'Model Coeffs'!$E$6*'Forecast drivers'!E18+'Model Coeffs'!$E$7*'Forecast drivers'!I18+'Model Coeffs'!$E$9*'Forecast drivers'!M18)</f>
        <v>142.2648848301333</v>
      </c>
      <c r="F17" s="43">
        <f>EXP('Model Coeffs'!$F$16+'Model Coeffs'!$F$10*'Forecast drivers'!F18+'Model Coeffs'!$F$11*'Forecast drivers'!J18+'Model Coeffs'!$F$12*'Forecast drivers'!K18)</f>
        <v>188.81183384368578</v>
      </c>
      <c r="G17" s="43">
        <f>EXP('Model Coeffs'!$G$16+'Model Coeffs'!$G$10*'Forecast drivers'!F18+'Model Coeffs'!$G$12*'Forecast drivers'!K18+'Model Coeffs'!$G$13*'Forecast drivers'!L18)</f>
        <v>184.03973425213846</v>
      </c>
      <c r="H17" s="44">
        <f>EXP('Model Coeffs'!$H$16+'Model Coeffs'!$H$9*'Forecast drivers'!M18+'Model Coeffs'!$H$14*'Forecast drivers'!G18)</f>
        <v>69.226379929791591</v>
      </c>
      <c r="I17" s="44">
        <f>EXP('Model Coeffs'!$I$16+'Model Coeffs'!$I$14*'Forecast drivers'!G18+'Model Coeffs'!$I$15*'Forecast drivers'!N18)</f>
        <v>67.123307385552906</v>
      </c>
      <c r="J17" s="44">
        <f>EXP('Model Coeffs'!$J$16+'Model Coeffs'!$J$10*'Forecast drivers'!F18+'Model Coeffs'!$J$11*'Forecast drivers'!J18+'Model Coeffs'!$J$12*'Forecast drivers'!K18)</f>
        <v>266.71194419781642</v>
      </c>
      <c r="K17" s="44">
        <f>EXP('Model Coeffs'!$K$16+'Model Coeffs'!$K$10*'Forecast drivers'!F18+'Model Coeffs'!$K$12*'Forecast drivers'!K18+'Model Coeffs'!$K$13*'Forecast drivers'!L18)</f>
        <v>260.84539992237671</v>
      </c>
      <c r="L17" s="66"/>
      <c r="M17" s="139">
        <f t="shared" si="2"/>
        <v>143.40662176209213</v>
      </c>
      <c r="N17" s="139">
        <f t="shared" si="3"/>
        <v>186.42578404791212</v>
      </c>
      <c r="O17" s="139">
        <f t="shared" si="4"/>
        <v>329.83240581000427</v>
      </c>
      <c r="P17" s="139">
        <f t="shared" si="5"/>
        <v>68.174843657672255</v>
      </c>
      <c r="Q17" s="139">
        <f t="shared" si="6"/>
        <v>263.7786720600966</v>
      </c>
      <c r="R17" s="139">
        <f t="shared" si="7"/>
        <v>398.0072494676765</v>
      </c>
      <c r="S17" s="139">
        <f t="shared" si="8"/>
        <v>407.18529382218873</v>
      </c>
      <c r="T17" s="140">
        <f t="shared" si="9"/>
        <v>402.59627164493259</v>
      </c>
      <c r="V17" s="139">
        <f>Controls!$E$14*T17</f>
        <v>387.84181325067721</v>
      </c>
      <c r="W17" s="149">
        <f>-(INDEX(Controls!$E$16:$E$20,MATCH($B17,Controls!$B$16:$B$20,0),0))*$V17</f>
        <v>-5.8176271987601202</v>
      </c>
      <c r="X17" s="98">
        <f t="shared" si="10"/>
        <v>382.02418605191707</v>
      </c>
      <c r="Z17" s="77" t="s">
        <v>13</v>
      </c>
      <c r="AA17" s="78">
        <f>SUM(AA7:AA16)</f>
        <v>16353.386309825497</v>
      </c>
      <c r="AB17" s="78">
        <f>SUM(AB7:AB16)</f>
        <v>16552.615376872167</v>
      </c>
      <c r="AC17" s="159">
        <f t="shared" si="1"/>
        <v>0.98796389195842493</v>
      </c>
    </row>
    <row r="18" spans="1:29" ht="13" x14ac:dyDescent="0.3">
      <c r="A18" s="4" t="str">
        <f>'Forecast drivers'!B19</f>
        <v>NWT</v>
      </c>
      <c r="B18" s="4">
        <f>'Forecast drivers'!C19</f>
        <v>2022</v>
      </c>
      <c r="C18" s="31" t="str">
        <f>'Forecast drivers'!A19</f>
        <v>NWT22</v>
      </c>
      <c r="D18" s="43">
        <f>EXP('Model Coeffs'!$D$16+'Model Coeffs'!$D$6*'Forecast drivers'!E19+'Model Coeffs'!$D$7*'Forecast drivers'!I19+'Model Coeffs'!$D$8*'Forecast drivers'!H19)</f>
        <v>145.43984374593734</v>
      </c>
      <c r="E18" s="43">
        <f>EXP('Model Coeffs'!$E$16+'Model Coeffs'!$E$6*'Forecast drivers'!E19+'Model Coeffs'!$E$7*'Forecast drivers'!I19+'Model Coeffs'!$E$9*'Forecast drivers'!M19)</f>
        <v>142.42671245977058</v>
      </c>
      <c r="F18" s="43">
        <f>EXP('Model Coeffs'!$F$16+'Model Coeffs'!$F$10*'Forecast drivers'!F19+'Model Coeffs'!$F$11*'Forecast drivers'!J19+'Model Coeffs'!$F$12*'Forecast drivers'!K19)</f>
        <v>189.52608485201125</v>
      </c>
      <c r="G18" s="43">
        <f>EXP('Model Coeffs'!$G$16+'Model Coeffs'!$G$10*'Forecast drivers'!F19+'Model Coeffs'!$G$12*'Forecast drivers'!K19+'Model Coeffs'!$G$13*'Forecast drivers'!L19)</f>
        <v>184.72190271468105</v>
      </c>
      <c r="H18" s="44">
        <f>EXP('Model Coeffs'!$H$16+'Model Coeffs'!$H$9*'Forecast drivers'!M19+'Model Coeffs'!$H$14*'Forecast drivers'!G19)</f>
        <v>69.761718317030272</v>
      </c>
      <c r="I18" s="44">
        <f>EXP('Model Coeffs'!$I$16+'Model Coeffs'!$I$14*'Forecast drivers'!G19+'Model Coeffs'!$I$15*'Forecast drivers'!N19)</f>
        <v>67.557657416314825</v>
      </c>
      <c r="J18" s="44">
        <f>EXP('Model Coeffs'!$J$16+'Model Coeffs'!$J$10*'Forecast drivers'!F19+'Model Coeffs'!$J$11*'Forecast drivers'!J19+'Model Coeffs'!$J$12*'Forecast drivers'!K19)</f>
        <v>267.71195920040549</v>
      </c>
      <c r="K18" s="44">
        <f>EXP('Model Coeffs'!$K$16+'Model Coeffs'!$K$10*'Forecast drivers'!F19+'Model Coeffs'!$K$12*'Forecast drivers'!K19+'Model Coeffs'!$K$13*'Forecast drivers'!L19)</f>
        <v>261.80209678098089</v>
      </c>
      <c r="L18" s="66"/>
      <c r="M18" s="139">
        <f t="shared" si="2"/>
        <v>143.93327810285396</v>
      </c>
      <c r="N18" s="139">
        <f t="shared" si="3"/>
        <v>187.12399378334615</v>
      </c>
      <c r="O18" s="139">
        <f t="shared" si="4"/>
        <v>331.05727188620011</v>
      </c>
      <c r="P18" s="139">
        <f t="shared" si="5"/>
        <v>68.659687866672556</v>
      </c>
      <c r="Q18" s="139">
        <f t="shared" si="6"/>
        <v>264.75702799069319</v>
      </c>
      <c r="R18" s="139">
        <f t="shared" si="7"/>
        <v>399.71695975287264</v>
      </c>
      <c r="S18" s="139">
        <f t="shared" si="8"/>
        <v>408.69030609354718</v>
      </c>
      <c r="T18" s="140">
        <f t="shared" si="9"/>
        <v>404.20363292320991</v>
      </c>
      <c r="V18" s="139">
        <f>Controls!$E$14*T18</f>
        <v>389.39026751273212</v>
      </c>
      <c r="W18" s="149">
        <f>-(INDEX(Controls!$E$16:$E$20,MATCH($B18,Controls!$B$16:$B$20,0),0))*$V18</f>
        <v>-11.730381808820953</v>
      </c>
      <c r="X18" s="98">
        <f t="shared" si="10"/>
        <v>377.65988570391119</v>
      </c>
    </row>
    <row r="19" spans="1:29" ht="13" x14ac:dyDescent="0.3">
      <c r="A19" s="4" t="str">
        <f>'Forecast drivers'!B20</f>
        <v>NWT</v>
      </c>
      <c r="B19" s="4">
        <f>'Forecast drivers'!C20</f>
        <v>2023</v>
      </c>
      <c r="C19" s="31" t="str">
        <f>'Forecast drivers'!A20</f>
        <v>NWT23</v>
      </c>
      <c r="D19" s="43">
        <f>EXP('Model Coeffs'!$D$16+'Model Coeffs'!$D$6*'Forecast drivers'!E20+'Model Coeffs'!$D$7*'Forecast drivers'!I20+'Model Coeffs'!$D$8*'Forecast drivers'!H20)</f>
        <v>146.33180347119094</v>
      </c>
      <c r="E19" s="43">
        <f>EXP('Model Coeffs'!$E$16+'Model Coeffs'!$E$6*'Forecast drivers'!E20+'Model Coeffs'!$E$7*'Forecast drivers'!I20+'Model Coeffs'!$E$9*'Forecast drivers'!M20)</f>
        <v>142.58846658403371</v>
      </c>
      <c r="F19" s="43">
        <f>EXP('Model Coeffs'!$F$16+'Model Coeffs'!$F$10*'Forecast drivers'!F20+'Model Coeffs'!$F$11*'Forecast drivers'!J20+'Model Coeffs'!$F$12*'Forecast drivers'!K20)</f>
        <v>190.23964048721501</v>
      </c>
      <c r="G19" s="43">
        <f>EXP('Model Coeffs'!$G$16+'Model Coeffs'!$G$10*'Forecast drivers'!F20+'Model Coeffs'!$G$12*'Forecast drivers'!K20+'Model Coeffs'!$G$13*'Forecast drivers'!L20)</f>
        <v>185.40335540243012</v>
      </c>
      <c r="H19" s="44">
        <f>EXP('Model Coeffs'!$H$16+'Model Coeffs'!$H$9*'Forecast drivers'!M20+'Model Coeffs'!$H$14*'Forecast drivers'!G20)</f>
        <v>70.443058500999442</v>
      </c>
      <c r="I19" s="44">
        <f>EXP('Model Coeffs'!$I$16+'Model Coeffs'!$I$14*'Forecast drivers'!G20+'Model Coeffs'!$I$15*'Forecast drivers'!N20)</f>
        <v>68.187766976865376</v>
      </c>
      <c r="J19" s="44">
        <f>EXP('Model Coeffs'!$J$16+'Model Coeffs'!$J$10*'Forecast drivers'!F20+'Model Coeffs'!$J$11*'Forecast drivers'!J20+'Model Coeffs'!$J$12*'Forecast drivers'!K20)</f>
        <v>268.71096740315693</v>
      </c>
      <c r="K19" s="44">
        <f>EXP('Model Coeffs'!$K$16+'Model Coeffs'!$K$10*'Forecast drivers'!F20+'Model Coeffs'!$K$12*'Forecast drivers'!K20+'Model Coeffs'!$K$13*'Forecast drivers'!L20)</f>
        <v>262.75775280437455</v>
      </c>
      <c r="L19" s="66"/>
      <c r="M19" s="139">
        <f t="shared" si="2"/>
        <v>144.46013502761232</v>
      </c>
      <c r="N19" s="139">
        <f t="shared" si="3"/>
        <v>187.82149794482257</v>
      </c>
      <c r="O19" s="139">
        <f t="shared" si="4"/>
        <v>332.28163297243486</v>
      </c>
      <c r="P19" s="139">
        <f t="shared" si="5"/>
        <v>69.315412738932409</v>
      </c>
      <c r="Q19" s="139">
        <f t="shared" si="6"/>
        <v>265.73436010376577</v>
      </c>
      <c r="R19" s="139">
        <f t="shared" si="7"/>
        <v>401.59704571136729</v>
      </c>
      <c r="S19" s="139">
        <f t="shared" si="8"/>
        <v>410.19449513137806</v>
      </c>
      <c r="T19" s="140">
        <f t="shared" si="9"/>
        <v>405.89577042137267</v>
      </c>
      <c r="V19" s="139">
        <f>Controls!$E$14*T19</f>
        <v>391.02039109255435</v>
      </c>
      <c r="W19" s="149">
        <f>-(INDEX(Controls!$E$16:$E$20,MATCH($B19,Controls!$B$16:$B$20,0),0))*$V19</f>
        <v>-17.742990143764455</v>
      </c>
      <c r="X19" s="98">
        <f t="shared" si="10"/>
        <v>373.27740094878988</v>
      </c>
    </row>
    <row r="20" spans="1:29" ht="13" x14ac:dyDescent="0.3">
      <c r="A20" s="4" t="str">
        <f>'Forecast drivers'!B21</f>
        <v>NWT</v>
      </c>
      <c r="B20" s="4">
        <f>'Forecast drivers'!C21</f>
        <v>2024</v>
      </c>
      <c r="C20" s="31" t="str">
        <f>'Forecast drivers'!A21</f>
        <v>NWT24</v>
      </c>
      <c r="D20" s="43">
        <f>EXP('Model Coeffs'!$D$16+'Model Coeffs'!$D$6*'Forecast drivers'!E21+'Model Coeffs'!$D$7*'Forecast drivers'!I21+'Model Coeffs'!$D$8*'Forecast drivers'!H21)</f>
        <v>147.22423093575057</v>
      </c>
      <c r="E20" s="43">
        <f>EXP('Model Coeffs'!$E$16+'Model Coeffs'!$E$6*'Forecast drivers'!E21+'Model Coeffs'!$E$7*'Forecast drivers'!I21+'Model Coeffs'!$E$9*'Forecast drivers'!M21)</f>
        <v>142.75014735293948</v>
      </c>
      <c r="F20" s="43">
        <f>EXP('Model Coeffs'!$F$16+'Model Coeffs'!$F$10*'Forecast drivers'!F21+'Model Coeffs'!$F$11*'Forecast drivers'!J21+'Model Coeffs'!$F$12*'Forecast drivers'!K21)</f>
        <v>190.95250470261738</v>
      </c>
      <c r="G20" s="43">
        <f>EXP('Model Coeffs'!$G$16+'Model Coeffs'!$G$10*'Forecast drivers'!F21+'Model Coeffs'!$G$12*'Forecast drivers'!K21+'Model Coeffs'!$G$13*'Forecast drivers'!L21)</f>
        <v>186.08409643848998</v>
      </c>
      <c r="H20" s="44">
        <f>EXP('Model Coeffs'!$H$16+'Model Coeffs'!$H$9*'Forecast drivers'!M21+'Model Coeffs'!$H$14*'Forecast drivers'!G21)</f>
        <v>71.390153792974857</v>
      </c>
      <c r="I20" s="44">
        <f>EXP('Model Coeffs'!$I$16+'Model Coeffs'!$I$14*'Forecast drivers'!G21+'Model Coeffs'!$I$15*'Forecast drivers'!N21)</f>
        <v>69.104649210805562</v>
      </c>
      <c r="J20" s="44">
        <f>EXP('Model Coeffs'!$J$16+'Model Coeffs'!$J$10*'Forecast drivers'!F21+'Model Coeffs'!$J$11*'Forecast drivers'!J21+'Model Coeffs'!$J$12*'Forecast drivers'!K21)</f>
        <v>269.70897456311303</v>
      </c>
      <c r="K20" s="44">
        <f>EXP('Model Coeffs'!$K$16+'Model Coeffs'!$K$10*'Forecast drivers'!F21+'Model Coeffs'!$K$12*'Forecast drivers'!K21+'Model Coeffs'!$K$13*'Forecast drivers'!L21)</f>
        <v>263.71237402809902</v>
      </c>
      <c r="L20" s="66"/>
      <c r="M20" s="139">
        <f t="shared" si="2"/>
        <v>144.98718914434502</v>
      </c>
      <c r="N20" s="139">
        <f t="shared" si="3"/>
        <v>188.51830057055366</v>
      </c>
      <c r="O20" s="139">
        <f t="shared" si="4"/>
        <v>333.50548971489866</v>
      </c>
      <c r="P20" s="139">
        <f t="shared" si="5"/>
        <v>70.247401501890209</v>
      </c>
      <c r="Q20" s="139">
        <f t="shared" si="6"/>
        <v>266.71067429560605</v>
      </c>
      <c r="R20" s="139">
        <f t="shared" si="7"/>
        <v>403.75289121678884</v>
      </c>
      <c r="S20" s="139">
        <f t="shared" si="8"/>
        <v>411.69786343995111</v>
      </c>
      <c r="T20" s="140">
        <f t="shared" si="9"/>
        <v>407.72537732836997</v>
      </c>
      <c r="V20" s="139">
        <f>Controls!$E$14*T20</f>
        <v>392.78294606467693</v>
      </c>
      <c r="W20" s="149">
        <f>-(INDEX(Controls!$E$16:$E$20,MATCH($B20,Controls!$B$16:$B$20,0),0))*$V20</f>
        <v>-23.863335670004968</v>
      </c>
      <c r="X20" s="98">
        <f t="shared" si="10"/>
        <v>368.91961039467196</v>
      </c>
      <c r="AA20" s="79" t="s">
        <v>94</v>
      </c>
      <c r="AB20" s="80"/>
      <c r="AC20" s="81">
        <f>PERCENTILE($AC$7:$AC$16,0.25)</f>
        <v>0.97445542643976113</v>
      </c>
    </row>
    <row r="21" spans="1:29" ht="13" x14ac:dyDescent="0.3">
      <c r="A21" s="4" t="str">
        <f>'Forecast drivers'!B22</f>
        <v>NWT</v>
      </c>
      <c r="B21" s="4">
        <f>'Forecast drivers'!C22</f>
        <v>2025</v>
      </c>
      <c r="C21" s="31" t="str">
        <f>'Forecast drivers'!A22</f>
        <v>NWT25</v>
      </c>
      <c r="D21" s="43">
        <f>EXP('Model Coeffs'!$D$16+'Model Coeffs'!$D$6*'Forecast drivers'!E22+'Model Coeffs'!$D$7*'Forecast drivers'!I22+'Model Coeffs'!$D$8*'Forecast drivers'!H22)</f>
        <v>148.11711928457873</v>
      </c>
      <c r="E21" s="43">
        <f>EXP('Model Coeffs'!$E$16+'Model Coeffs'!$E$6*'Forecast drivers'!E22+'Model Coeffs'!$E$7*'Forecast drivers'!I22+'Model Coeffs'!$E$9*'Forecast drivers'!M22)</f>
        <v>142.91175491596175</v>
      </c>
      <c r="F21" s="43">
        <f>EXP('Model Coeffs'!$F$16+'Model Coeffs'!$F$10*'Forecast drivers'!F22+'Model Coeffs'!$F$11*'Forecast drivers'!J22+'Model Coeffs'!$F$12*'Forecast drivers'!K22)</f>
        <v>191.66468141061108</v>
      </c>
      <c r="G21" s="43">
        <f>EXP('Model Coeffs'!$G$16+'Model Coeffs'!$G$10*'Forecast drivers'!F22+'Model Coeffs'!$G$12*'Forecast drivers'!K22+'Model Coeffs'!$G$13*'Forecast drivers'!L22)</f>
        <v>186.76412990297391</v>
      </c>
      <c r="H21" s="44">
        <f>EXP('Model Coeffs'!$H$16+'Model Coeffs'!$H$9*'Forecast drivers'!M22+'Model Coeffs'!$H$14*'Forecast drivers'!G22)</f>
        <v>72.638414882420705</v>
      </c>
      <c r="I21" s="44">
        <f>EXP('Model Coeffs'!$I$16+'Model Coeffs'!$I$14*'Forecast drivers'!G22+'Model Coeffs'!$I$15*'Forecast drivers'!N22)</f>
        <v>70.346641376572947</v>
      </c>
      <c r="J21" s="44">
        <f>EXP('Model Coeffs'!$J$16+'Model Coeffs'!$J$10*'Forecast drivers'!F22+'Model Coeffs'!$J$11*'Forecast drivers'!J22+'Model Coeffs'!$J$12*'Forecast drivers'!K22)</f>
        <v>270.70598637752602</v>
      </c>
      <c r="K21" s="44">
        <f>EXP('Model Coeffs'!$K$16+'Model Coeffs'!$K$10*'Forecast drivers'!F22+'Model Coeffs'!$K$12*'Forecast drivers'!K22+'Model Coeffs'!$K$13*'Forecast drivers'!L22)</f>
        <v>264.66596642453112</v>
      </c>
      <c r="L21" s="66"/>
      <c r="M21" s="139">
        <f t="shared" si="2"/>
        <v>145.51443710027024</v>
      </c>
      <c r="N21" s="139">
        <f t="shared" si="3"/>
        <v>189.21440565679251</v>
      </c>
      <c r="O21" s="139">
        <f t="shared" si="4"/>
        <v>334.72884275706275</v>
      </c>
      <c r="P21" s="139">
        <f t="shared" si="5"/>
        <v>71.492528129496833</v>
      </c>
      <c r="Q21" s="139">
        <f t="shared" si="6"/>
        <v>267.6859764010286</v>
      </c>
      <c r="R21" s="139">
        <f t="shared" si="7"/>
        <v>406.22137088655961</v>
      </c>
      <c r="S21" s="139">
        <f t="shared" si="8"/>
        <v>413.20041350129884</v>
      </c>
      <c r="T21" s="140">
        <f t="shared" si="9"/>
        <v>409.71089219392923</v>
      </c>
      <c r="V21" s="139">
        <f>Controls!$E$14*T21</f>
        <v>394.69569523780842</v>
      </c>
      <c r="W21" s="149">
        <f>-(INDEX(Controls!$E$16:$E$20,MATCH($B21,Controls!$B$16:$B$20,0),0))*$V21</f>
        <v>-30.100008097365755</v>
      </c>
      <c r="X21" s="98">
        <f t="shared" si="10"/>
        <v>364.59568714044269</v>
      </c>
    </row>
    <row r="22" spans="1:29" ht="13" x14ac:dyDescent="0.3">
      <c r="A22" s="4" t="str">
        <f>'Forecast drivers'!B23</f>
        <v>SRN</v>
      </c>
      <c r="B22" s="4">
        <f>'Forecast drivers'!C23</f>
        <v>2021</v>
      </c>
      <c r="C22" s="31" t="str">
        <f>'Forecast drivers'!A23</f>
        <v>SRN21</v>
      </c>
      <c r="D22" s="43">
        <f>EXP('Model Coeffs'!$D$16+'Model Coeffs'!$D$6*'Forecast drivers'!E23+'Model Coeffs'!$D$7*'Forecast drivers'!I23+'Model Coeffs'!$D$8*'Forecast drivers'!H23)</f>
        <v>132.8495668966996</v>
      </c>
      <c r="E22" s="43">
        <f>EXP('Model Coeffs'!$E$16+'Model Coeffs'!$E$6*'Forecast drivers'!E23+'Model Coeffs'!$E$7*'Forecast drivers'!I23+'Model Coeffs'!$E$9*'Forecast drivers'!M23)</f>
        <v>120.70115838731293</v>
      </c>
      <c r="F22" s="43">
        <f>EXP('Model Coeffs'!$F$16+'Model Coeffs'!$F$10*'Forecast drivers'!F23+'Model Coeffs'!$F$11*'Forecast drivers'!J23+'Model Coeffs'!$F$12*'Forecast drivers'!K23)</f>
        <v>112.83509146109277</v>
      </c>
      <c r="G22" s="43">
        <f>EXP('Model Coeffs'!$G$16+'Model Coeffs'!$G$10*'Forecast drivers'!F23+'Model Coeffs'!$G$12*'Forecast drivers'!K23+'Model Coeffs'!$G$13*'Forecast drivers'!L23)</f>
        <v>113.57029970280882</v>
      </c>
      <c r="H22" s="44">
        <f>EXP('Model Coeffs'!$H$16+'Model Coeffs'!$H$9*'Forecast drivers'!M23+'Model Coeffs'!$H$14*'Forecast drivers'!G23)</f>
        <v>45.235527306846102</v>
      </c>
      <c r="I22" s="44">
        <f>EXP('Model Coeffs'!$I$16+'Model Coeffs'!$I$14*'Forecast drivers'!G23+'Model Coeffs'!$I$15*'Forecast drivers'!N23)</f>
        <v>40.304344357234676</v>
      </c>
      <c r="J22" s="44">
        <f>EXP('Model Coeffs'!$J$16+'Model Coeffs'!$J$10*'Forecast drivers'!F23+'Model Coeffs'!$J$11*'Forecast drivers'!J23+'Model Coeffs'!$J$12*'Forecast drivers'!K23)</f>
        <v>153.18112683886079</v>
      </c>
      <c r="K22" s="44">
        <f>EXP('Model Coeffs'!$K$16+'Model Coeffs'!$K$10*'Forecast drivers'!F23+'Model Coeffs'!$K$12*'Forecast drivers'!K23+'Model Coeffs'!$K$13*'Forecast drivers'!L23)</f>
        <v>153.97661889906948</v>
      </c>
      <c r="L22" s="66"/>
      <c r="M22" s="139">
        <f t="shared" si="2"/>
        <v>126.77536264200626</v>
      </c>
      <c r="N22" s="139">
        <f t="shared" si="3"/>
        <v>113.20269558195079</v>
      </c>
      <c r="O22" s="139">
        <f t="shared" si="4"/>
        <v>239.97805822395705</v>
      </c>
      <c r="P22" s="139">
        <f t="shared" si="5"/>
        <v>42.769935832040389</v>
      </c>
      <c r="Q22" s="139">
        <f t="shared" si="6"/>
        <v>153.57887286896514</v>
      </c>
      <c r="R22" s="139">
        <f t="shared" si="7"/>
        <v>282.74799405599742</v>
      </c>
      <c r="S22" s="139">
        <f t="shared" si="8"/>
        <v>280.35423551097142</v>
      </c>
      <c r="T22" s="140">
        <f t="shared" si="9"/>
        <v>281.55111478348442</v>
      </c>
      <c r="V22" s="139">
        <f>Controls!$E$14*T22</f>
        <v>271.23275244009727</v>
      </c>
      <c r="W22" s="149">
        <f>-(INDEX(Controls!$E$16:$E$20,MATCH($B22,Controls!$B$16:$B$20,0),0))*$V22</f>
        <v>-4.0684912866014322</v>
      </c>
      <c r="X22" s="98">
        <f t="shared" si="10"/>
        <v>267.16426115349583</v>
      </c>
    </row>
    <row r="23" spans="1:29" ht="13" x14ac:dyDescent="0.3">
      <c r="A23" s="4" t="str">
        <f>'Forecast drivers'!B24</f>
        <v>SRN</v>
      </c>
      <c r="B23" s="4">
        <f>'Forecast drivers'!C24</f>
        <v>2022</v>
      </c>
      <c r="C23" s="31" t="str">
        <f>'Forecast drivers'!A24</f>
        <v>SRN22</v>
      </c>
      <c r="D23" s="43">
        <f>EXP('Model Coeffs'!$D$16+'Model Coeffs'!$D$6*'Forecast drivers'!E24+'Model Coeffs'!$D$7*'Forecast drivers'!I24+'Model Coeffs'!$D$8*'Forecast drivers'!H24)</f>
        <v>133.86330548606867</v>
      </c>
      <c r="E23" s="43">
        <f>EXP('Model Coeffs'!$E$16+'Model Coeffs'!$E$6*'Forecast drivers'!E24+'Model Coeffs'!$E$7*'Forecast drivers'!I24+'Model Coeffs'!$E$9*'Forecast drivers'!M24)</f>
        <v>120.90283012028092</v>
      </c>
      <c r="F23" s="43">
        <f>EXP('Model Coeffs'!$F$16+'Model Coeffs'!$F$10*'Forecast drivers'!F24+'Model Coeffs'!$F$11*'Forecast drivers'!J24+'Model Coeffs'!$F$12*'Forecast drivers'!K24)</f>
        <v>114.16034650753316</v>
      </c>
      <c r="G23" s="43">
        <f>EXP('Model Coeffs'!$G$16+'Model Coeffs'!$G$10*'Forecast drivers'!F24+'Model Coeffs'!$G$12*'Forecast drivers'!K24+'Model Coeffs'!$G$13*'Forecast drivers'!L24)</f>
        <v>114.87720416952833</v>
      </c>
      <c r="H23" s="44">
        <f>EXP('Model Coeffs'!$H$16+'Model Coeffs'!$H$9*'Forecast drivers'!M24+'Model Coeffs'!$H$14*'Forecast drivers'!G24)</f>
        <v>45.658507295511917</v>
      </c>
      <c r="I23" s="44">
        <f>EXP('Model Coeffs'!$I$16+'Model Coeffs'!$I$14*'Forecast drivers'!G24+'Model Coeffs'!$I$15*'Forecast drivers'!N24)</f>
        <v>40.643524883064302</v>
      </c>
      <c r="J23" s="44">
        <f>EXP('Model Coeffs'!$J$16+'Model Coeffs'!$J$10*'Forecast drivers'!F24+'Model Coeffs'!$J$11*'Forecast drivers'!J24+'Model Coeffs'!$J$12*'Forecast drivers'!K24)</f>
        <v>154.96427634502666</v>
      </c>
      <c r="K23" s="44">
        <f>EXP('Model Coeffs'!$K$16+'Model Coeffs'!$K$10*'Forecast drivers'!F24+'Model Coeffs'!$K$12*'Forecast drivers'!K24+'Model Coeffs'!$K$13*'Forecast drivers'!L24)</f>
        <v>155.7298020696885</v>
      </c>
      <c r="L23" s="66"/>
      <c r="M23" s="139">
        <f t="shared" si="2"/>
        <v>127.3830678031748</v>
      </c>
      <c r="N23" s="139">
        <f t="shared" si="3"/>
        <v>114.51877533853074</v>
      </c>
      <c r="O23" s="139">
        <f t="shared" si="4"/>
        <v>241.90184314170554</v>
      </c>
      <c r="P23" s="139">
        <f t="shared" si="5"/>
        <v>43.151016089288106</v>
      </c>
      <c r="Q23" s="139">
        <f t="shared" si="6"/>
        <v>155.34703920735757</v>
      </c>
      <c r="R23" s="139">
        <f t="shared" si="7"/>
        <v>285.05285923099365</v>
      </c>
      <c r="S23" s="139">
        <f t="shared" si="8"/>
        <v>282.73010701053238</v>
      </c>
      <c r="T23" s="140">
        <f t="shared" si="9"/>
        <v>283.89148312076304</v>
      </c>
      <c r="V23" s="139">
        <f>Controls!$E$14*T23</f>
        <v>273.48735031775755</v>
      </c>
      <c r="W23" s="149">
        <f>-(INDEX(Controls!$E$16:$E$20,MATCH($B23,Controls!$B$16:$B$20,0),0))*$V23</f>
        <v>-8.2388064283223734</v>
      </c>
      <c r="X23" s="98">
        <f t="shared" si="10"/>
        <v>265.24854388943515</v>
      </c>
    </row>
    <row r="24" spans="1:29" ht="13" x14ac:dyDescent="0.3">
      <c r="A24" s="4" t="str">
        <f>'Forecast drivers'!B25</f>
        <v>SRN</v>
      </c>
      <c r="B24" s="4">
        <f>'Forecast drivers'!C25</f>
        <v>2023</v>
      </c>
      <c r="C24" s="31" t="str">
        <f>'Forecast drivers'!A25</f>
        <v>SRN23</v>
      </c>
      <c r="D24" s="43">
        <f>EXP('Model Coeffs'!$D$16+'Model Coeffs'!$D$6*'Forecast drivers'!E25+'Model Coeffs'!$D$7*'Forecast drivers'!I25+'Model Coeffs'!$D$8*'Forecast drivers'!H25)</f>
        <v>134.87741620638172</v>
      </c>
      <c r="E24" s="43">
        <f>EXP('Model Coeffs'!$E$16+'Model Coeffs'!$E$6*'Forecast drivers'!E25+'Model Coeffs'!$E$7*'Forecast drivers'!I25+'Model Coeffs'!$E$9*'Forecast drivers'!M25)</f>
        <v>121.10436740144077</v>
      </c>
      <c r="F24" s="43">
        <f>EXP('Model Coeffs'!$F$16+'Model Coeffs'!$F$10*'Forecast drivers'!F25+'Model Coeffs'!$F$11*'Forecast drivers'!J25+'Model Coeffs'!$F$12*'Forecast drivers'!K25)</f>
        <v>115.48163509993493</v>
      </c>
      <c r="G24" s="43">
        <f>EXP('Model Coeffs'!$G$16+'Model Coeffs'!$G$10*'Forecast drivers'!F25+'Model Coeffs'!$G$12*'Forecast drivers'!K25+'Model Coeffs'!$G$13*'Forecast drivers'!L25)</f>
        <v>116.17989331690784</v>
      </c>
      <c r="H24" s="44">
        <f>EXP('Model Coeffs'!$H$16+'Model Coeffs'!$H$9*'Forecast drivers'!M25+'Model Coeffs'!$H$14*'Forecast drivers'!G25)</f>
        <v>46.004741900560916</v>
      </c>
      <c r="I24" s="44">
        <f>EXP('Model Coeffs'!$I$16+'Model Coeffs'!$I$14*'Forecast drivers'!G25+'Model Coeffs'!$I$15*'Forecast drivers'!N25)</f>
        <v>40.905845180447102</v>
      </c>
      <c r="J24" s="44">
        <f>EXP('Model Coeffs'!$J$16+'Model Coeffs'!$J$10*'Forecast drivers'!F25+'Model Coeffs'!$J$11*'Forecast drivers'!J25+'Model Coeffs'!$J$12*'Forecast drivers'!K25)</f>
        <v>156.74190704222727</v>
      </c>
      <c r="K24" s="44">
        <f>EXP('Model Coeffs'!$K$16+'Model Coeffs'!$K$10*'Forecast drivers'!F25+'Model Coeffs'!$K$12*'Forecast drivers'!K25+'Model Coeffs'!$K$13*'Forecast drivers'!L25)</f>
        <v>157.47712224701397</v>
      </c>
      <c r="L24" s="66"/>
      <c r="M24" s="139">
        <f t="shared" si="2"/>
        <v>127.99089180391124</v>
      </c>
      <c r="N24" s="139">
        <f t="shared" si="3"/>
        <v>115.83076420842139</v>
      </c>
      <c r="O24" s="139">
        <f t="shared" si="4"/>
        <v>243.82165601233262</v>
      </c>
      <c r="P24" s="139">
        <f t="shared" si="5"/>
        <v>43.455293540504009</v>
      </c>
      <c r="Q24" s="139">
        <f t="shared" si="6"/>
        <v>157.10951464462062</v>
      </c>
      <c r="R24" s="139">
        <f t="shared" si="7"/>
        <v>287.27694955283664</v>
      </c>
      <c r="S24" s="139">
        <f t="shared" si="8"/>
        <v>285.10040644853188</v>
      </c>
      <c r="T24" s="140">
        <f t="shared" si="9"/>
        <v>286.18867800068426</v>
      </c>
      <c r="V24" s="139">
        <f>Controls!$E$14*T24</f>
        <v>275.70035697074661</v>
      </c>
      <c r="W24" s="149">
        <f>-(INDEX(Controls!$E$16:$E$20,MATCH($B24,Controls!$B$16:$B$20,0),0))*$V24</f>
        <v>-12.510213860449094</v>
      </c>
      <c r="X24" s="98">
        <f t="shared" si="10"/>
        <v>263.19014311029753</v>
      </c>
    </row>
    <row r="25" spans="1:29" ht="13" x14ac:dyDescent="0.3">
      <c r="A25" s="4" t="str">
        <f>'Forecast drivers'!B26</f>
        <v>SRN</v>
      </c>
      <c r="B25" s="4">
        <f>'Forecast drivers'!C26</f>
        <v>2024</v>
      </c>
      <c r="C25" s="31" t="str">
        <f>'Forecast drivers'!A26</f>
        <v>SRN24</v>
      </c>
      <c r="D25" s="43">
        <f>EXP('Model Coeffs'!$D$16+'Model Coeffs'!$D$6*'Forecast drivers'!E26+'Model Coeffs'!$D$7*'Forecast drivers'!I26+'Model Coeffs'!$D$8*'Forecast drivers'!H26)</f>
        <v>135.89188774966533</v>
      </c>
      <c r="E25" s="43">
        <f>EXP('Model Coeffs'!$E$16+'Model Coeffs'!$E$6*'Forecast drivers'!E26+'Model Coeffs'!$E$7*'Forecast drivers'!I26+'Model Coeffs'!$E$9*'Forecast drivers'!M26)</f>
        <v>121.30577063325092</v>
      </c>
      <c r="F25" s="43">
        <f>EXP('Model Coeffs'!$F$16+'Model Coeffs'!$F$10*'Forecast drivers'!F26+'Model Coeffs'!$F$11*'Forecast drivers'!J26+'Model Coeffs'!$F$12*'Forecast drivers'!K26)</f>
        <v>116.79902589241485</v>
      </c>
      <c r="G25" s="43">
        <f>EXP('Model Coeffs'!$G$16+'Model Coeffs'!$G$10*'Forecast drivers'!F26+'Model Coeffs'!$G$12*'Forecast drivers'!K26+'Model Coeffs'!$G$13*'Forecast drivers'!L26)</f>
        <v>117.47844106546938</v>
      </c>
      <c r="H25" s="44">
        <f>EXP('Model Coeffs'!$H$16+'Model Coeffs'!$H$9*'Forecast drivers'!M26+'Model Coeffs'!$H$14*'Forecast drivers'!G26)</f>
        <v>46.466610358274778</v>
      </c>
      <c r="I25" s="44">
        <f>EXP('Model Coeffs'!$I$16+'Model Coeffs'!$I$14*'Forecast drivers'!G26+'Model Coeffs'!$I$15*'Forecast drivers'!N26)</f>
        <v>41.282615933949515</v>
      </c>
      <c r="J25" s="44">
        <f>EXP('Model Coeffs'!$J$16+'Model Coeffs'!$J$10*'Forecast drivers'!F26+'Model Coeffs'!$J$11*'Forecast drivers'!J26+'Model Coeffs'!$J$12*'Forecast drivers'!K26)</f>
        <v>158.5141150046997</v>
      </c>
      <c r="K25" s="44">
        <f>EXP('Model Coeffs'!$K$16+'Model Coeffs'!$K$10*'Forecast drivers'!F26+'Model Coeffs'!$K$12*'Forecast drivers'!K26+'Model Coeffs'!$K$13*'Forecast drivers'!L26)</f>
        <v>159.21868292692625</v>
      </c>
      <c r="L25" s="66"/>
      <c r="M25" s="139">
        <f t="shared" si="2"/>
        <v>128.59882919145812</v>
      </c>
      <c r="N25" s="139">
        <f t="shared" si="3"/>
        <v>117.13873347894211</v>
      </c>
      <c r="O25" s="139">
        <f t="shared" si="4"/>
        <v>245.73756267040022</v>
      </c>
      <c r="P25" s="139">
        <f t="shared" si="5"/>
        <v>43.874613146112146</v>
      </c>
      <c r="Q25" s="139">
        <f t="shared" si="6"/>
        <v>158.86639896581298</v>
      </c>
      <c r="R25" s="139">
        <f t="shared" si="7"/>
        <v>289.61217581651238</v>
      </c>
      <c r="S25" s="139">
        <f t="shared" si="8"/>
        <v>287.4652281572711</v>
      </c>
      <c r="T25" s="140">
        <f t="shared" si="9"/>
        <v>288.53870198689174</v>
      </c>
      <c r="V25" s="139">
        <f>Controls!$E$14*T25</f>
        <v>277.96425663447008</v>
      </c>
      <c r="W25" s="149">
        <f>-(INDEX(Controls!$E$16:$E$20,MATCH($B25,Controls!$B$16:$B$20,0),0))*$V25</f>
        <v>-16.887582383068963</v>
      </c>
      <c r="X25" s="98">
        <f t="shared" si="10"/>
        <v>261.07667425140113</v>
      </c>
    </row>
    <row r="26" spans="1:29" ht="13" x14ac:dyDescent="0.3">
      <c r="A26" s="4" t="str">
        <f>'Forecast drivers'!B27</f>
        <v>SRN</v>
      </c>
      <c r="B26" s="4">
        <f>'Forecast drivers'!C27</f>
        <v>2025</v>
      </c>
      <c r="C26" s="31" t="str">
        <f>'Forecast drivers'!A27</f>
        <v>SRN25</v>
      </c>
      <c r="D26" s="43">
        <f>EXP('Model Coeffs'!$D$16+'Model Coeffs'!$D$6*'Forecast drivers'!E27+'Model Coeffs'!$D$7*'Forecast drivers'!I27+'Model Coeffs'!$D$8*'Forecast drivers'!H27)</f>
        <v>136.90670899304595</v>
      </c>
      <c r="E26" s="43">
        <f>EXP('Model Coeffs'!$E$16+'Model Coeffs'!$E$6*'Forecast drivers'!E27+'Model Coeffs'!$E$7*'Forecast drivers'!I27+'Model Coeffs'!$E$9*'Forecast drivers'!M27)</f>
        <v>121.50704021603264</v>
      </c>
      <c r="F26" s="43">
        <f>EXP('Model Coeffs'!$F$16+'Model Coeffs'!$F$10*'Forecast drivers'!F27+'Model Coeffs'!$F$11*'Forecast drivers'!J27+'Model Coeffs'!$F$12*'Forecast drivers'!K27)</f>
        <v>118.11258539571135</v>
      </c>
      <c r="G26" s="43">
        <f>EXP('Model Coeffs'!$G$16+'Model Coeffs'!$G$10*'Forecast drivers'!F27+'Model Coeffs'!$G$12*'Forecast drivers'!K27+'Model Coeffs'!$G$13*'Forecast drivers'!L27)</f>
        <v>118.77291901147908</v>
      </c>
      <c r="H26" s="44">
        <f>EXP('Model Coeffs'!$H$16+'Model Coeffs'!$H$9*'Forecast drivers'!M27+'Model Coeffs'!$H$14*'Forecast drivers'!G27)</f>
        <v>47.005775256650409</v>
      </c>
      <c r="I26" s="44">
        <f>EXP('Model Coeffs'!$I$16+'Model Coeffs'!$I$14*'Forecast drivers'!G27+'Model Coeffs'!$I$15*'Forecast drivers'!N27)</f>
        <v>41.625427188864748</v>
      </c>
      <c r="J26" s="44">
        <f>EXP('Model Coeffs'!$J$16+'Model Coeffs'!$J$10*'Forecast drivers'!F27+'Model Coeffs'!$J$11*'Forecast drivers'!J27+'Model Coeffs'!$J$12*'Forecast drivers'!K27)</f>
        <v>160.28099329785897</v>
      </c>
      <c r="K26" s="44">
        <f>EXP('Model Coeffs'!$K$16+'Model Coeffs'!$K$10*'Forecast drivers'!F27+'Model Coeffs'!$K$12*'Forecast drivers'!K27+'Model Coeffs'!$K$13*'Forecast drivers'!L27)</f>
        <v>160.9545843393457</v>
      </c>
      <c r="L26" s="66"/>
      <c r="M26" s="139">
        <f t="shared" si="2"/>
        <v>129.20687460453928</v>
      </c>
      <c r="N26" s="139">
        <f t="shared" si="3"/>
        <v>118.44275220359521</v>
      </c>
      <c r="O26" s="139">
        <f t="shared" si="4"/>
        <v>247.64962680813449</v>
      </c>
      <c r="P26" s="139">
        <f t="shared" si="5"/>
        <v>44.315601222757579</v>
      </c>
      <c r="Q26" s="139">
        <f t="shared" si="6"/>
        <v>160.61778881860232</v>
      </c>
      <c r="R26" s="139">
        <f t="shared" si="7"/>
        <v>291.96522803089204</v>
      </c>
      <c r="S26" s="139">
        <f t="shared" si="8"/>
        <v>289.8246634231416</v>
      </c>
      <c r="T26" s="140">
        <f t="shared" si="9"/>
        <v>290.89494572701682</v>
      </c>
      <c r="V26" s="139">
        <f>Controls!$E$14*T26</f>
        <v>280.23414810886663</v>
      </c>
      <c r="W26" s="149">
        <f>-(INDEX(Controls!$E$16:$E$20,MATCH($B26,Controls!$B$16:$B$20,0),0))*$V26</f>
        <v>-21.37102134380531</v>
      </c>
      <c r="X26" s="98">
        <f t="shared" si="10"/>
        <v>258.86312676506134</v>
      </c>
    </row>
    <row r="27" spans="1:29" ht="13" x14ac:dyDescent="0.3">
      <c r="A27" s="4" t="str">
        <f>'Forecast drivers'!B33</f>
        <v>SWB</v>
      </c>
      <c r="B27" s="4">
        <f>'Forecast drivers'!C33</f>
        <v>2021</v>
      </c>
      <c r="C27" s="31" t="str">
        <f>'Forecast drivers'!A33</f>
        <v>SWB21</v>
      </c>
      <c r="D27" s="43">
        <f>EXP('Model Coeffs'!$D$16+'Model Coeffs'!$D$6*'Forecast drivers'!E33+'Model Coeffs'!$D$7*'Forecast drivers'!I33+'Model Coeffs'!$D$8*'Forecast drivers'!H33)</f>
        <v>55.411692302164099</v>
      </c>
      <c r="E27" s="43">
        <f>EXP('Model Coeffs'!$E$16+'Model Coeffs'!$E$6*'Forecast drivers'!E33+'Model Coeffs'!$E$7*'Forecast drivers'!I33+'Model Coeffs'!$E$9*'Forecast drivers'!M33)</f>
        <v>54.696236344296373</v>
      </c>
      <c r="F27" s="43">
        <f>EXP('Model Coeffs'!$F$16+'Model Coeffs'!$F$10*'Forecast drivers'!F33+'Model Coeffs'!$F$11*'Forecast drivers'!J33+'Model Coeffs'!$F$12*'Forecast drivers'!K33)</f>
        <v>65.892957130666488</v>
      </c>
      <c r="G27" s="43">
        <f>EXP('Model Coeffs'!$G$16+'Model Coeffs'!$G$10*'Forecast drivers'!F33+'Model Coeffs'!$G$12*'Forecast drivers'!K33+'Model Coeffs'!$G$13*'Forecast drivers'!L33)</f>
        <v>63.921725539069449</v>
      </c>
      <c r="H27" s="44">
        <f>EXP('Model Coeffs'!$H$16+'Model Coeffs'!$H$9*'Forecast drivers'!M33+'Model Coeffs'!$H$14*'Forecast drivers'!G33)</f>
        <v>16.212753432306222</v>
      </c>
      <c r="I27" s="44">
        <f>EXP('Model Coeffs'!$I$16+'Model Coeffs'!$I$14*'Forecast drivers'!G33+'Model Coeffs'!$I$15*'Forecast drivers'!N33)</f>
        <v>18.35548641314465</v>
      </c>
      <c r="J27" s="44">
        <f>EXP('Model Coeffs'!$J$16+'Model Coeffs'!$J$10*'Forecast drivers'!F33+'Model Coeffs'!$J$11*'Forecast drivers'!J33+'Model Coeffs'!$J$12*'Forecast drivers'!K33)</f>
        <v>85.024507185576482</v>
      </c>
      <c r="K27" s="44">
        <f>EXP('Model Coeffs'!$K$16+'Model Coeffs'!$K$10*'Forecast drivers'!F33+'Model Coeffs'!$K$12*'Forecast drivers'!K33+'Model Coeffs'!$K$13*'Forecast drivers'!L33)</f>
        <v>82.827066688869223</v>
      </c>
      <c r="L27" s="66"/>
      <c r="M27" s="139">
        <f t="shared" si="2"/>
        <v>55.053964323230232</v>
      </c>
      <c r="N27" s="139">
        <f t="shared" si="3"/>
        <v>64.907341334867965</v>
      </c>
      <c r="O27" s="139">
        <f t="shared" si="4"/>
        <v>119.9613056580982</v>
      </c>
      <c r="P27" s="139">
        <f t="shared" si="5"/>
        <v>17.284119922725438</v>
      </c>
      <c r="Q27" s="139">
        <f t="shared" si="6"/>
        <v>83.925786937222853</v>
      </c>
      <c r="R27" s="139">
        <f t="shared" si="7"/>
        <v>137.24542558082362</v>
      </c>
      <c r="S27" s="139">
        <f t="shared" si="8"/>
        <v>138.9797512604531</v>
      </c>
      <c r="T27" s="140">
        <f t="shared" si="9"/>
        <v>138.11258842063836</v>
      </c>
      <c r="V27" s="139">
        <f>Controls!$E$14*T27</f>
        <v>133.05100046491972</v>
      </c>
      <c r="W27" s="149">
        <f>-(INDEX(Controls!$E$16:$E$20,MATCH($B27,Controls!$B$16:$B$20,0),0))*$V27</f>
        <v>-1.9957650069737829</v>
      </c>
      <c r="X27" s="98">
        <f t="shared" si="10"/>
        <v>131.05523545794594</v>
      </c>
    </row>
    <row r="28" spans="1:29" ht="13" x14ac:dyDescent="0.3">
      <c r="A28" s="4" t="str">
        <f>'Forecast drivers'!B34</f>
        <v>SWB</v>
      </c>
      <c r="B28" s="4">
        <f>'Forecast drivers'!C34</f>
        <v>2022</v>
      </c>
      <c r="C28" s="31" t="str">
        <f>'Forecast drivers'!A34</f>
        <v>SWB22</v>
      </c>
      <c r="D28" s="43">
        <f>EXP('Model Coeffs'!$D$16+'Model Coeffs'!$D$6*'Forecast drivers'!E34+'Model Coeffs'!$D$7*'Forecast drivers'!I34+'Model Coeffs'!$D$8*'Forecast drivers'!H34)</f>
        <v>56.043189858522602</v>
      </c>
      <c r="E28" s="43">
        <f>EXP('Model Coeffs'!$E$16+'Model Coeffs'!$E$6*'Forecast drivers'!E34+'Model Coeffs'!$E$7*'Forecast drivers'!I34+'Model Coeffs'!$E$9*'Forecast drivers'!M34)</f>
        <v>54.779957821870454</v>
      </c>
      <c r="F28" s="43">
        <f>EXP('Model Coeffs'!$F$16+'Model Coeffs'!$F$10*'Forecast drivers'!F34+'Model Coeffs'!$F$11*'Forecast drivers'!J34+'Model Coeffs'!$F$12*'Forecast drivers'!K34)</f>
        <v>66.385093595311574</v>
      </c>
      <c r="G28" s="43">
        <f>EXP('Model Coeffs'!$G$16+'Model Coeffs'!$G$10*'Forecast drivers'!F34+'Model Coeffs'!$G$12*'Forecast drivers'!K34+'Model Coeffs'!$G$13*'Forecast drivers'!L34)</f>
        <v>64.389500946608649</v>
      </c>
      <c r="H28" s="44">
        <f>EXP('Model Coeffs'!$H$16+'Model Coeffs'!$H$9*'Forecast drivers'!M34+'Model Coeffs'!$H$14*'Forecast drivers'!G34)</f>
        <v>16.335015386027415</v>
      </c>
      <c r="I28" s="44">
        <f>EXP('Model Coeffs'!$I$16+'Model Coeffs'!$I$14*'Forecast drivers'!G34+'Model Coeffs'!$I$15*'Forecast drivers'!N34)</f>
        <v>18.458447003464848</v>
      </c>
      <c r="J28" s="44">
        <f>EXP('Model Coeffs'!$J$16+'Model Coeffs'!$J$10*'Forecast drivers'!F34+'Model Coeffs'!$J$11*'Forecast drivers'!J34+'Model Coeffs'!$J$12*'Forecast drivers'!K34)</f>
        <v>85.653906159657353</v>
      </c>
      <c r="K28" s="44">
        <f>EXP('Model Coeffs'!$K$16+'Model Coeffs'!$K$10*'Forecast drivers'!F34+'Model Coeffs'!$K$12*'Forecast drivers'!K34+'Model Coeffs'!$K$13*'Forecast drivers'!L34)</f>
        <v>83.42680819429701</v>
      </c>
      <c r="L28" s="66"/>
      <c r="M28" s="139">
        <f t="shared" si="2"/>
        <v>55.411573840196525</v>
      </c>
      <c r="N28" s="139">
        <f t="shared" si="3"/>
        <v>65.387297270960119</v>
      </c>
      <c r="O28" s="139">
        <f t="shared" si="4"/>
        <v>120.79887111115664</v>
      </c>
      <c r="P28" s="139">
        <f t="shared" si="5"/>
        <v>17.396731194746131</v>
      </c>
      <c r="Q28" s="139">
        <f t="shared" si="6"/>
        <v>84.540357176977182</v>
      </c>
      <c r="R28" s="139">
        <f t="shared" si="7"/>
        <v>138.19560230590278</v>
      </c>
      <c r="S28" s="139">
        <f t="shared" si="8"/>
        <v>139.95193101717371</v>
      </c>
      <c r="T28" s="140">
        <f t="shared" si="9"/>
        <v>139.07376666153823</v>
      </c>
      <c r="V28" s="139">
        <f>Controls!$E$14*T28</f>
        <v>133.97695318247611</v>
      </c>
      <c r="W28" s="149">
        <f>-(INDEX(Controls!$E$16:$E$20,MATCH($B28,Controls!$B$16:$B$20,0),0))*$V28</f>
        <v>-4.0360557146220577</v>
      </c>
      <c r="X28" s="98">
        <f t="shared" si="10"/>
        <v>129.94089746785406</v>
      </c>
    </row>
    <row r="29" spans="1:29" ht="13" x14ac:dyDescent="0.3">
      <c r="A29" s="4" t="str">
        <f>'Forecast drivers'!B35</f>
        <v>SWB</v>
      </c>
      <c r="B29" s="4">
        <f>'Forecast drivers'!C35</f>
        <v>2023</v>
      </c>
      <c r="C29" s="31" t="str">
        <f>'Forecast drivers'!A35</f>
        <v>SWB23</v>
      </c>
      <c r="D29" s="43">
        <f>EXP('Model Coeffs'!$D$16+'Model Coeffs'!$D$6*'Forecast drivers'!E35+'Model Coeffs'!$D$7*'Forecast drivers'!I35+'Model Coeffs'!$D$8*'Forecast drivers'!H35)</f>
        <v>56.675718292876923</v>
      </c>
      <c r="E29" s="43">
        <f>EXP('Model Coeffs'!$E$16+'Model Coeffs'!$E$6*'Forecast drivers'!E35+'Model Coeffs'!$E$7*'Forecast drivers'!I35+'Model Coeffs'!$E$9*'Forecast drivers'!M35)</f>
        <v>54.863628156075961</v>
      </c>
      <c r="F29" s="43">
        <f>EXP('Model Coeffs'!$F$16+'Model Coeffs'!$F$10*'Forecast drivers'!F35+'Model Coeffs'!$F$11*'Forecast drivers'!J35+'Model Coeffs'!$F$12*'Forecast drivers'!K35)</f>
        <v>66.876288428116709</v>
      </c>
      <c r="G29" s="43">
        <f>EXP('Model Coeffs'!$G$16+'Model Coeffs'!$G$10*'Forecast drivers'!F35+'Model Coeffs'!$G$12*'Forecast drivers'!K35+'Model Coeffs'!$G$13*'Forecast drivers'!L35)</f>
        <v>64.856311781709167</v>
      </c>
      <c r="H29" s="44">
        <f>EXP('Model Coeffs'!$H$16+'Model Coeffs'!$H$9*'Forecast drivers'!M35+'Model Coeffs'!$H$14*'Forecast drivers'!G35)</f>
        <v>16.457327566395069</v>
      </c>
      <c r="I29" s="44">
        <f>EXP('Model Coeffs'!$I$16+'Model Coeffs'!$I$14*'Forecast drivers'!G35+'Model Coeffs'!$I$15*'Forecast drivers'!N35)</f>
        <v>18.561338696096261</v>
      </c>
      <c r="J29" s="44">
        <f>EXP('Model Coeffs'!$J$16+'Model Coeffs'!$J$10*'Forecast drivers'!F35+'Model Coeffs'!$J$11*'Forecast drivers'!J35+'Model Coeffs'!$J$12*'Forecast drivers'!K35)</f>
        <v>86.282059804318777</v>
      </c>
      <c r="K29" s="44">
        <f>EXP('Model Coeffs'!$K$16+'Model Coeffs'!$K$10*'Forecast drivers'!F35+'Model Coeffs'!$K$12*'Forecast drivers'!K35+'Model Coeffs'!$K$13*'Forecast drivers'!L35)</f>
        <v>84.025267439026607</v>
      </c>
      <c r="L29" s="66"/>
      <c r="M29" s="139">
        <f t="shared" si="2"/>
        <v>55.769673224476442</v>
      </c>
      <c r="N29" s="139">
        <f t="shared" si="3"/>
        <v>65.866300104912938</v>
      </c>
      <c r="O29" s="139">
        <f t="shared" si="4"/>
        <v>121.63597332938937</v>
      </c>
      <c r="P29" s="139">
        <f t="shared" si="5"/>
        <v>17.509333131245665</v>
      </c>
      <c r="Q29" s="139">
        <f t="shared" si="6"/>
        <v>85.153663621672692</v>
      </c>
      <c r="R29" s="139">
        <f t="shared" si="7"/>
        <v>139.14530646063503</v>
      </c>
      <c r="S29" s="139">
        <f t="shared" si="8"/>
        <v>140.92333684614914</v>
      </c>
      <c r="T29" s="140">
        <f t="shared" si="9"/>
        <v>140.03432165339208</v>
      </c>
      <c r="V29" s="139">
        <f>Controls!$E$14*T29</f>
        <v>134.90230549198819</v>
      </c>
      <c r="W29" s="149">
        <f>-(INDEX(Controls!$E$16:$E$20,MATCH($B29,Controls!$B$16:$B$20,0),0))*$V29</f>
        <v>-6.1213438767925812</v>
      </c>
      <c r="X29" s="98">
        <f t="shared" si="10"/>
        <v>128.78096161519559</v>
      </c>
    </row>
    <row r="30" spans="1:29" ht="13" x14ac:dyDescent="0.3">
      <c r="A30" s="4" t="str">
        <f>'Forecast drivers'!B36</f>
        <v>SWB</v>
      </c>
      <c r="B30" s="4">
        <f>'Forecast drivers'!C36</f>
        <v>2024</v>
      </c>
      <c r="C30" s="31" t="str">
        <f>'Forecast drivers'!A36</f>
        <v>SWB24</v>
      </c>
      <c r="D30" s="43">
        <f>EXP('Model Coeffs'!$D$16+'Model Coeffs'!$D$6*'Forecast drivers'!E36+'Model Coeffs'!$D$7*'Forecast drivers'!I36+'Model Coeffs'!$D$8*'Forecast drivers'!H36)</f>
        <v>57.309260808512633</v>
      </c>
      <c r="E30" s="43">
        <f>EXP('Model Coeffs'!$E$16+'Model Coeffs'!$E$6*'Forecast drivers'!E36+'Model Coeffs'!$E$7*'Forecast drivers'!I36+'Model Coeffs'!$E$9*'Forecast drivers'!M36)</f>
        <v>54.947247487213474</v>
      </c>
      <c r="F30" s="43">
        <f>EXP('Model Coeffs'!$F$16+'Model Coeffs'!$F$10*'Forecast drivers'!F36+'Model Coeffs'!$F$11*'Forecast drivers'!J36+'Model Coeffs'!$F$12*'Forecast drivers'!K36)</f>
        <v>67.366552102422716</v>
      </c>
      <c r="G30" s="43">
        <f>EXP('Model Coeffs'!$G$16+'Model Coeffs'!$G$10*'Forecast drivers'!F36+'Model Coeffs'!$G$12*'Forecast drivers'!K36+'Model Coeffs'!$G$13*'Forecast drivers'!L36)</f>
        <v>65.322168914311533</v>
      </c>
      <c r="H30" s="44">
        <f>EXP('Model Coeffs'!$H$16+'Model Coeffs'!$H$9*'Forecast drivers'!M36+'Model Coeffs'!$H$14*'Forecast drivers'!G36)</f>
        <v>16.579689640939826</v>
      </c>
      <c r="I30" s="44">
        <f>EXP('Model Coeffs'!$I$16+'Model Coeffs'!$I$14*'Forecast drivers'!G36+'Model Coeffs'!$I$15*'Forecast drivers'!N36)</f>
        <v>18.664161548663895</v>
      </c>
      <c r="J30" s="44">
        <f>EXP('Model Coeffs'!$J$16+'Model Coeffs'!$J$10*'Forecast drivers'!F36+'Model Coeffs'!$J$11*'Forecast drivers'!J36+'Model Coeffs'!$J$12*'Forecast drivers'!K36)</f>
        <v>86.908982050923441</v>
      </c>
      <c r="K30" s="44">
        <f>EXP('Model Coeffs'!$K$16+'Model Coeffs'!$K$10*'Forecast drivers'!F36+'Model Coeffs'!$K$12*'Forecast drivers'!K36+'Model Coeffs'!$K$13*'Forecast drivers'!L36)</f>
        <v>84.622458969168591</v>
      </c>
      <c r="L30" s="66"/>
      <c r="M30" s="139">
        <f t="shared" si="2"/>
        <v>56.128254147863053</v>
      </c>
      <c r="N30" s="139">
        <f t="shared" si="3"/>
        <v>66.344360508367117</v>
      </c>
      <c r="O30" s="139">
        <f t="shared" si="4"/>
        <v>122.47261465623018</v>
      </c>
      <c r="P30" s="139">
        <f t="shared" si="5"/>
        <v>17.621925594801858</v>
      </c>
      <c r="Q30" s="139">
        <f t="shared" si="6"/>
        <v>85.765720510046009</v>
      </c>
      <c r="R30" s="139">
        <f t="shared" si="7"/>
        <v>140.09454025103204</v>
      </c>
      <c r="S30" s="139">
        <f t="shared" si="8"/>
        <v>141.89397465790907</v>
      </c>
      <c r="T30" s="140">
        <f t="shared" si="9"/>
        <v>140.99425745447056</v>
      </c>
      <c r="V30" s="139">
        <f>Controls!$E$14*T30</f>
        <v>135.82706130299795</v>
      </c>
      <c r="W30" s="149">
        <f>-(INDEX(Controls!$E$16:$E$20,MATCH($B30,Controls!$B$16:$B$20,0),0))*$V30</f>
        <v>-8.2521066390954303</v>
      </c>
      <c r="X30" s="98">
        <f t="shared" si="10"/>
        <v>127.57495466390252</v>
      </c>
    </row>
    <row r="31" spans="1:29" ht="13" x14ac:dyDescent="0.3">
      <c r="A31" s="4" t="str">
        <f>'Forecast drivers'!B37</f>
        <v>SWB</v>
      </c>
      <c r="B31" s="4">
        <f>'Forecast drivers'!C37</f>
        <v>2025</v>
      </c>
      <c r="C31" s="31" t="str">
        <f>'Forecast drivers'!A37</f>
        <v>SWB25</v>
      </c>
      <c r="D31" s="43">
        <f>EXP('Model Coeffs'!$D$16+'Model Coeffs'!$D$6*'Forecast drivers'!E37+'Model Coeffs'!$D$7*'Forecast drivers'!I37+'Model Coeffs'!$D$8*'Forecast drivers'!H37)</f>
        <v>57.943800890997636</v>
      </c>
      <c r="E31" s="43">
        <f>EXP('Model Coeffs'!$E$16+'Model Coeffs'!$E$6*'Forecast drivers'!E37+'Model Coeffs'!$E$7*'Forecast drivers'!I37+'Model Coeffs'!$E$9*'Forecast drivers'!M37)</f>
        <v>55.030815954900618</v>
      </c>
      <c r="F31" s="43">
        <f>EXP('Model Coeffs'!$F$16+'Model Coeffs'!$F$10*'Forecast drivers'!F37+'Model Coeffs'!$F$11*'Forecast drivers'!J37+'Model Coeffs'!$F$12*'Forecast drivers'!K37)</f>
        <v>67.855894880390011</v>
      </c>
      <c r="G31" s="43">
        <f>EXP('Model Coeffs'!$G$16+'Model Coeffs'!$G$10*'Forecast drivers'!F37+'Model Coeffs'!$G$12*'Forecast drivers'!K37+'Model Coeffs'!$G$13*'Forecast drivers'!L37)</f>
        <v>65.787082993607129</v>
      </c>
      <c r="H31" s="44">
        <f>EXP('Model Coeffs'!$H$16+'Model Coeffs'!$H$9*'Forecast drivers'!M37+'Model Coeffs'!$H$14*'Forecast drivers'!G37)</f>
        <v>16.742916120616897</v>
      </c>
      <c r="I31" s="44">
        <f>EXP('Model Coeffs'!$I$16+'Model Coeffs'!$I$14*'Forecast drivers'!G37+'Model Coeffs'!$I$15*'Forecast drivers'!N37)</f>
        <v>18.818198580587829</v>
      </c>
      <c r="J31" s="44">
        <f>EXP('Model Coeffs'!$J$16+'Model Coeffs'!$J$10*'Forecast drivers'!F37+'Model Coeffs'!$J$11*'Forecast drivers'!J37+'Model Coeffs'!$J$12*'Forecast drivers'!K37)</f>
        <v>87.534686549043272</v>
      </c>
      <c r="K31" s="44">
        <f>EXP('Model Coeffs'!$K$16+'Model Coeffs'!$K$10*'Forecast drivers'!F37+'Model Coeffs'!$K$12*'Forecast drivers'!K37+'Model Coeffs'!$K$13*'Forecast drivers'!L37)</f>
        <v>85.218397034352634</v>
      </c>
      <c r="L31" s="66"/>
      <c r="M31" s="139">
        <f t="shared" si="2"/>
        <v>56.487308422949127</v>
      </c>
      <c r="N31" s="139">
        <f t="shared" si="3"/>
        <v>66.821488936998577</v>
      </c>
      <c r="O31" s="139">
        <f t="shared" si="4"/>
        <v>123.3087973599477</v>
      </c>
      <c r="P31" s="139">
        <f t="shared" si="5"/>
        <v>17.780557350602365</v>
      </c>
      <c r="Q31" s="139">
        <f t="shared" si="6"/>
        <v>86.376541791697946</v>
      </c>
      <c r="R31" s="139">
        <f t="shared" si="7"/>
        <v>141.08935471055008</v>
      </c>
      <c r="S31" s="139">
        <f t="shared" si="8"/>
        <v>142.86385021464707</v>
      </c>
      <c r="T31" s="140">
        <f t="shared" si="9"/>
        <v>141.97660246259858</v>
      </c>
      <c r="V31" s="139">
        <f>Controls!$E$14*T31</f>
        <v>136.77340506230166</v>
      </c>
      <c r="W31" s="149">
        <f>-(INDEX(Controls!$E$16:$E$20,MATCH($B31,Controls!$B$16:$B$20,0),0))*$V31</f>
        <v>-10.430518116999227</v>
      </c>
      <c r="X31" s="98">
        <f t="shared" si="10"/>
        <v>126.34288694530244</v>
      </c>
    </row>
    <row r="32" spans="1:29" ht="13" x14ac:dyDescent="0.3">
      <c r="A32" s="4" t="str">
        <f>'Forecast drivers'!B38</f>
        <v>TMS</v>
      </c>
      <c r="B32" s="4">
        <f>'Forecast drivers'!C38</f>
        <v>2021</v>
      </c>
      <c r="C32" s="31" t="str">
        <f>'Forecast drivers'!A38</f>
        <v>TMS21</v>
      </c>
      <c r="D32" s="43">
        <f>EXP('Model Coeffs'!$D$16+'Model Coeffs'!$D$6*'Forecast drivers'!E38+'Model Coeffs'!$D$7*'Forecast drivers'!I38+'Model Coeffs'!$D$8*'Forecast drivers'!H38)</f>
        <v>268.10752156291665</v>
      </c>
      <c r="E32" s="43">
        <f>EXP('Model Coeffs'!$E$16+'Model Coeffs'!$E$6*'Forecast drivers'!E38+'Model Coeffs'!$E$7*'Forecast drivers'!I38+'Model Coeffs'!$E$9*'Forecast drivers'!M38)</f>
        <v>246.96440806722259</v>
      </c>
      <c r="F32" s="43">
        <f>EXP('Model Coeffs'!$F$16+'Model Coeffs'!$F$10*'Forecast drivers'!F38+'Model Coeffs'!$F$11*'Forecast drivers'!J38+'Model Coeffs'!$F$12*'Forecast drivers'!K38)</f>
        <v>347.02971212265544</v>
      </c>
      <c r="G32" s="43">
        <f>EXP('Model Coeffs'!$G$16+'Model Coeffs'!$G$10*'Forecast drivers'!F38+'Model Coeffs'!$G$12*'Forecast drivers'!K38+'Model Coeffs'!$G$13*'Forecast drivers'!L38)</f>
        <v>331.08333205996018</v>
      </c>
      <c r="H32" s="44">
        <f>EXP('Model Coeffs'!$H$16+'Model Coeffs'!$H$9*'Forecast drivers'!M38+'Model Coeffs'!$H$14*'Forecast drivers'!G38)</f>
        <v>113.88920077666289</v>
      </c>
      <c r="I32" s="44">
        <f>EXP('Model Coeffs'!$I$16+'Model Coeffs'!$I$14*'Forecast drivers'!G38+'Model Coeffs'!$I$15*'Forecast drivers'!N38)</f>
        <v>117.34457400486561</v>
      </c>
      <c r="J32" s="44">
        <f>EXP('Model Coeffs'!$J$16+'Model Coeffs'!$J$10*'Forecast drivers'!F38+'Model Coeffs'!$J$11*'Forecast drivers'!J38+'Model Coeffs'!$J$12*'Forecast drivers'!K38)</f>
        <v>514.82110801863496</v>
      </c>
      <c r="K32" s="44">
        <f>EXP('Model Coeffs'!$K$16+'Model Coeffs'!$K$10*'Forecast drivers'!F38+'Model Coeffs'!$K$12*'Forecast drivers'!K38+'Model Coeffs'!$K$13*'Forecast drivers'!L38)</f>
        <v>494.5965363885033</v>
      </c>
      <c r="L32" s="66"/>
      <c r="M32" s="139">
        <f t="shared" si="2"/>
        <v>257.53596481506963</v>
      </c>
      <c r="N32" s="139">
        <f t="shared" si="3"/>
        <v>339.05652209130778</v>
      </c>
      <c r="O32" s="139">
        <f t="shared" si="4"/>
        <v>596.59248690637742</v>
      </c>
      <c r="P32" s="139">
        <f t="shared" si="5"/>
        <v>115.61688739076425</v>
      </c>
      <c r="Q32" s="139">
        <f t="shared" si="6"/>
        <v>504.70882220356913</v>
      </c>
      <c r="R32" s="139">
        <f t="shared" si="7"/>
        <v>712.20937429714172</v>
      </c>
      <c r="S32" s="139">
        <f t="shared" si="8"/>
        <v>762.24478701863882</v>
      </c>
      <c r="T32" s="140">
        <f t="shared" si="9"/>
        <v>737.22708065789027</v>
      </c>
      <c r="V32" s="139">
        <f>Controls!$E$14*T32</f>
        <v>710.20898075288562</v>
      </c>
      <c r="W32" s="149">
        <f>-(INDEX(Controls!$E$16:$E$20,MATCH($B32,Controls!$B$16:$B$20,0),0))*$V32</f>
        <v>-10.653134711293214</v>
      </c>
      <c r="X32" s="98">
        <f t="shared" si="10"/>
        <v>699.55584604159242</v>
      </c>
    </row>
    <row r="33" spans="1:24" ht="13" x14ac:dyDescent="0.3">
      <c r="A33" s="4" t="str">
        <f>'Forecast drivers'!B39</f>
        <v>TMS</v>
      </c>
      <c r="B33" s="4">
        <f>'Forecast drivers'!C39</f>
        <v>2022</v>
      </c>
      <c r="C33" s="31" t="str">
        <f>'Forecast drivers'!A39</f>
        <v>TMS22</v>
      </c>
      <c r="D33" s="43">
        <f>EXP('Model Coeffs'!$D$16+'Model Coeffs'!$D$6*'Forecast drivers'!E39+'Model Coeffs'!$D$7*'Forecast drivers'!I39+'Model Coeffs'!$D$8*'Forecast drivers'!H39)</f>
        <v>270.7427830612454</v>
      </c>
      <c r="E33" s="43">
        <f>EXP('Model Coeffs'!$E$16+'Model Coeffs'!$E$6*'Forecast drivers'!E39+'Model Coeffs'!$E$7*'Forecast drivers'!I39+'Model Coeffs'!$E$9*'Forecast drivers'!M39)</f>
        <v>247.04241035731431</v>
      </c>
      <c r="F33" s="43">
        <f>EXP('Model Coeffs'!$F$16+'Model Coeffs'!$F$10*'Forecast drivers'!F39+'Model Coeffs'!$F$11*'Forecast drivers'!J39+'Model Coeffs'!$F$12*'Forecast drivers'!K39)</f>
        <v>350.18167490037837</v>
      </c>
      <c r="G33" s="43">
        <f>EXP('Model Coeffs'!$G$16+'Model Coeffs'!$G$10*'Forecast drivers'!F39+'Model Coeffs'!$G$12*'Forecast drivers'!K39+'Model Coeffs'!$G$13*'Forecast drivers'!L39)</f>
        <v>334.02970064545053</v>
      </c>
      <c r="H33" s="44">
        <f>EXP('Model Coeffs'!$H$16+'Model Coeffs'!$H$9*'Forecast drivers'!M39+'Model Coeffs'!$H$14*'Forecast drivers'!G39)</f>
        <v>117.10173242796292</v>
      </c>
      <c r="I33" s="44">
        <f>EXP('Model Coeffs'!$I$16+'Model Coeffs'!$I$14*'Forecast drivers'!G39+'Model Coeffs'!$I$15*'Forecast drivers'!N39)</f>
        <v>120.78566867660153</v>
      </c>
      <c r="J33" s="44">
        <f>EXP('Model Coeffs'!$J$16+'Model Coeffs'!$J$10*'Forecast drivers'!F39+'Model Coeffs'!$J$11*'Forecast drivers'!J39+'Model Coeffs'!$J$12*'Forecast drivers'!K39)</f>
        <v>519.4556097537519</v>
      </c>
      <c r="K33" s="44">
        <f>EXP('Model Coeffs'!$K$16+'Model Coeffs'!$K$10*'Forecast drivers'!F39+'Model Coeffs'!$K$12*'Forecast drivers'!K39+'Model Coeffs'!$K$13*'Forecast drivers'!L39)</f>
        <v>498.95165687394251</v>
      </c>
      <c r="L33" s="66"/>
      <c r="M33" s="139">
        <f t="shared" si="2"/>
        <v>258.89259670927987</v>
      </c>
      <c r="N33" s="139">
        <f t="shared" si="3"/>
        <v>342.10568777291445</v>
      </c>
      <c r="O33" s="139">
        <f t="shared" si="4"/>
        <v>600.99828448219432</v>
      </c>
      <c r="P33" s="139">
        <f t="shared" si="5"/>
        <v>118.94370055228222</v>
      </c>
      <c r="Q33" s="139">
        <f t="shared" si="6"/>
        <v>509.20363331384721</v>
      </c>
      <c r="R33" s="139">
        <f t="shared" si="7"/>
        <v>719.9419850344766</v>
      </c>
      <c r="S33" s="139">
        <f t="shared" si="8"/>
        <v>768.09623002312708</v>
      </c>
      <c r="T33" s="140">
        <f t="shared" si="9"/>
        <v>744.0191075288019</v>
      </c>
      <c r="V33" s="139">
        <f>Controls!$E$14*T33</f>
        <v>716.75209156337257</v>
      </c>
      <c r="W33" s="149">
        <f>-(INDEX(Controls!$E$16:$E$20,MATCH($B33,Controls!$B$16:$B$20,0),0))*$V33</f>
        <v>-21.592156758346409</v>
      </c>
      <c r="X33" s="98">
        <f t="shared" si="10"/>
        <v>695.15993480502618</v>
      </c>
    </row>
    <row r="34" spans="1:24" ht="13" x14ac:dyDescent="0.3">
      <c r="A34" s="4" t="str">
        <f>'Forecast drivers'!B40</f>
        <v>TMS</v>
      </c>
      <c r="B34" s="4">
        <f>'Forecast drivers'!C40</f>
        <v>2023</v>
      </c>
      <c r="C34" s="31" t="str">
        <f>'Forecast drivers'!A40</f>
        <v>TMS23</v>
      </c>
      <c r="D34" s="43">
        <f>EXP('Model Coeffs'!$D$16+'Model Coeffs'!$D$6*'Forecast drivers'!E40+'Model Coeffs'!$D$7*'Forecast drivers'!I40+'Model Coeffs'!$D$8*'Forecast drivers'!H40)</f>
        <v>273.38513485000135</v>
      </c>
      <c r="E34" s="43">
        <f>EXP('Model Coeffs'!$E$16+'Model Coeffs'!$E$6*'Forecast drivers'!E40+'Model Coeffs'!$E$7*'Forecast drivers'!I40+'Model Coeffs'!$E$9*'Forecast drivers'!M40)</f>
        <v>247.12040279843828</v>
      </c>
      <c r="F34" s="43">
        <f>EXP('Model Coeffs'!$F$16+'Model Coeffs'!$F$10*'Forecast drivers'!F40+'Model Coeffs'!$F$11*'Forecast drivers'!J40+'Model Coeffs'!$F$12*'Forecast drivers'!K40)</f>
        <v>353.32631830116037</v>
      </c>
      <c r="G34" s="43">
        <f>EXP('Model Coeffs'!$G$16+'Model Coeffs'!$G$10*'Forecast drivers'!F40+'Model Coeffs'!$G$12*'Forecast drivers'!K40+'Model Coeffs'!$G$13*'Forecast drivers'!L40)</f>
        <v>336.96869570708185</v>
      </c>
      <c r="H34" s="44">
        <f>EXP('Model Coeffs'!$H$16+'Model Coeffs'!$H$9*'Forecast drivers'!M40+'Model Coeffs'!$H$14*'Forecast drivers'!G40)</f>
        <v>117.95704359609206</v>
      </c>
      <c r="I34" s="44">
        <f>EXP('Model Coeffs'!$I$16+'Model Coeffs'!$I$14*'Forecast drivers'!G40+'Model Coeffs'!$I$15*'Forecast drivers'!N40)</f>
        <v>121.50687677182489</v>
      </c>
      <c r="J34" s="44">
        <f>EXP('Model Coeffs'!$J$16+'Model Coeffs'!$J$10*'Forecast drivers'!F40+'Model Coeffs'!$J$11*'Forecast drivers'!J40+'Model Coeffs'!$J$12*'Forecast drivers'!K40)</f>
        <v>524.07898250057394</v>
      </c>
      <c r="K34" s="44">
        <f>EXP('Model Coeffs'!$K$16+'Model Coeffs'!$K$10*'Forecast drivers'!F40+'Model Coeffs'!$K$12*'Forecast drivers'!K40+'Model Coeffs'!$K$13*'Forecast drivers'!L40)</f>
        <v>503.29547681331184</v>
      </c>
      <c r="L34" s="66"/>
      <c r="M34" s="139">
        <f t="shared" si="2"/>
        <v>260.2527688242198</v>
      </c>
      <c r="N34" s="139">
        <f t="shared" si="3"/>
        <v>345.14750700412111</v>
      </c>
      <c r="O34" s="139">
        <f t="shared" si="4"/>
        <v>605.40027582834091</v>
      </c>
      <c r="P34" s="139">
        <f t="shared" si="5"/>
        <v>119.73196018395848</v>
      </c>
      <c r="Q34" s="139">
        <f t="shared" si="6"/>
        <v>513.68722965694292</v>
      </c>
      <c r="R34" s="139">
        <f t="shared" si="7"/>
        <v>725.13223601229936</v>
      </c>
      <c r="S34" s="139">
        <f t="shared" si="8"/>
        <v>773.93999848116277</v>
      </c>
      <c r="T34" s="140">
        <f t="shared" si="9"/>
        <v>749.53611724673101</v>
      </c>
      <c r="V34" s="139">
        <f>Controls!$E$14*T34</f>
        <v>722.06691239859958</v>
      </c>
      <c r="W34" s="149">
        <f>-(INDEX(Controls!$E$16:$E$20,MATCH($B34,Controls!$B$16:$B$20,0),0))*$V34</f>
        <v>-32.764598475362575</v>
      </c>
      <c r="X34" s="98">
        <f t="shared" si="10"/>
        <v>689.30231392323697</v>
      </c>
    </row>
    <row r="35" spans="1:24" ht="13" x14ac:dyDescent="0.3">
      <c r="A35" s="4" t="str">
        <f>'Forecast drivers'!B41</f>
        <v>TMS</v>
      </c>
      <c r="B35" s="4">
        <f>'Forecast drivers'!C41</f>
        <v>2024</v>
      </c>
      <c r="C35" s="31" t="str">
        <f>'Forecast drivers'!A41</f>
        <v>TMS24</v>
      </c>
      <c r="D35" s="43">
        <f>EXP('Model Coeffs'!$D$16+'Model Coeffs'!$D$6*'Forecast drivers'!E41+'Model Coeffs'!$D$7*'Forecast drivers'!I41+'Model Coeffs'!$D$8*'Forecast drivers'!H41)</f>
        <v>276.03453869773097</v>
      </c>
      <c r="E35" s="43">
        <f>EXP('Model Coeffs'!$E$16+'Model Coeffs'!$E$6*'Forecast drivers'!E41+'Model Coeffs'!$E$7*'Forecast drivers'!I41+'Model Coeffs'!$E$9*'Forecast drivers'!M41)</f>
        <v>247.19838539618854</v>
      </c>
      <c r="F35" s="43">
        <f>EXP('Model Coeffs'!$F$16+'Model Coeffs'!$F$10*'Forecast drivers'!F41+'Model Coeffs'!$F$11*'Forecast drivers'!J41+'Model Coeffs'!$F$12*'Forecast drivers'!K41)</f>
        <v>356.46374093544455</v>
      </c>
      <c r="G35" s="43">
        <f>EXP('Model Coeffs'!$G$16+'Model Coeffs'!$G$10*'Forecast drivers'!F41+'Model Coeffs'!$G$12*'Forecast drivers'!K41+'Model Coeffs'!$G$13*'Forecast drivers'!L41)</f>
        <v>339.90041789289785</v>
      </c>
      <c r="H35" s="44">
        <f>EXP('Model Coeffs'!$H$16+'Model Coeffs'!$H$9*'Forecast drivers'!M41+'Model Coeffs'!$H$14*'Forecast drivers'!G41)</f>
        <v>118.81269516431861</v>
      </c>
      <c r="I35" s="44">
        <f>EXP('Model Coeffs'!$I$16+'Model Coeffs'!$I$14*'Forecast drivers'!G41+'Model Coeffs'!$I$15*'Forecast drivers'!N41)</f>
        <v>122.22740607738774</v>
      </c>
      <c r="J35" s="44">
        <f>EXP('Model Coeffs'!$J$16+'Model Coeffs'!$J$10*'Forecast drivers'!F41+'Model Coeffs'!$J$11*'Forecast drivers'!J41+'Model Coeffs'!$J$12*'Forecast drivers'!K41)</f>
        <v>528.69137706098127</v>
      </c>
      <c r="K35" s="44">
        <f>EXP('Model Coeffs'!$K$16+'Model Coeffs'!$K$10*'Forecast drivers'!F41+'Model Coeffs'!$K$12*'Forecast drivers'!K41+'Model Coeffs'!$K$13*'Forecast drivers'!L41)</f>
        <v>507.62815148264872</v>
      </c>
      <c r="L35" s="66"/>
      <c r="M35" s="139">
        <f t="shared" si="2"/>
        <v>261.61646204695978</v>
      </c>
      <c r="N35" s="139">
        <f t="shared" si="3"/>
        <v>348.1820794141712</v>
      </c>
      <c r="O35" s="139">
        <f t="shared" si="4"/>
        <v>609.79854146113098</v>
      </c>
      <c r="P35" s="139">
        <f t="shared" si="5"/>
        <v>120.52005062085317</v>
      </c>
      <c r="Q35" s="139">
        <f t="shared" si="6"/>
        <v>518.15976427181499</v>
      </c>
      <c r="R35" s="139">
        <f t="shared" si="7"/>
        <v>730.31859208198421</v>
      </c>
      <c r="S35" s="139">
        <f t="shared" si="8"/>
        <v>779.77622631877477</v>
      </c>
      <c r="T35" s="140">
        <f t="shared" si="9"/>
        <v>755.04740920037943</v>
      </c>
      <c r="V35" s="139">
        <f>Controls!$E$14*T35</f>
        <v>727.37622501573696</v>
      </c>
      <c r="W35" s="149">
        <f>-(INDEX(Controls!$E$16:$E$20,MATCH($B35,Controls!$B$16:$B$20,0),0))*$V35</f>
        <v>-44.19138659109052</v>
      </c>
      <c r="X35" s="98">
        <f t="shared" si="10"/>
        <v>683.18483842464639</v>
      </c>
    </row>
    <row r="36" spans="1:24" ht="13" x14ac:dyDescent="0.3">
      <c r="A36" s="4" t="str">
        <f>'Forecast drivers'!B42</f>
        <v>TMS</v>
      </c>
      <c r="B36" s="4">
        <f>'Forecast drivers'!C42</f>
        <v>2025</v>
      </c>
      <c r="C36" s="31" t="str">
        <f>'Forecast drivers'!A42</f>
        <v>TMS25</v>
      </c>
      <c r="D36" s="43">
        <f>EXP('Model Coeffs'!$D$16+'Model Coeffs'!$D$6*'Forecast drivers'!E42+'Model Coeffs'!$D$7*'Forecast drivers'!I42+'Model Coeffs'!$D$8*'Forecast drivers'!H42)</f>
        <v>278.69095675123708</v>
      </c>
      <c r="E36" s="43">
        <f>EXP('Model Coeffs'!$E$16+'Model Coeffs'!$E$6*'Forecast drivers'!E42+'Model Coeffs'!$E$7*'Forecast drivers'!I42+'Model Coeffs'!$E$9*'Forecast drivers'!M42)</f>
        <v>247.2763581561538</v>
      </c>
      <c r="F36" s="43">
        <f>EXP('Model Coeffs'!$F$16+'Model Coeffs'!$F$10*'Forecast drivers'!F42+'Model Coeffs'!$F$11*'Forecast drivers'!J42+'Model Coeffs'!$F$12*'Forecast drivers'!K42)</f>
        <v>359.59403900986865</v>
      </c>
      <c r="G36" s="43">
        <f>EXP('Model Coeffs'!$G$16+'Model Coeffs'!$G$10*'Forecast drivers'!F42+'Model Coeffs'!$G$12*'Forecast drivers'!K42+'Model Coeffs'!$G$13*'Forecast drivers'!L42)</f>
        <v>342.8249653799038</v>
      </c>
      <c r="H36" s="44">
        <f>EXP('Model Coeffs'!$H$16+'Model Coeffs'!$H$9*'Forecast drivers'!M42+'Model Coeffs'!$H$14*'Forecast drivers'!G42)</f>
        <v>119.66868494928485</v>
      </c>
      <c r="I36" s="44">
        <f>EXP('Model Coeffs'!$I$16+'Model Coeffs'!$I$14*'Forecast drivers'!G42+'Model Coeffs'!$I$15*'Forecast drivers'!N42)</f>
        <v>122.94726185802668</v>
      </c>
      <c r="J36" s="44">
        <f>EXP('Model Coeffs'!$J$16+'Model Coeffs'!$J$10*'Forecast drivers'!F42+'Model Coeffs'!$J$11*'Forecast drivers'!J42+'Model Coeffs'!$J$12*'Forecast drivers'!K42)</f>
        <v>533.29294054924537</v>
      </c>
      <c r="K36" s="44">
        <f>EXP('Model Coeffs'!$K$16+'Model Coeffs'!$K$10*'Forecast drivers'!F42+'Model Coeffs'!$K$12*'Forecast drivers'!K42+'Model Coeffs'!$K$13*'Forecast drivers'!L42)</f>
        <v>511.94983233192892</v>
      </c>
      <c r="L36" s="66"/>
      <c r="M36" s="139">
        <f t="shared" si="2"/>
        <v>262.98365745369546</v>
      </c>
      <c r="N36" s="139">
        <f t="shared" si="3"/>
        <v>351.20950219488623</v>
      </c>
      <c r="O36" s="139">
        <f t="shared" si="4"/>
        <v>614.19315964858174</v>
      </c>
      <c r="P36" s="139">
        <f t="shared" si="5"/>
        <v>121.30797340365577</v>
      </c>
      <c r="Q36" s="139">
        <f t="shared" si="6"/>
        <v>522.62138644058712</v>
      </c>
      <c r="R36" s="139">
        <f t="shared" si="7"/>
        <v>735.50113305223749</v>
      </c>
      <c r="S36" s="139">
        <f t="shared" si="8"/>
        <v>785.60504389428252</v>
      </c>
      <c r="T36" s="140">
        <f t="shared" si="9"/>
        <v>760.55308847326</v>
      </c>
      <c r="V36" s="139">
        <f>Controls!$E$14*T36</f>
        <v>732.68013064716786</v>
      </c>
      <c r="W36" s="149">
        <f>-(INDEX(Controls!$E$16:$E$20,MATCH($B36,Controls!$B$16:$B$20,0),0))*$V36</f>
        <v>-55.875141612505232</v>
      </c>
      <c r="X36" s="98">
        <f t="shared" si="10"/>
        <v>676.80498903466264</v>
      </c>
    </row>
    <row r="37" spans="1:24" ht="13" x14ac:dyDescent="0.3">
      <c r="A37" s="4" t="str">
        <f>'Forecast drivers'!B43</f>
        <v>WSH</v>
      </c>
      <c r="B37" s="4">
        <f>'Forecast drivers'!C43</f>
        <v>2021</v>
      </c>
      <c r="C37" s="31" t="str">
        <f>'Forecast drivers'!A43</f>
        <v>WSH21</v>
      </c>
      <c r="D37" s="43">
        <f>EXP('Model Coeffs'!$D$16+'Model Coeffs'!$D$6*'Forecast drivers'!E43+'Model Coeffs'!$D$7*'Forecast drivers'!I43+'Model Coeffs'!$D$8*'Forecast drivers'!H43)</f>
        <v>80.267110949285197</v>
      </c>
      <c r="E37" s="43">
        <f>EXP('Model Coeffs'!$E$16+'Model Coeffs'!$E$6*'Forecast drivers'!E43+'Model Coeffs'!$E$7*'Forecast drivers'!I43+'Model Coeffs'!$E$9*'Forecast drivers'!M43)</f>
        <v>71.740329111260721</v>
      </c>
      <c r="F37" s="43">
        <f>EXP('Model Coeffs'!$F$16+'Model Coeffs'!$F$10*'Forecast drivers'!F43+'Model Coeffs'!$F$11*'Forecast drivers'!J43+'Model Coeffs'!$F$12*'Forecast drivers'!K43)</f>
        <v>109.80885783749623</v>
      </c>
      <c r="G37" s="43">
        <f>EXP('Model Coeffs'!$G$16+'Model Coeffs'!$G$10*'Forecast drivers'!F43+'Model Coeffs'!$G$12*'Forecast drivers'!K43+'Model Coeffs'!$G$13*'Forecast drivers'!L43)</f>
        <v>104.3287156468992</v>
      </c>
      <c r="H37" s="44">
        <f>EXP('Model Coeffs'!$H$16+'Model Coeffs'!$H$9*'Forecast drivers'!M43+'Model Coeffs'!$H$14*'Forecast drivers'!G43)</f>
        <v>33.464062833393918</v>
      </c>
      <c r="I37" s="44">
        <f>EXP('Model Coeffs'!$I$16+'Model Coeffs'!$I$14*'Forecast drivers'!G43+'Model Coeffs'!$I$15*'Forecast drivers'!N43)</f>
        <v>31.05230489724574</v>
      </c>
      <c r="J37" s="44">
        <f>EXP('Model Coeffs'!$J$16+'Model Coeffs'!$J$10*'Forecast drivers'!F43+'Model Coeffs'!$J$11*'Forecast drivers'!J43+'Model Coeffs'!$J$12*'Forecast drivers'!K43)</f>
        <v>143.96691474575931</v>
      </c>
      <c r="K37" s="44">
        <f>EXP('Model Coeffs'!$K$16+'Model Coeffs'!$K$10*'Forecast drivers'!F43+'Model Coeffs'!$K$12*'Forecast drivers'!K43+'Model Coeffs'!$K$13*'Forecast drivers'!L43)</f>
        <v>137.49107321484536</v>
      </c>
      <c r="L37" s="66"/>
      <c r="M37" s="139">
        <f t="shared" si="2"/>
        <v>76.003720030272959</v>
      </c>
      <c r="N37" s="139">
        <f t="shared" si="3"/>
        <v>107.06878674219772</v>
      </c>
      <c r="O37" s="139">
        <f t="shared" si="4"/>
        <v>183.07250677247066</v>
      </c>
      <c r="P37" s="139">
        <f t="shared" si="5"/>
        <v>32.258183865319829</v>
      </c>
      <c r="Q37" s="139">
        <f t="shared" si="6"/>
        <v>140.72899398030233</v>
      </c>
      <c r="R37" s="139">
        <f t="shared" si="7"/>
        <v>215.3306906377905</v>
      </c>
      <c r="S37" s="139">
        <f t="shared" si="8"/>
        <v>216.73271401057531</v>
      </c>
      <c r="T37" s="140">
        <f t="shared" si="9"/>
        <v>216.0317023241829</v>
      </c>
      <c r="V37" s="139">
        <f>Controls!$E$14*T37</f>
        <v>208.11451334784422</v>
      </c>
      <c r="W37" s="149">
        <f>-(INDEX(Controls!$E$16:$E$20,MATCH($B37,Controls!$B$16:$B$20,0),0))*$V37</f>
        <v>-3.1217177002176428</v>
      </c>
      <c r="X37" s="98">
        <f t="shared" si="10"/>
        <v>204.99279564762659</v>
      </c>
    </row>
    <row r="38" spans="1:24" ht="13" x14ac:dyDescent="0.3">
      <c r="A38" s="4" t="str">
        <f>'Forecast drivers'!B44</f>
        <v>WSH</v>
      </c>
      <c r="B38" s="4">
        <f>'Forecast drivers'!C44</f>
        <v>2022</v>
      </c>
      <c r="C38" s="31" t="str">
        <f>'Forecast drivers'!A44</f>
        <v>WSH22</v>
      </c>
      <c r="D38" s="43">
        <f>EXP('Model Coeffs'!$D$16+'Model Coeffs'!$D$6*'Forecast drivers'!E44+'Model Coeffs'!$D$7*'Forecast drivers'!I44+'Model Coeffs'!$D$8*'Forecast drivers'!H44)</f>
        <v>80.800537387343894</v>
      </c>
      <c r="E38" s="43">
        <f>EXP('Model Coeffs'!$E$16+'Model Coeffs'!$E$6*'Forecast drivers'!E44+'Model Coeffs'!$E$7*'Forecast drivers'!I44+'Model Coeffs'!$E$9*'Forecast drivers'!M44)</f>
        <v>71.84847107997507</v>
      </c>
      <c r="F38" s="43">
        <f>EXP('Model Coeffs'!$F$16+'Model Coeffs'!$F$10*'Forecast drivers'!F44+'Model Coeffs'!$F$11*'Forecast drivers'!J44+'Model Coeffs'!$F$12*'Forecast drivers'!K44)</f>
        <v>110.92901695561804</v>
      </c>
      <c r="G38" s="43">
        <f>EXP('Model Coeffs'!$G$16+'Model Coeffs'!$G$10*'Forecast drivers'!F44+'Model Coeffs'!$G$12*'Forecast drivers'!K44+'Model Coeffs'!$G$13*'Forecast drivers'!L44)</f>
        <v>105.37145722163409</v>
      </c>
      <c r="H38" s="44">
        <f>EXP('Model Coeffs'!$H$16+'Model Coeffs'!$H$9*'Forecast drivers'!M44+'Model Coeffs'!$H$14*'Forecast drivers'!G44)</f>
        <v>33.85008769154301</v>
      </c>
      <c r="I38" s="44">
        <f>EXP('Model Coeffs'!$I$16+'Model Coeffs'!$I$14*'Forecast drivers'!G44+'Model Coeffs'!$I$15*'Forecast drivers'!N44)</f>
        <v>31.397243059286279</v>
      </c>
      <c r="J38" s="44">
        <f>EXP('Model Coeffs'!$J$16+'Model Coeffs'!$J$10*'Forecast drivers'!F44+'Model Coeffs'!$J$11*'Forecast drivers'!J44+'Model Coeffs'!$J$12*'Forecast drivers'!K44)</f>
        <v>145.42249178413221</v>
      </c>
      <c r="K38" s="44">
        <f>EXP('Model Coeffs'!$K$16+'Model Coeffs'!$K$10*'Forecast drivers'!F44+'Model Coeffs'!$K$12*'Forecast drivers'!K44+'Model Coeffs'!$K$13*'Forecast drivers'!L44)</f>
        <v>138.85077665311448</v>
      </c>
      <c r="L38" s="66"/>
      <c r="M38" s="139">
        <f t="shared" si="2"/>
        <v>76.324504233659482</v>
      </c>
      <c r="N38" s="139">
        <f t="shared" si="3"/>
        <v>108.15023708862606</v>
      </c>
      <c r="O38" s="139">
        <f t="shared" si="4"/>
        <v>184.47474132228552</v>
      </c>
      <c r="P38" s="139">
        <f t="shared" si="5"/>
        <v>32.623665375414646</v>
      </c>
      <c r="Q38" s="139">
        <f t="shared" si="6"/>
        <v>142.13663421862333</v>
      </c>
      <c r="R38" s="139">
        <f t="shared" si="7"/>
        <v>217.09840669770017</v>
      </c>
      <c r="S38" s="139">
        <f t="shared" si="8"/>
        <v>218.4611384522828</v>
      </c>
      <c r="T38" s="140">
        <f t="shared" si="9"/>
        <v>217.77977257499148</v>
      </c>
      <c r="V38" s="139">
        <f>Controls!$E$14*T38</f>
        <v>209.79851984147888</v>
      </c>
      <c r="W38" s="149">
        <f>-(INDEX(Controls!$E$16:$E$20,MATCH($B38,Controls!$B$16:$B$20,0),0))*$V38</f>
        <v>-6.3201804102244958</v>
      </c>
      <c r="X38" s="98">
        <f t="shared" si="10"/>
        <v>203.47833943125437</v>
      </c>
    </row>
    <row r="39" spans="1:24" ht="13" x14ac:dyDescent="0.3">
      <c r="A39" s="4" t="str">
        <f>'Forecast drivers'!B45</f>
        <v>WSH</v>
      </c>
      <c r="B39" s="4">
        <f>'Forecast drivers'!C45</f>
        <v>2023</v>
      </c>
      <c r="C39" s="31" t="str">
        <f>'Forecast drivers'!A45</f>
        <v>WSH23</v>
      </c>
      <c r="D39" s="43">
        <f>EXP('Model Coeffs'!$D$16+'Model Coeffs'!$D$6*'Forecast drivers'!E45+'Model Coeffs'!$D$7*'Forecast drivers'!I45+'Model Coeffs'!$D$8*'Forecast drivers'!H45)</f>
        <v>81.33410534971263</v>
      </c>
      <c r="E39" s="43">
        <f>EXP('Model Coeffs'!$E$16+'Model Coeffs'!$E$6*'Forecast drivers'!E45+'Model Coeffs'!$E$7*'Forecast drivers'!I45+'Model Coeffs'!$E$9*'Forecast drivers'!M45)</f>
        <v>71.956547988955464</v>
      </c>
      <c r="F39" s="43">
        <f>EXP('Model Coeffs'!$F$16+'Model Coeffs'!$F$10*'Forecast drivers'!F45+'Model Coeffs'!$F$11*'Forecast drivers'!J45+'Model Coeffs'!$F$12*'Forecast drivers'!K45)</f>
        <v>112.04625865422851</v>
      </c>
      <c r="G39" s="43">
        <f>EXP('Model Coeffs'!$G$16+'Model Coeffs'!$G$10*'Forecast drivers'!F45+'Model Coeffs'!$G$12*'Forecast drivers'!K45+'Model Coeffs'!$G$13*'Forecast drivers'!L45)</f>
        <v>106.41127204332885</v>
      </c>
      <c r="H39" s="44">
        <f>EXP('Model Coeffs'!$H$16+'Model Coeffs'!$H$9*'Forecast drivers'!M45+'Model Coeffs'!$H$14*'Forecast drivers'!G45)</f>
        <v>34.284654418202102</v>
      </c>
      <c r="I39" s="44">
        <f>EXP('Model Coeffs'!$I$16+'Model Coeffs'!$I$14*'Forecast drivers'!G45+'Model Coeffs'!$I$15*'Forecast drivers'!N45)</f>
        <v>31.718577907315357</v>
      </c>
      <c r="J39" s="44">
        <f>EXP('Model Coeffs'!$J$16+'Model Coeffs'!$J$10*'Forecast drivers'!F45+'Model Coeffs'!$J$11*'Forecast drivers'!J45+'Model Coeffs'!$J$12*'Forecast drivers'!K45)</f>
        <v>146.87414858953852</v>
      </c>
      <c r="K39" s="44">
        <f>EXP('Model Coeffs'!$K$16+'Model Coeffs'!$K$10*'Forecast drivers'!F45+'Model Coeffs'!$K$12*'Forecast drivers'!K45+'Model Coeffs'!$K$13*'Forecast drivers'!L45)</f>
        <v>140.2065231246913</v>
      </c>
      <c r="L39" s="66"/>
      <c r="M39" s="139">
        <f t="shared" si="2"/>
        <v>76.645326669334054</v>
      </c>
      <c r="N39" s="139">
        <f t="shared" si="3"/>
        <v>109.22876534877868</v>
      </c>
      <c r="O39" s="139">
        <f t="shared" si="4"/>
        <v>185.87409201811272</v>
      </c>
      <c r="P39" s="139">
        <f t="shared" si="5"/>
        <v>33.001616162758729</v>
      </c>
      <c r="Q39" s="139">
        <f t="shared" si="6"/>
        <v>143.54033585711491</v>
      </c>
      <c r="R39" s="139">
        <f t="shared" si="7"/>
        <v>218.87570818087144</v>
      </c>
      <c r="S39" s="139">
        <f t="shared" si="8"/>
        <v>220.18566252644897</v>
      </c>
      <c r="T39" s="140">
        <f t="shared" si="9"/>
        <v>219.5306853536602</v>
      </c>
      <c r="V39" s="139">
        <f>Controls!$E$14*T39</f>
        <v>211.48526468923436</v>
      </c>
      <c r="W39" s="149">
        <f>-(INDEX(Controls!$E$16:$E$20,MATCH($B39,Controls!$B$16:$B$20,0),0))*$V39</f>
        <v>-9.5963818061966872</v>
      </c>
      <c r="X39" s="98">
        <f t="shared" si="10"/>
        <v>201.88888288303767</v>
      </c>
    </row>
    <row r="40" spans="1:24" ht="13" x14ac:dyDescent="0.3">
      <c r="A40" s="4" t="str">
        <f>'Forecast drivers'!B46</f>
        <v>WSH</v>
      </c>
      <c r="B40" s="4">
        <f>'Forecast drivers'!C46</f>
        <v>2024</v>
      </c>
      <c r="C40" s="31" t="str">
        <f>'Forecast drivers'!A46</f>
        <v>WSH24</v>
      </c>
      <c r="D40" s="43">
        <f>EXP('Model Coeffs'!$D$16+'Model Coeffs'!$D$6*'Forecast drivers'!E46+'Model Coeffs'!$D$7*'Forecast drivers'!I46+'Model Coeffs'!$D$8*'Forecast drivers'!H46)</f>
        <v>81.867810397263128</v>
      </c>
      <c r="E40" s="43">
        <f>EXP('Model Coeffs'!$E$16+'Model Coeffs'!$E$6*'Forecast drivers'!E46+'Model Coeffs'!$E$7*'Forecast drivers'!I46+'Model Coeffs'!$E$9*'Forecast drivers'!M46)</f>
        <v>72.064560013979104</v>
      </c>
      <c r="F40" s="43">
        <f>EXP('Model Coeffs'!$F$16+'Model Coeffs'!$F$10*'Forecast drivers'!F46+'Model Coeffs'!$F$11*'Forecast drivers'!J46+'Model Coeffs'!$F$12*'Forecast drivers'!K46)</f>
        <v>113.16062695699505</v>
      </c>
      <c r="G40" s="43">
        <f>EXP('Model Coeffs'!$G$16+'Model Coeffs'!$G$10*'Forecast drivers'!F46+'Model Coeffs'!$G$12*'Forecast drivers'!K46+'Model Coeffs'!$G$13*'Forecast drivers'!L46)</f>
        <v>107.44820485756935</v>
      </c>
      <c r="H40" s="44">
        <f>EXP('Model Coeffs'!$H$16+'Model Coeffs'!$H$9*'Forecast drivers'!M46+'Model Coeffs'!$H$14*'Forecast drivers'!G46)</f>
        <v>34.67118994466783</v>
      </c>
      <c r="I40" s="44">
        <f>EXP('Model Coeffs'!$I$16+'Model Coeffs'!$I$14*'Forecast drivers'!G46+'Model Coeffs'!$I$15*'Forecast drivers'!N46)</f>
        <v>32.062283665819301</v>
      </c>
      <c r="J40" s="44">
        <f>EXP('Model Coeffs'!$J$16+'Model Coeffs'!$J$10*'Forecast drivers'!F46+'Model Coeffs'!$J$11*'Forecast drivers'!J46+'Model Coeffs'!$J$12*'Forecast drivers'!K46)</f>
        <v>148.32194465957696</v>
      </c>
      <c r="K40" s="44">
        <f>EXP('Model Coeffs'!$K$16+'Model Coeffs'!$K$10*'Forecast drivers'!F46+'Model Coeffs'!$K$12*'Forecast drivers'!K46+'Model Coeffs'!$K$13*'Forecast drivers'!L46)</f>
        <v>141.55837352699726</v>
      </c>
      <c r="L40" s="66"/>
      <c r="M40" s="139">
        <f t="shared" si="2"/>
        <v>76.966185205621116</v>
      </c>
      <c r="N40" s="139">
        <f t="shared" si="3"/>
        <v>110.30441590728219</v>
      </c>
      <c r="O40" s="139">
        <f t="shared" si="4"/>
        <v>187.27060111290331</v>
      </c>
      <c r="P40" s="139">
        <f t="shared" si="5"/>
        <v>33.366736805243562</v>
      </c>
      <c r="Q40" s="139">
        <f t="shared" si="6"/>
        <v>144.94015909328709</v>
      </c>
      <c r="R40" s="139">
        <f t="shared" si="7"/>
        <v>220.63733791814687</v>
      </c>
      <c r="S40" s="139">
        <f t="shared" si="8"/>
        <v>221.90634429890821</v>
      </c>
      <c r="T40" s="140">
        <f t="shared" si="9"/>
        <v>221.27184110852755</v>
      </c>
      <c r="V40" s="139">
        <f>Controls!$E$14*T40</f>
        <v>213.16261009126822</v>
      </c>
      <c r="W40" s="149">
        <f>-(INDEX(Controls!$E$16:$E$20,MATCH($B40,Controls!$B$16:$B$20,0),0))*$V40</f>
        <v>-12.950590059642552</v>
      </c>
      <c r="X40" s="98">
        <f t="shared" si="10"/>
        <v>200.21202003162566</v>
      </c>
    </row>
    <row r="41" spans="1:24" ht="13" x14ac:dyDescent="0.3">
      <c r="A41" s="4" t="str">
        <f>'Forecast drivers'!B47</f>
        <v>WSH</v>
      </c>
      <c r="B41" s="4">
        <f>'Forecast drivers'!C47</f>
        <v>2025</v>
      </c>
      <c r="C41" s="31" t="str">
        <f>'Forecast drivers'!A47</f>
        <v>WSH25</v>
      </c>
      <c r="D41" s="43">
        <f>EXP('Model Coeffs'!$D$16+'Model Coeffs'!$D$6*'Forecast drivers'!E47+'Model Coeffs'!$D$7*'Forecast drivers'!I47+'Model Coeffs'!$D$8*'Forecast drivers'!H47)</f>
        <v>82.401648156532346</v>
      </c>
      <c r="E41" s="43">
        <f>EXP('Model Coeffs'!$E$16+'Model Coeffs'!$E$6*'Forecast drivers'!E47+'Model Coeffs'!$E$7*'Forecast drivers'!I47+'Model Coeffs'!$E$9*'Forecast drivers'!M47)</f>
        <v>72.172507329980007</v>
      </c>
      <c r="F41" s="43">
        <f>EXP('Model Coeffs'!$F$16+'Model Coeffs'!$F$10*'Forecast drivers'!F47+'Model Coeffs'!$F$11*'Forecast drivers'!J47+'Model Coeffs'!$F$12*'Forecast drivers'!K47)</f>
        <v>114.27216468718069</v>
      </c>
      <c r="G41" s="43">
        <f>EXP('Model Coeffs'!$G$16+'Model Coeffs'!$G$10*'Forecast drivers'!F47+'Model Coeffs'!$G$12*'Forecast drivers'!K47+'Model Coeffs'!$G$13*'Forecast drivers'!L47)</f>
        <v>108.48229918113243</v>
      </c>
      <c r="H41" s="44">
        <f>EXP('Model Coeffs'!$H$16+'Model Coeffs'!$H$9*'Forecast drivers'!M47+'Model Coeffs'!$H$14*'Forecast drivers'!G47)</f>
        <v>35.10632507941564</v>
      </c>
      <c r="I41" s="44">
        <f>EXP('Model Coeffs'!$I$16+'Model Coeffs'!$I$14*'Forecast drivers'!G47+'Model Coeffs'!$I$15*'Forecast drivers'!N47)</f>
        <v>32.430616260359095</v>
      </c>
      <c r="J41" s="44">
        <f>EXP('Model Coeffs'!$J$16+'Model Coeffs'!$J$10*'Forecast drivers'!F47+'Model Coeffs'!$J$11*'Forecast drivers'!J47+'Model Coeffs'!$J$12*'Forecast drivers'!K47)</f>
        <v>149.76593786442388</v>
      </c>
      <c r="K41" s="44">
        <f>EXP('Model Coeffs'!$K$16+'Model Coeffs'!$K$10*'Forecast drivers'!F47+'Model Coeffs'!$K$12*'Forecast drivers'!K47+'Model Coeffs'!$K$13*'Forecast drivers'!L47)</f>
        <v>142.90638707901721</v>
      </c>
      <c r="L41" s="66"/>
      <c r="M41" s="139">
        <f t="shared" si="2"/>
        <v>77.287077743256177</v>
      </c>
      <c r="N41" s="139">
        <f t="shared" si="3"/>
        <v>111.37723193415655</v>
      </c>
      <c r="O41" s="139">
        <f t="shared" si="4"/>
        <v>188.66430967741275</v>
      </c>
      <c r="P41" s="139">
        <f t="shared" si="5"/>
        <v>33.768470669887364</v>
      </c>
      <c r="Q41" s="139">
        <f t="shared" si="6"/>
        <v>146.33616247172054</v>
      </c>
      <c r="R41" s="139">
        <f t="shared" si="7"/>
        <v>222.43278034730011</v>
      </c>
      <c r="S41" s="139">
        <f t="shared" si="8"/>
        <v>223.6232402149767</v>
      </c>
      <c r="T41" s="140">
        <f t="shared" si="9"/>
        <v>223.02801028113839</v>
      </c>
      <c r="V41" s="139">
        <f>Controls!$E$14*T41</f>
        <v>214.85441869520142</v>
      </c>
      <c r="W41" s="149">
        <f>-(INDEX(Controls!$E$16:$E$20,MATCH($B41,Controls!$B$16:$B$20,0),0))*$V41</f>
        <v>-16.385077974017086</v>
      </c>
      <c r="X41" s="98">
        <f t="shared" si="10"/>
        <v>198.46934072118432</v>
      </c>
    </row>
    <row r="42" spans="1:24" ht="13" x14ac:dyDescent="0.3">
      <c r="A42" s="4" t="str">
        <f>'Forecast drivers'!B48</f>
        <v>WSX</v>
      </c>
      <c r="B42" s="4">
        <f>'Forecast drivers'!C48</f>
        <v>2021</v>
      </c>
      <c r="C42" s="31" t="str">
        <f>'Forecast drivers'!A48</f>
        <v>WSX21</v>
      </c>
      <c r="D42" s="43">
        <f>EXP('Model Coeffs'!$D$16+'Model Coeffs'!$D$6*'Forecast drivers'!E48+'Model Coeffs'!$D$7*'Forecast drivers'!I48+'Model Coeffs'!$D$8*'Forecast drivers'!H48)</f>
        <v>63.922047731234272</v>
      </c>
      <c r="E42" s="43">
        <f>EXP('Model Coeffs'!$E$16+'Model Coeffs'!$E$6*'Forecast drivers'!E48+'Model Coeffs'!$E$7*'Forecast drivers'!I48+'Model Coeffs'!$E$9*'Forecast drivers'!M48)</f>
        <v>81.108166178641824</v>
      </c>
      <c r="F42" s="43">
        <f>EXP('Model Coeffs'!$F$16+'Model Coeffs'!$F$10*'Forecast drivers'!F48+'Model Coeffs'!$F$11*'Forecast drivers'!J48+'Model Coeffs'!$F$12*'Forecast drivers'!K48)</f>
        <v>79.45195592696021</v>
      </c>
      <c r="G42" s="43">
        <f>EXP('Model Coeffs'!$G$16+'Model Coeffs'!$G$10*'Forecast drivers'!F48+'Model Coeffs'!$G$12*'Forecast drivers'!K48+'Model Coeffs'!$G$13*'Forecast drivers'!L48)</f>
        <v>84.479226651238562</v>
      </c>
      <c r="H42" s="44">
        <f>EXP('Model Coeffs'!$H$16+'Model Coeffs'!$H$9*'Forecast drivers'!M48+'Model Coeffs'!$H$14*'Forecast drivers'!G48)</f>
        <v>27.001930200330388</v>
      </c>
      <c r="I42" s="44">
        <f>EXP('Model Coeffs'!$I$16+'Model Coeffs'!$I$14*'Forecast drivers'!G48+'Model Coeffs'!$I$15*'Forecast drivers'!N48)</f>
        <v>26.208477748651312</v>
      </c>
      <c r="J42" s="44">
        <f>EXP('Model Coeffs'!$J$16+'Model Coeffs'!$J$10*'Forecast drivers'!F48+'Model Coeffs'!$J$11*'Forecast drivers'!J48+'Model Coeffs'!$J$12*'Forecast drivers'!K48)</f>
        <v>105.92333613044974</v>
      </c>
      <c r="K42" s="44">
        <f>EXP('Model Coeffs'!$K$16+'Model Coeffs'!$K$10*'Forecast drivers'!F48+'Model Coeffs'!$K$12*'Forecast drivers'!K48+'Model Coeffs'!$K$13*'Forecast drivers'!L48)</f>
        <v>111.72332161292634</v>
      </c>
      <c r="L42" s="66"/>
      <c r="M42" s="139">
        <f t="shared" si="2"/>
        <v>72.515106954938048</v>
      </c>
      <c r="N42" s="139">
        <f t="shared" si="3"/>
        <v>81.965591289099393</v>
      </c>
      <c r="O42" s="139">
        <f t="shared" si="4"/>
        <v>154.48069824403746</v>
      </c>
      <c r="P42" s="139">
        <f t="shared" si="5"/>
        <v>26.605203974490848</v>
      </c>
      <c r="Q42" s="139">
        <f t="shared" si="6"/>
        <v>108.82332887168803</v>
      </c>
      <c r="R42" s="139">
        <f t="shared" si="7"/>
        <v>181.0859022185283</v>
      </c>
      <c r="S42" s="139">
        <f t="shared" si="8"/>
        <v>181.3384358266261</v>
      </c>
      <c r="T42" s="140">
        <f t="shared" si="9"/>
        <v>181.2121690225772</v>
      </c>
      <c r="V42" s="139">
        <f>Controls!$E$14*T42</f>
        <v>174.5710558362772</v>
      </c>
      <c r="W42" s="149">
        <f>-(INDEX(Controls!$E$16:$E$20,MATCH($B42,Controls!$B$16:$B$20,0),0))*$V42</f>
        <v>-2.618565837544141</v>
      </c>
      <c r="X42" s="98">
        <f t="shared" si="10"/>
        <v>171.95248999873306</v>
      </c>
    </row>
    <row r="43" spans="1:24" ht="13" x14ac:dyDescent="0.3">
      <c r="A43" s="4" t="str">
        <f>'Forecast drivers'!B49</f>
        <v>WSX</v>
      </c>
      <c r="B43" s="4">
        <f>'Forecast drivers'!C49</f>
        <v>2022</v>
      </c>
      <c r="C43" s="31" t="str">
        <f>'Forecast drivers'!A49</f>
        <v>WSX22</v>
      </c>
      <c r="D43" s="43">
        <f>EXP('Model Coeffs'!$D$16+'Model Coeffs'!$D$6*'Forecast drivers'!E49+'Model Coeffs'!$D$7*'Forecast drivers'!I49+'Model Coeffs'!$D$8*'Forecast drivers'!H49)</f>
        <v>64.457474358719097</v>
      </c>
      <c r="E43" s="43">
        <f>EXP('Model Coeffs'!$E$16+'Model Coeffs'!$E$6*'Forecast drivers'!E49+'Model Coeffs'!$E$7*'Forecast drivers'!I49+'Model Coeffs'!$E$9*'Forecast drivers'!M49)</f>
        <v>81.259002763235586</v>
      </c>
      <c r="F43" s="43">
        <f>EXP('Model Coeffs'!$F$16+'Model Coeffs'!$F$10*'Forecast drivers'!F49+'Model Coeffs'!$F$11*'Forecast drivers'!J49+'Model Coeffs'!$F$12*'Forecast drivers'!K49)</f>
        <v>79.892857086171034</v>
      </c>
      <c r="G43" s="43">
        <f>EXP('Model Coeffs'!$G$16+'Model Coeffs'!$G$10*'Forecast drivers'!F49+'Model Coeffs'!$G$12*'Forecast drivers'!K49+'Model Coeffs'!$G$13*'Forecast drivers'!L49)</f>
        <v>84.938569832462534</v>
      </c>
      <c r="H43" s="44">
        <f>EXP('Model Coeffs'!$H$16+'Model Coeffs'!$H$9*'Forecast drivers'!M49+'Model Coeffs'!$H$14*'Forecast drivers'!G49)</f>
        <v>27.237894700559142</v>
      </c>
      <c r="I43" s="44">
        <f>EXP('Model Coeffs'!$I$16+'Model Coeffs'!$I$14*'Forecast drivers'!G49+'Model Coeffs'!$I$15*'Forecast drivers'!N49)</f>
        <v>26.426870727395571</v>
      </c>
      <c r="J43" s="44">
        <f>EXP('Model Coeffs'!$J$16+'Model Coeffs'!$J$10*'Forecast drivers'!F49+'Model Coeffs'!$J$11*'Forecast drivers'!J49+'Model Coeffs'!$J$12*'Forecast drivers'!K49)</f>
        <v>106.50593189334998</v>
      </c>
      <c r="K43" s="44">
        <f>EXP('Model Coeffs'!$K$16+'Model Coeffs'!$K$10*'Forecast drivers'!F49+'Model Coeffs'!$K$12*'Forecast drivers'!K49+'Model Coeffs'!$K$13*'Forecast drivers'!L49)</f>
        <v>112.32441005610987</v>
      </c>
      <c r="L43" s="66"/>
      <c r="M43" s="139">
        <f t="shared" si="2"/>
        <v>72.858238560977341</v>
      </c>
      <c r="N43" s="139">
        <f t="shared" si="3"/>
        <v>82.415713459316777</v>
      </c>
      <c r="O43" s="139">
        <f t="shared" si="4"/>
        <v>155.27395202029413</v>
      </c>
      <c r="P43" s="139">
        <f t="shared" si="5"/>
        <v>26.832382713977356</v>
      </c>
      <c r="Q43" s="139">
        <f t="shared" si="6"/>
        <v>109.41517097472993</v>
      </c>
      <c r="R43" s="139">
        <f t="shared" si="7"/>
        <v>182.10633473427148</v>
      </c>
      <c r="S43" s="139">
        <f t="shared" si="8"/>
        <v>182.27340953570729</v>
      </c>
      <c r="T43" s="140">
        <f t="shared" si="9"/>
        <v>182.1898721349894</v>
      </c>
      <c r="V43" s="139">
        <f>Controls!$E$14*T43</f>
        <v>175.51292781733022</v>
      </c>
      <c r="W43" s="149">
        <f>-(INDEX(Controls!$E$16:$E$20,MATCH($B43,Controls!$B$16:$B$20,0),0))*$V43</f>
        <v>-5.2873269504970262</v>
      </c>
      <c r="X43" s="98">
        <f t="shared" si="10"/>
        <v>170.22560086683319</v>
      </c>
    </row>
    <row r="44" spans="1:24" ht="13" x14ac:dyDescent="0.3">
      <c r="A44" s="4" t="str">
        <f>'Forecast drivers'!B50</f>
        <v>WSX</v>
      </c>
      <c r="B44" s="4">
        <f>'Forecast drivers'!C50</f>
        <v>2023</v>
      </c>
      <c r="C44" s="31" t="str">
        <f>'Forecast drivers'!A50</f>
        <v>WSX23</v>
      </c>
      <c r="D44" s="43">
        <f>EXP('Model Coeffs'!$D$16+'Model Coeffs'!$D$6*'Forecast drivers'!E50+'Model Coeffs'!$D$7*'Forecast drivers'!I50+'Model Coeffs'!$D$8*'Forecast drivers'!H50)</f>
        <v>64.99310136118828</v>
      </c>
      <c r="E44" s="43">
        <f>EXP('Model Coeffs'!$E$16+'Model Coeffs'!$E$6*'Forecast drivers'!E50+'Model Coeffs'!$E$7*'Forecast drivers'!I50+'Model Coeffs'!$E$9*'Forecast drivers'!M50)</f>
        <v>81.40972744982011</v>
      </c>
      <c r="F44" s="43">
        <f>EXP('Model Coeffs'!$F$16+'Model Coeffs'!$F$10*'Forecast drivers'!F50+'Model Coeffs'!$F$11*'Forecast drivers'!J50+'Model Coeffs'!$F$12*'Forecast drivers'!K50)</f>
        <v>80.333129948270638</v>
      </c>
      <c r="G44" s="43">
        <f>EXP('Model Coeffs'!$G$16+'Model Coeffs'!$G$10*'Forecast drivers'!F50+'Model Coeffs'!$G$12*'Forecast drivers'!K50+'Model Coeffs'!$G$13*'Forecast drivers'!L50)</f>
        <v>85.397207555619616</v>
      </c>
      <c r="H44" s="44">
        <f>EXP('Model Coeffs'!$H$16+'Model Coeffs'!$H$9*'Forecast drivers'!M50+'Model Coeffs'!$H$14*'Forecast drivers'!G50)</f>
        <v>27.423307886320988</v>
      </c>
      <c r="I44" s="44">
        <f>EXP('Model Coeffs'!$I$16+'Model Coeffs'!$I$14*'Forecast drivers'!G50+'Model Coeffs'!$I$15*'Forecast drivers'!N50)</f>
        <v>26.569212861342596</v>
      </c>
      <c r="J44" s="44">
        <f>EXP('Model Coeffs'!$J$16+'Model Coeffs'!$J$10*'Forecast drivers'!F50+'Model Coeffs'!$J$11*'Forecast drivers'!J50+'Model Coeffs'!$J$12*'Forecast drivers'!K50)</f>
        <v>107.08766912247565</v>
      </c>
      <c r="K44" s="44">
        <f>EXP('Model Coeffs'!$K$16+'Model Coeffs'!$K$10*'Forecast drivers'!F50+'Model Coeffs'!$K$12*'Forecast drivers'!K50+'Model Coeffs'!$K$13*'Forecast drivers'!L50)</f>
        <v>112.92454132444063</v>
      </c>
      <c r="L44" s="66"/>
      <c r="M44" s="139">
        <f t="shared" si="2"/>
        <v>73.201414405504195</v>
      </c>
      <c r="N44" s="139">
        <f t="shared" si="3"/>
        <v>82.865168751945134</v>
      </c>
      <c r="O44" s="139">
        <f t="shared" si="4"/>
        <v>156.06658315744932</v>
      </c>
      <c r="P44" s="139">
        <f t="shared" si="5"/>
        <v>26.996260373831792</v>
      </c>
      <c r="Q44" s="139">
        <f t="shared" si="6"/>
        <v>110.00610522345814</v>
      </c>
      <c r="R44" s="139">
        <f t="shared" si="7"/>
        <v>183.06284353128112</v>
      </c>
      <c r="S44" s="139">
        <f t="shared" si="8"/>
        <v>183.20751962896233</v>
      </c>
      <c r="T44" s="140">
        <f t="shared" si="9"/>
        <v>183.13518158012172</v>
      </c>
      <c r="V44" s="139">
        <f>Controls!$E$14*T44</f>
        <v>176.42359330309125</v>
      </c>
      <c r="W44" s="149">
        <f>-(INDEX(Controls!$E$16:$E$20,MATCH($B44,Controls!$B$16:$B$20,0),0))*$V44</f>
        <v>-8.0054190226701518</v>
      </c>
      <c r="X44" s="98">
        <f t="shared" si="10"/>
        <v>168.41817428042111</v>
      </c>
    </row>
    <row r="45" spans="1:24" ht="13" x14ac:dyDescent="0.3">
      <c r="A45" s="4" t="str">
        <f>'Forecast drivers'!B51</f>
        <v>WSX</v>
      </c>
      <c r="B45" s="4">
        <f>'Forecast drivers'!C51</f>
        <v>2024</v>
      </c>
      <c r="C45" s="31" t="str">
        <f>'Forecast drivers'!A51</f>
        <v>WSX24</v>
      </c>
      <c r="D45" s="43">
        <f>EXP('Model Coeffs'!$D$16+'Model Coeffs'!$D$6*'Forecast drivers'!E51+'Model Coeffs'!$D$7*'Forecast drivers'!I51+'Model Coeffs'!$D$8*'Forecast drivers'!H51)</f>
        <v>65.528921613662362</v>
      </c>
      <c r="E45" s="43">
        <f>EXP('Model Coeffs'!$E$16+'Model Coeffs'!$E$6*'Forecast drivers'!E51+'Model Coeffs'!$E$7*'Forecast drivers'!I51+'Model Coeffs'!$E$9*'Forecast drivers'!M51)</f>
        <v>81.560340611007277</v>
      </c>
      <c r="F45" s="43">
        <f>EXP('Model Coeffs'!$F$16+'Model Coeffs'!$F$10*'Forecast drivers'!F51+'Model Coeffs'!$F$11*'Forecast drivers'!J51+'Model Coeffs'!$F$12*'Forecast drivers'!K51)</f>
        <v>80.772779730234902</v>
      </c>
      <c r="G45" s="43">
        <f>EXP('Model Coeffs'!$G$16+'Model Coeffs'!$G$10*'Forecast drivers'!F51+'Model Coeffs'!$G$12*'Forecast drivers'!K51+'Model Coeffs'!$G$13*'Forecast drivers'!L51)</f>
        <v>85.855145755717842</v>
      </c>
      <c r="H45" s="44">
        <f>EXP('Model Coeffs'!$H$16+'Model Coeffs'!$H$9*'Forecast drivers'!M51+'Model Coeffs'!$H$14*'Forecast drivers'!G51)</f>
        <v>27.74321574002175</v>
      </c>
      <c r="I45" s="44">
        <f>EXP('Model Coeffs'!$I$16+'Model Coeffs'!$I$14*'Forecast drivers'!G51+'Model Coeffs'!$I$15*'Forecast drivers'!N51)</f>
        <v>26.856891707483737</v>
      </c>
      <c r="J45" s="44">
        <f>EXP('Model Coeffs'!$J$16+'Model Coeffs'!$J$10*'Forecast drivers'!F51+'Model Coeffs'!$J$11*'Forecast drivers'!J51+'Model Coeffs'!$J$12*'Forecast drivers'!K51)</f>
        <v>107.6685549878399</v>
      </c>
      <c r="K45" s="44">
        <f>EXP('Model Coeffs'!$K$16+'Model Coeffs'!$K$10*'Forecast drivers'!F51+'Model Coeffs'!$K$12*'Forecast drivers'!K51+'Model Coeffs'!$K$13*'Forecast drivers'!L51)</f>
        <v>113.52372352423897</v>
      </c>
      <c r="L45" s="66"/>
      <c r="M45" s="139">
        <f t="shared" si="2"/>
        <v>73.544631112334827</v>
      </c>
      <c r="N45" s="139">
        <f t="shared" si="3"/>
        <v>83.313962742976372</v>
      </c>
      <c r="O45" s="139">
        <f t="shared" si="4"/>
        <v>156.8585938553112</v>
      </c>
      <c r="P45" s="139">
        <f t="shared" si="5"/>
        <v>27.300053723752743</v>
      </c>
      <c r="Q45" s="139">
        <f t="shared" si="6"/>
        <v>110.59613925603944</v>
      </c>
      <c r="R45" s="139">
        <f t="shared" si="7"/>
        <v>184.15864757906394</v>
      </c>
      <c r="S45" s="139">
        <f t="shared" si="8"/>
        <v>184.14077036837426</v>
      </c>
      <c r="T45" s="140">
        <f t="shared" si="9"/>
        <v>184.1497089737191</v>
      </c>
      <c r="V45" s="139">
        <f>Controls!$E$14*T45</f>
        <v>177.40094001899007</v>
      </c>
      <c r="W45" s="149">
        <f>-(INDEX(Controls!$E$16:$E$20,MATCH($B45,Controls!$B$16:$B$20,0),0))*$V45</f>
        <v>-10.777907295268609</v>
      </c>
      <c r="X45" s="98">
        <f t="shared" si="10"/>
        <v>166.62303272372145</v>
      </c>
    </row>
    <row r="46" spans="1:24" ht="13" x14ac:dyDescent="0.3">
      <c r="A46" s="4" t="str">
        <f>'Forecast drivers'!B52</f>
        <v>WSX</v>
      </c>
      <c r="B46" s="4">
        <f>'Forecast drivers'!C52</f>
        <v>2025</v>
      </c>
      <c r="C46" s="31" t="str">
        <f>'Forecast drivers'!A52</f>
        <v>WSX25</v>
      </c>
      <c r="D46" s="43">
        <f>EXP('Model Coeffs'!$D$16+'Model Coeffs'!$D$6*'Forecast drivers'!E52+'Model Coeffs'!$D$7*'Forecast drivers'!I52+'Model Coeffs'!$D$8*'Forecast drivers'!H52)</f>
        <v>66.064928120791436</v>
      </c>
      <c r="E46" s="43">
        <f>EXP('Model Coeffs'!$E$16+'Model Coeffs'!$E$6*'Forecast drivers'!E52+'Model Coeffs'!$E$7*'Forecast drivers'!I52+'Model Coeffs'!$E$9*'Forecast drivers'!M52)</f>
        <v>81.710842617208868</v>
      </c>
      <c r="F46" s="43">
        <f>EXP('Model Coeffs'!$F$16+'Model Coeffs'!$F$10*'Forecast drivers'!F52+'Model Coeffs'!$F$11*'Forecast drivers'!J52+'Model Coeffs'!$F$12*'Forecast drivers'!K52)</f>
        <v>81.211811570327782</v>
      </c>
      <c r="G46" s="43">
        <f>EXP('Model Coeffs'!$G$16+'Model Coeffs'!$G$10*'Forecast drivers'!F52+'Model Coeffs'!$G$12*'Forecast drivers'!K52+'Model Coeffs'!$G$13*'Forecast drivers'!L52)</f>
        <v>86.312390277576085</v>
      </c>
      <c r="H46" s="44">
        <f>EXP('Model Coeffs'!$H$16+'Model Coeffs'!$H$9*'Forecast drivers'!M52+'Model Coeffs'!$H$14*'Forecast drivers'!G52)</f>
        <v>28.30759524876909</v>
      </c>
      <c r="I46" s="44">
        <f>EXP('Model Coeffs'!$I$16+'Model Coeffs'!$I$14*'Forecast drivers'!G52+'Model Coeffs'!$I$15*'Forecast drivers'!N52)</f>
        <v>27.408577839629661</v>
      </c>
      <c r="J46" s="44">
        <f>EXP('Model Coeffs'!$J$16+'Model Coeffs'!$J$10*'Forecast drivers'!F52+'Model Coeffs'!$J$11*'Forecast drivers'!J52+'Model Coeffs'!$J$12*'Forecast drivers'!K52)</f>
        <v>108.24859655093641</v>
      </c>
      <c r="K46" s="44">
        <f>EXP('Model Coeffs'!$K$16+'Model Coeffs'!$K$10*'Forecast drivers'!F52+'Model Coeffs'!$K$12*'Forecast drivers'!K52+'Model Coeffs'!$K$13*'Forecast drivers'!L52)</f>
        <v>114.1219646381917</v>
      </c>
      <c r="L46" s="66"/>
      <c r="M46" s="139">
        <f t="shared" si="2"/>
        <v>73.887885369000145</v>
      </c>
      <c r="N46" s="139">
        <f t="shared" si="3"/>
        <v>83.762100923951934</v>
      </c>
      <c r="O46" s="139">
        <f t="shared" si="4"/>
        <v>157.64998629295206</v>
      </c>
      <c r="P46" s="139">
        <f t="shared" si="5"/>
        <v>27.858086544199374</v>
      </c>
      <c r="Q46" s="139">
        <f t="shared" si="6"/>
        <v>111.18528059456406</v>
      </c>
      <c r="R46" s="139">
        <f t="shared" si="7"/>
        <v>185.50807283715145</v>
      </c>
      <c r="S46" s="139">
        <f t="shared" si="8"/>
        <v>185.07316596356421</v>
      </c>
      <c r="T46" s="140">
        <f t="shared" si="9"/>
        <v>185.29061940035783</v>
      </c>
      <c r="V46" s="139">
        <f>Controls!$E$14*T46</f>
        <v>178.50003804793164</v>
      </c>
      <c r="W46" s="149">
        <f>-(INDEX(Controls!$E$16:$E$20,MATCH($B46,Controls!$B$16:$B$20,0),0))*$V46</f>
        <v>-13.612645527805</v>
      </c>
      <c r="X46" s="98">
        <f t="shared" si="10"/>
        <v>164.88739252012664</v>
      </c>
    </row>
    <row r="47" spans="1:24" ht="13" x14ac:dyDescent="0.3">
      <c r="A47" s="4" t="str">
        <f>'Forecast drivers'!B53</f>
        <v>YKY</v>
      </c>
      <c r="B47" s="4">
        <f>'Forecast drivers'!C53</f>
        <v>2021</v>
      </c>
      <c r="C47" s="31" t="str">
        <f>'Forecast drivers'!A53</f>
        <v>YKY21</v>
      </c>
      <c r="D47" s="43">
        <f>EXP('Model Coeffs'!$D$16+'Model Coeffs'!$D$6*'Forecast drivers'!E53+'Model Coeffs'!$D$7*'Forecast drivers'!I53+'Model Coeffs'!$D$8*'Forecast drivers'!H53)</f>
        <v>114.90781286466419</v>
      </c>
      <c r="E47" s="43">
        <f>EXP('Model Coeffs'!$E$16+'Model Coeffs'!$E$6*'Forecast drivers'!E53+'Model Coeffs'!$E$7*'Forecast drivers'!I53+'Model Coeffs'!$E$9*'Forecast drivers'!M53)</f>
        <v>100.44671520901608</v>
      </c>
      <c r="F47" s="43">
        <f>EXP('Model Coeffs'!$F$16+'Model Coeffs'!$F$10*'Forecast drivers'!F53+'Model Coeffs'!$F$11*'Forecast drivers'!J53+'Model Coeffs'!$F$12*'Forecast drivers'!K53)</f>
        <v>147.57502534961554</v>
      </c>
      <c r="G47" s="43">
        <f>EXP('Model Coeffs'!$G$16+'Model Coeffs'!$G$10*'Forecast drivers'!F53+'Model Coeffs'!$G$12*'Forecast drivers'!K53+'Model Coeffs'!$G$13*'Forecast drivers'!L53)</f>
        <v>154.35055440097713</v>
      </c>
      <c r="H47" s="44">
        <f>EXP('Model Coeffs'!$H$16+'Model Coeffs'!$H$9*'Forecast drivers'!M53+'Model Coeffs'!$H$14*'Forecast drivers'!G53)</f>
        <v>61.126420192015182</v>
      </c>
      <c r="I47" s="44">
        <f>EXP('Model Coeffs'!$I$16+'Model Coeffs'!$I$14*'Forecast drivers'!G53+'Model Coeffs'!$I$15*'Forecast drivers'!N53)</f>
        <v>57.840326280400838</v>
      </c>
      <c r="J47" s="44">
        <f>EXP('Model Coeffs'!$J$16+'Model Coeffs'!$J$10*'Forecast drivers'!F53+'Model Coeffs'!$J$11*'Forecast drivers'!J53+'Model Coeffs'!$J$12*'Forecast drivers'!K53)</f>
        <v>206.85173079978304</v>
      </c>
      <c r="K47" s="44">
        <f>EXP('Model Coeffs'!$K$16+'Model Coeffs'!$K$10*'Forecast drivers'!F53+'Model Coeffs'!$K$12*'Forecast drivers'!K53+'Model Coeffs'!$K$13*'Forecast drivers'!L53)</f>
        <v>215.17184166952009</v>
      </c>
      <c r="L47" s="66"/>
      <c r="M47" s="139">
        <f t="shared" si="2"/>
        <v>107.67726403684014</v>
      </c>
      <c r="N47" s="139">
        <f t="shared" si="3"/>
        <v>150.96278987529632</v>
      </c>
      <c r="O47" s="139">
        <f t="shared" si="4"/>
        <v>258.64005391213647</v>
      </c>
      <c r="P47" s="139">
        <f t="shared" si="5"/>
        <v>59.48337323620801</v>
      </c>
      <c r="Q47" s="139">
        <f t="shared" si="6"/>
        <v>211.01178623465157</v>
      </c>
      <c r="R47" s="139">
        <f t="shared" si="7"/>
        <v>318.12342714834449</v>
      </c>
      <c r="S47" s="139">
        <f t="shared" si="8"/>
        <v>318.68905027149174</v>
      </c>
      <c r="T47" s="140">
        <f t="shared" si="9"/>
        <v>318.40623870991811</v>
      </c>
      <c r="V47" s="139">
        <f>Controls!$E$14*T47</f>
        <v>306.73719969392812</v>
      </c>
      <c r="W47" s="149">
        <f>-(INDEX(Controls!$E$16:$E$20,MATCH($B47,Controls!$B$16:$B$20,0),0))*$V47</f>
        <v>-4.6010579954088922</v>
      </c>
      <c r="X47" s="98">
        <f t="shared" si="10"/>
        <v>302.13614169851922</v>
      </c>
    </row>
    <row r="48" spans="1:24" ht="13" x14ac:dyDescent="0.3">
      <c r="A48" s="4" t="str">
        <f>'Forecast drivers'!B54</f>
        <v>YKY</v>
      </c>
      <c r="B48" s="4">
        <f>'Forecast drivers'!C54</f>
        <v>2022</v>
      </c>
      <c r="C48" s="31" t="str">
        <f>'Forecast drivers'!A54</f>
        <v>YKY22</v>
      </c>
      <c r="D48" s="43">
        <f>EXP('Model Coeffs'!$D$16+'Model Coeffs'!$D$6*'Forecast drivers'!E54+'Model Coeffs'!$D$7*'Forecast drivers'!I54+'Model Coeffs'!$D$8*'Forecast drivers'!H54)</f>
        <v>115.58796943203956</v>
      </c>
      <c r="E48" s="43">
        <f>EXP('Model Coeffs'!$E$16+'Model Coeffs'!$E$6*'Forecast drivers'!E54+'Model Coeffs'!$E$7*'Forecast drivers'!I54+'Model Coeffs'!$E$9*'Forecast drivers'!M54)</f>
        <v>100.50642949534075</v>
      </c>
      <c r="F48" s="43">
        <f>EXP('Model Coeffs'!$F$16+'Model Coeffs'!$F$10*'Forecast drivers'!F54+'Model Coeffs'!$F$11*'Forecast drivers'!J54+'Model Coeffs'!$F$12*'Forecast drivers'!K54)</f>
        <v>148.53499907551321</v>
      </c>
      <c r="G48" s="43">
        <f>EXP('Model Coeffs'!$G$16+'Model Coeffs'!$G$10*'Forecast drivers'!F54+'Model Coeffs'!$G$12*'Forecast drivers'!K54+'Model Coeffs'!$G$13*'Forecast drivers'!L54)</f>
        <v>155.3343417032581</v>
      </c>
      <c r="H48" s="44">
        <f>EXP('Model Coeffs'!$H$16+'Model Coeffs'!$H$9*'Forecast drivers'!M54+'Model Coeffs'!$H$14*'Forecast drivers'!G54)</f>
        <v>61.550041774421388</v>
      </c>
      <c r="I48" s="44">
        <f>EXP('Model Coeffs'!$I$16+'Model Coeffs'!$I$14*'Forecast drivers'!G54+'Model Coeffs'!$I$15*'Forecast drivers'!N54)</f>
        <v>58.206181625239616</v>
      </c>
      <c r="J48" s="44">
        <f>EXP('Model Coeffs'!$J$16+'Model Coeffs'!$J$10*'Forecast drivers'!F54+'Model Coeffs'!$J$11*'Forecast drivers'!J54+'Model Coeffs'!$J$12*'Forecast drivers'!K54)</f>
        <v>208.18538377555473</v>
      </c>
      <c r="K48" s="44">
        <f>EXP('Model Coeffs'!$K$16+'Model Coeffs'!$K$10*'Forecast drivers'!F54+'Model Coeffs'!$K$12*'Forecast drivers'!K54+'Model Coeffs'!$K$13*'Forecast drivers'!L54)</f>
        <v>216.5288531629528</v>
      </c>
      <c r="L48" s="66"/>
      <c r="M48" s="139">
        <f t="shared" si="2"/>
        <v>108.04719946369016</v>
      </c>
      <c r="N48" s="139">
        <f t="shared" si="3"/>
        <v>151.93467038938564</v>
      </c>
      <c r="O48" s="139">
        <f t="shared" si="4"/>
        <v>259.98186985307581</v>
      </c>
      <c r="P48" s="139">
        <f t="shared" si="5"/>
        <v>59.878111699830498</v>
      </c>
      <c r="Q48" s="139">
        <f t="shared" si="6"/>
        <v>212.35711846925375</v>
      </c>
      <c r="R48" s="139">
        <f t="shared" si="7"/>
        <v>319.85998155290633</v>
      </c>
      <c r="S48" s="139">
        <f t="shared" si="8"/>
        <v>320.40431793294391</v>
      </c>
      <c r="T48" s="140">
        <f t="shared" si="9"/>
        <v>320.13214974292509</v>
      </c>
      <c r="V48" s="139">
        <f>Controls!$E$14*T48</f>
        <v>308.39985906684234</v>
      </c>
      <c r="W48" s="149">
        <f>-(INDEX(Controls!$E$16:$E$20,MATCH($B48,Controls!$B$16:$B$20,0),0))*$V48</f>
        <v>-9.2905457543885444</v>
      </c>
      <c r="X48" s="98">
        <f t="shared" si="10"/>
        <v>299.10931331245382</v>
      </c>
    </row>
    <row r="49" spans="1:24" ht="13" x14ac:dyDescent="0.3">
      <c r="A49" s="4" t="str">
        <f>'Forecast drivers'!B55</f>
        <v>YKY</v>
      </c>
      <c r="B49" s="4">
        <f>'Forecast drivers'!C55</f>
        <v>2023</v>
      </c>
      <c r="C49" s="31" t="str">
        <f>'Forecast drivers'!A55</f>
        <v>YKY23</v>
      </c>
      <c r="D49" s="43">
        <f>EXP('Model Coeffs'!$D$16+'Model Coeffs'!$D$6*'Forecast drivers'!E55+'Model Coeffs'!$D$7*'Forecast drivers'!I55+'Model Coeffs'!$D$8*'Forecast drivers'!H55)</f>
        <v>116.26887478050739</v>
      </c>
      <c r="E49" s="43">
        <f>EXP('Model Coeffs'!$E$16+'Model Coeffs'!$E$6*'Forecast drivers'!E55+'Model Coeffs'!$E$7*'Forecast drivers'!I55+'Model Coeffs'!$E$9*'Forecast drivers'!M55)</f>
        <v>100.56612959560346</v>
      </c>
      <c r="F49" s="43">
        <f>EXP('Model Coeffs'!$F$16+'Model Coeffs'!$F$10*'Forecast drivers'!F55+'Model Coeffs'!$F$11*'Forecast drivers'!J55+'Model Coeffs'!$F$12*'Forecast drivers'!K55)</f>
        <v>149.49337112158375</v>
      </c>
      <c r="G49" s="43">
        <f>EXP('Model Coeffs'!$G$16+'Model Coeffs'!$G$10*'Forecast drivers'!F55+'Model Coeffs'!$G$12*'Forecast drivers'!K55+'Model Coeffs'!$G$13*'Forecast drivers'!L55)</f>
        <v>156.31636002288701</v>
      </c>
      <c r="H49" s="44">
        <f>EXP('Model Coeffs'!$H$16+'Model Coeffs'!$H$9*'Forecast drivers'!M55+'Model Coeffs'!$H$14*'Forecast drivers'!G55)</f>
        <v>62.100988920762944</v>
      </c>
      <c r="I49" s="44">
        <f>EXP('Model Coeffs'!$I$16+'Model Coeffs'!$I$14*'Forecast drivers'!G55+'Model Coeffs'!$I$15*'Forecast drivers'!N55)</f>
        <v>58.706175372431893</v>
      </c>
      <c r="J49" s="44">
        <f>EXP('Model Coeffs'!$J$16+'Model Coeffs'!$J$10*'Forecast drivers'!F55+'Model Coeffs'!$J$11*'Forecast drivers'!J55+'Model Coeffs'!$J$12*'Forecast drivers'!K55)</f>
        <v>209.51673571414295</v>
      </c>
      <c r="K49" s="44">
        <f>EXP('Model Coeffs'!$K$16+'Model Coeffs'!$K$10*'Forecast drivers'!F55+'Model Coeffs'!$K$12*'Forecast drivers'!K55+'Model Coeffs'!$K$13*'Forecast drivers'!L55)</f>
        <v>217.88333464333883</v>
      </c>
      <c r="L49" s="66"/>
      <c r="M49" s="139">
        <f t="shared" si="2"/>
        <v>108.41750218805542</v>
      </c>
      <c r="N49" s="139">
        <f t="shared" si="3"/>
        <v>152.90486557223539</v>
      </c>
      <c r="O49" s="139">
        <f t="shared" si="4"/>
        <v>261.32236776029083</v>
      </c>
      <c r="P49" s="139">
        <f t="shared" si="5"/>
        <v>60.403582146597415</v>
      </c>
      <c r="Q49" s="139">
        <f t="shared" si="6"/>
        <v>213.7000351787409</v>
      </c>
      <c r="R49" s="139">
        <f t="shared" si="7"/>
        <v>321.72594990688822</v>
      </c>
      <c r="S49" s="139">
        <f t="shared" si="8"/>
        <v>322.11753736679634</v>
      </c>
      <c r="T49" s="140">
        <f t="shared" si="9"/>
        <v>321.92174363684228</v>
      </c>
      <c r="V49" s="139">
        <f>Controls!$E$14*T49</f>
        <v>310.12386743374378</v>
      </c>
      <c r="W49" s="149">
        <f>-(INDEX(Controls!$E$16:$E$20,MATCH($B49,Controls!$B$16:$B$20,0),0))*$V49</f>
        <v>-14.072219374156846</v>
      </c>
      <c r="X49" s="98">
        <f t="shared" si="10"/>
        <v>296.05164805958691</v>
      </c>
    </row>
    <row r="50" spans="1:24" ht="13" x14ac:dyDescent="0.3">
      <c r="A50" s="4" t="str">
        <f>'Forecast drivers'!B56</f>
        <v>YKY</v>
      </c>
      <c r="B50" s="4">
        <f>'Forecast drivers'!C56</f>
        <v>2024</v>
      </c>
      <c r="C50" s="31" t="str">
        <f>'Forecast drivers'!A56</f>
        <v>YKY24</v>
      </c>
      <c r="D50" s="43">
        <f>EXP('Model Coeffs'!$D$16+'Model Coeffs'!$D$6*'Forecast drivers'!E56+'Model Coeffs'!$D$7*'Forecast drivers'!I56+'Model Coeffs'!$D$8*'Forecast drivers'!H56)</f>
        <v>116.95052417366259</v>
      </c>
      <c r="E50" s="43">
        <f>EXP('Model Coeffs'!$E$16+'Model Coeffs'!$E$6*'Forecast drivers'!E56+'Model Coeffs'!$E$7*'Forecast drivers'!I56+'Model Coeffs'!$E$9*'Forecast drivers'!M56)</f>
        <v>100.62581552495816</v>
      </c>
      <c r="F50" s="43">
        <f>EXP('Model Coeffs'!$F$16+'Model Coeffs'!$F$10*'Forecast drivers'!F56+'Model Coeffs'!$F$11*'Forecast drivers'!J56+'Model Coeffs'!$F$12*'Forecast drivers'!K56)</f>
        <v>150.45015704076485</v>
      </c>
      <c r="G50" s="43">
        <f>EXP('Model Coeffs'!$G$16+'Model Coeffs'!$G$10*'Forecast drivers'!F56+'Model Coeffs'!$G$12*'Forecast drivers'!K56+'Model Coeffs'!$G$13*'Forecast drivers'!L56)</f>
        <v>157.29662676400491</v>
      </c>
      <c r="H50" s="44">
        <f>EXP('Model Coeffs'!$H$16+'Model Coeffs'!$H$9*'Forecast drivers'!M56+'Model Coeffs'!$H$14*'Forecast drivers'!G56)</f>
        <v>64.307439686987607</v>
      </c>
      <c r="I50" s="44">
        <f>EXP('Model Coeffs'!$I$16+'Model Coeffs'!$I$14*'Forecast drivers'!G56+'Model Coeffs'!$I$15*'Forecast drivers'!N56)</f>
        <v>60.957485741838134</v>
      </c>
      <c r="J50" s="44">
        <f>EXP('Model Coeffs'!$J$16+'Model Coeffs'!$J$10*'Forecast drivers'!F56+'Model Coeffs'!$J$11*'Forecast drivers'!J56+'Model Coeffs'!$J$12*'Forecast drivers'!K56)</f>
        <v>210.84580908887719</v>
      </c>
      <c r="K50" s="44">
        <f>EXP('Model Coeffs'!$K$16+'Model Coeffs'!$K$10*'Forecast drivers'!F56+'Model Coeffs'!$K$12*'Forecast drivers'!K56+'Model Coeffs'!$K$13*'Forecast drivers'!L56)</f>
        <v>219.23531116785327</v>
      </c>
      <c r="L50" s="66"/>
      <c r="M50" s="139">
        <f t="shared" si="2"/>
        <v>108.78816984931038</v>
      </c>
      <c r="N50" s="139">
        <f t="shared" si="3"/>
        <v>153.87339190238487</v>
      </c>
      <c r="O50" s="139">
        <f t="shared" si="4"/>
        <v>262.66156175169522</v>
      </c>
      <c r="P50" s="139">
        <f t="shared" si="5"/>
        <v>62.632462714412867</v>
      </c>
      <c r="Q50" s="139">
        <f t="shared" si="6"/>
        <v>215.04056012836523</v>
      </c>
      <c r="R50" s="139">
        <f t="shared" si="7"/>
        <v>325.29402446610811</v>
      </c>
      <c r="S50" s="139">
        <f t="shared" si="8"/>
        <v>323.82872997767561</v>
      </c>
      <c r="T50" s="140">
        <f t="shared" si="9"/>
        <v>324.56137722189186</v>
      </c>
      <c r="V50" s="139">
        <f>Controls!$E$14*T50</f>
        <v>312.66676300443578</v>
      </c>
      <c r="W50" s="149">
        <f>-(INDEX(Controls!$E$16:$E$20,MATCH($B50,Controls!$B$16:$B$20,0),0))*$V50</f>
        <v>-18.995916175037152</v>
      </c>
      <c r="X50" s="98">
        <f t="shared" si="10"/>
        <v>293.67084682939861</v>
      </c>
    </row>
    <row r="51" spans="1:24" ht="13" x14ac:dyDescent="0.3">
      <c r="A51" s="4" t="str">
        <f>'Forecast drivers'!B57</f>
        <v>YKY</v>
      </c>
      <c r="B51" s="4">
        <f>'Forecast drivers'!C57</f>
        <v>2025</v>
      </c>
      <c r="C51" s="31" t="str">
        <f>'Forecast drivers'!A57</f>
        <v>YKY25</v>
      </c>
      <c r="D51" s="43">
        <f>EXP('Model Coeffs'!$D$16+'Model Coeffs'!$D$6*'Forecast drivers'!E57+'Model Coeffs'!$D$7*'Forecast drivers'!I57+'Model Coeffs'!$D$8*'Forecast drivers'!H57)</f>
        <v>117.63291291118061</v>
      </c>
      <c r="E51" s="43">
        <f>EXP('Model Coeffs'!$E$16+'Model Coeffs'!$E$6*'Forecast drivers'!E57+'Model Coeffs'!$E$7*'Forecast drivers'!I57+'Model Coeffs'!$E$9*'Forecast drivers'!M57)</f>
        <v>100.68548729853002</v>
      </c>
      <c r="F51" s="43">
        <f>EXP('Model Coeffs'!$F$16+'Model Coeffs'!$F$10*'Forecast drivers'!F57+'Model Coeffs'!$F$11*'Forecast drivers'!J57+'Model Coeffs'!$F$12*'Forecast drivers'!K57)</f>
        <v>151.40537211189007</v>
      </c>
      <c r="G51" s="43">
        <f>EXP('Model Coeffs'!$G$16+'Model Coeffs'!$G$10*'Forecast drivers'!F57+'Model Coeffs'!$G$12*'Forecast drivers'!K57+'Model Coeffs'!$G$13*'Forecast drivers'!L57)</f>
        <v>158.27515902182012</v>
      </c>
      <c r="H51" s="44">
        <f>EXP('Model Coeffs'!$H$16+'Model Coeffs'!$H$9*'Forecast drivers'!M57+'Model Coeffs'!$H$14*'Forecast drivers'!G57)</f>
        <v>71.207515013051406</v>
      </c>
      <c r="I51" s="44">
        <f>EXP('Model Coeffs'!$I$16+'Model Coeffs'!$I$14*'Forecast drivers'!G57+'Model Coeffs'!$I$15*'Forecast drivers'!N57)</f>
        <v>68.112183367866166</v>
      </c>
      <c r="J51" s="44">
        <f>EXP('Model Coeffs'!$J$16+'Model Coeffs'!$J$10*'Forecast drivers'!F57+'Model Coeffs'!$J$11*'Forecast drivers'!J57+'Model Coeffs'!$J$12*'Forecast drivers'!K57)</f>
        <v>212.17262597576789</v>
      </c>
      <c r="K51" s="44">
        <f>EXP('Model Coeffs'!$K$16+'Model Coeffs'!$K$10*'Forecast drivers'!F57+'Model Coeffs'!$K$12*'Forecast drivers'!K57+'Model Coeffs'!$K$13*'Forecast drivers'!L57)</f>
        <v>220.58480734727175</v>
      </c>
      <c r="L51" s="66"/>
      <c r="M51" s="139">
        <f t="shared" si="2"/>
        <v>109.15920010485532</v>
      </c>
      <c r="N51" s="139">
        <f t="shared" si="3"/>
        <v>154.84026556685509</v>
      </c>
      <c r="O51" s="139">
        <f t="shared" si="4"/>
        <v>263.99946567171042</v>
      </c>
      <c r="P51" s="139">
        <f t="shared" si="5"/>
        <v>69.659849190458786</v>
      </c>
      <c r="Q51" s="139">
        <f t="shared" si="6"/>
        <v>216.37871666151983</v>
      </c>
      <c r="R51" s="139">
        <f t="shared" si="7"/>
        <v>333.6593148621692</v>
      </c>
      <c r="S51" s="139">
        <f t="shared" si="8"/>
        <v>325.53791676637513</v>
      </c>
      <c r="T51" s="140">
        <f t="shared" si="9"/>
        <v>329.59861581427219</v>
      </c>
      <c r="V51" s="139">
        <f>Controls!$E$14*T51</f>
        <v>317.51939549768474</v>
      </c>
      <c r="W51" s="149">
        <f>-(INDEX(Controls!$E$16:$E$20,MATCH($B51,Controls!$B$16:$B$20,0),0))*$V51</f>
        <v>-24.214442900859591</v>
      </c>
      <c r="X51" s="98">
        <f t="shared" si="10"/>
        <v>293.30495259682516</v>
      </c>
    </row>
    <row r="52" spans="1:24" ht="13" x14ac:dyDescent="0.3">
      <c r="A52" s="33" t="str">
        <f>'Forecast drivers'!B58</f>
        <v>SVH</v>
      </c>
      <c r="B52" s="33">
        <f>'Forecast drivers'!C58</f>
        <v>2021</v>
      </c>
      <c r="C52" s="11" t="str">
        <f>'Forecast drivers'!A58</f>
        <v>SVH21</v>
      </c>
      <c r="D52" s="45">
        <f>EXP('Model Coeffs'!$D$16+'Model Coeffs'!$D$6*'Forecast drivers'!E58+'Model Coeffs'!$D$7*'Forecast drivers'!I58+'Model Coeffs'!$D$8*'Forecast drivers'!H58)</f>
        <v>177.13320179809139</v>
      </c>
      <c r="E52" s="45">
        <f>EXP('Model Coeffs'!$E$16+'Model Coeffs'!$E$6*'Forecast drivers'!E58+'Model Coeffs'!$E$7*'Forecast drivers'!I58+'Model Coeffs'!$E$9*'Forecast drivers'!M58)</f>
        <v>174.17998864651392</v>
      </c>
      <c r="F52" s="45">
        <f>EXP('Model Coeffs'!$F$16+'Model Coeffs'!$F$10*'Forecast drivers'!F58+'Model Coeffs'!$F$11*'Forecast drivers'!J58+'Model Coeffs'!$F$12*'Forecast drivers'!K58)</f>
        <v>219.7345366552284</v>
      </c>
      <c r="G52" s="45">
        <f>EXP('Model Coeffs'!$G$16+'Model Coeffs'!$G$10*'Forecast drivers'!F58+'Model Coeffs'!$G$12*'Forecast drivers'!K58+'Model Coeffs'!$G$13*'Forecast drivers'!L58)</f>
        <v>221.48945260455253</v>
      </c>
      <c r="H52" s="41">
        <f>EXP('Model Coeffs'!$H$16+'Model Coeffs'!$H$9*'Forecast drivers'!M58+'Model Coeffs'!$H$14*'Forecast drivers'!G58)</f>
        <v>82.416585475798882</v>
      </c>
      <c r="I52" s="41">
        <f>EXP('Model Coeffs'!$I$16+'Model Coeffs'!$I$14*'Forecast drivers'!G58+'Model Coeffs'!$I$15*'Forecast drivers'!N58)</f>
        <v>94.83743740305529</v>
      </c>
      <c r="J52" s="41">
        <f>EXP('Model Coeffs'!$J$16+'Model Coeffs'!$J$10*'Forecast drivers'!F58+'Model Coeffs'!$J$11*'Forecast drivers'!J58+'Model Coeffs'!$J$12*'Forecast drivers'!K58)</f>
        <v>308.55555735002349</v>
      </c>
      <c r="K52" s="41">
        <f>EXP('Model Coeffs'!$K$16+'Model Coeffs'!$K$10*'Forecast drivers'!F58+'Model Coeffs'!$K$12*'Forecast drivers'!K58+'Model Coeffs'!$K$13*'Forecast drivers'!L58)</f>
        <v>310.46985716854448</v>
      </c>
      <c r="L52" s="66"/>
      <c r="M52" s="141">
        <f t="shared" si="2"/>
        <v>175.65659522230266</v>
      </c>
      <c r="N52" s="141">
        <f t="shared" si="3"/>
        <v>220.61199462989046</v>
      </c>
      <c r="O52" s="141">
        <f t="shared" si="4"/>
        <v>396.26858985219314</v>
      </c>
      <c r="P52" s="141">
        <f t="shared" si="5"/>
        <v>88.627011439427093</v>
      </c>
      <c r="Q52" s="141">
        <f t="shared" si="6"/>
        <v>309.51270725928396</v>
      </c>
      <c r="R52" s="141">
        <f t="shared" si="7"/>
        <v>484.89560129162021</v>
      </c>
      <c r="S52" s="141">
        <f t="shared" si="8"/>
        <v>485.16930248158661</v>
      </c>
      <c r="T52" s="142">
        <f t="shared" si="9"/>
        <v>485.03245188660344</v>
      </c>
      <c r="V52" s="139">
        <f>Controls!$E$14*T52</f>
        <v>467.2568497877939</v>
      </c>
      <c r="W52" s="149">
        <f>-(INDEX(Controls!$E$16:$E$20,MATCH($B52,Controls!$B$16:$B$20,0),0))*$V52</f>
        <v>-7.0088527468168627</v>
      </c>
      <c r="X52" s="98">
        <f t="shared" si="10"/>
        <v>460.24799704097705</v>
      </c>
    </row>
    <row r="53" spans="1:24" ht="13" x14ac:dyDescent="0.3">
      <c r="A53" s="33" t="str">
        <f>'Forecast drivers'!B59</f>
        <v>SVH</v>
      </c>
      <c r="B53" s="33">
        <f>'Forecast drivers'!C59</f>
        <v>2022</v>
      </c>
      <c r="C53" s="11" t="str">
        <f>'Forecast drivers'!A59</f>
        <v>SVH22</v>
      </c>
      <c r="D53" s="45">
        <f>EXP('Model Coeffs'!$D$16+'Model Coeffs'!$D$6*'Forecast drivers'!E59+'Model Coeffs'!$D$7*'Forecast drivers'!I59+'Model Coeffs'!$D$8*'Forecast drivers'!H59)</f>
        <v>178.75081496055373</v>
      </c>
      <c r="E53" s="45">
        <f>EXP('Model Coeffs'!$E$16+'Model Coeffs'!$E$6*'Forecast drivers'!E59+'Model Coeffs'!$E$7*'Forecast drivers'!I59+'Model Coeffs'!$E$9*'Forecast drivers'!M59)</f>
        <v>174.50861459297613</v>
      </c>
      <c r="F53" s="45">
        <f>EXP('Model Coeffs'!$F$16+'Model Coeffs'!$F$10*'Forecast drivers'!F59+'Model Coeffs'!$F$11*'Forecast drivers'!J59+'Model Coeffs'!$F$12*'Forecast drivers'!K59)</f>
        <v>220.29642435052861</v>
      </c>
      <c r="G53" s="45">
        <f>EXP('Model Coeffs'!$G$16+'Model Coeffs'!$G$10*'Forecast drivers'!F59+'Model Coeffs'!$G$12*'Forecast drivers'!K59+'Model Coeffs'!$G$13*'Forecast drivers'!L59)</f>
        <v>222.04442065343531</v>
      </c>
      <c r="H53" s="41">
        <f>EXP('Model Coeffs'!$H$16+'Model Coeffs'!$H$9*'Forecast drivers'!M59+'Model Coeffs'!$H$14*'Forecast drivers'!G59)</f>
        <v>82.69829155640447</v>
      </c>
      <c r="I53" s="41">
        <f>EXP('Model Coeffs'!$I$16+'Model Coeffs'!$I$14*'Forecast drivers'!G59+'Model Coeffs'!$I$15*'Forecast drivers'!N59)</f>
        <v>94.971949979922314</v>
      </c>
      <c r="J53" s="41">
        <f>EXP('Model Coeffs'!$J$16+'Model Coeffs'!$J$10*'Forecast drivers'!F59+'Model Coeffs'!$J$11*'Forecast drivers'!J59+'Model Coeffs'!$J$12*'Forecast drivers'!K59)</f>
        <v>309.33759797677544</v>
      </c>
      <c r="K53" s="41">
        <f>EXP('Model Coeffs'!$K$16+'Model Coeffs'!$K$10*'Forecast drivers'!F59+'Model Coeffs'!$K$12*'Forecast drivers'!K59+'Model Coeffs'!$K$13*'Forecast drivers'!L59)</f>
        <v>311.2396045645134</v>
      </c>
      <c r="L53" s="66"/>
      <c r="M53" s="141">
        <f t="shared" si="2"/>
        <v>176.62971477676493</v>
      </c>
      <c r="N53" s="141">
        <f t="shared" si="3"/>
        <v>221.17042250198196</v>
      </c>
      <c r="O53" s="141">
        <f t="shared" si="4"/>
        <v>397.80013727874689</v>
      </c>
      <c r="P53" s="141">
        <f t="shared" si="5"/>
        <v>88.835120768163392</v>
      </c>
      <c r="Q53" s="141">
        <f t="shared" si="6"/>
        <v>310.28860127064445</v>
      </c>
      <c r="R53" s="141">
        <f t="shared" si="7"/>
        <v>486.63525804691028</v>
      </c>
      <c r="S53" s="141">
        <f t="shared" si="8"/>
        <v>486.91831604740935</v>
      </c>
      <c r="T53" s="142">
        <f t="shared" si="9"/>
        <v>486.77678704715981</v>
      </c>
      <c r="V53" s="139">
        <f>Controls!$E$14*T53</f>
        <v>468.93725807578659</v>
      </c>
      <c r="W53" s="149">
        <f>-(INDEX(Controls!$E$16:$E$20,MATCH($B53,Controls!$B$16:$B$20,0),0))*$V53</f>
        <v>-14.126734899532947</v>
      </c>
      <c r="X53" s="98">
        <f t="shared" si="10"/>
        <v>454.81052317625364</v>
      </c>
    </row>
    <row r="54" spans="1:24" ht="13" x14ac:dyDescent="0.3">
      <c r="A54" s="33" t="str">
        <f>'Forecast drivers'!B60</f>
        <v>SVH</v>
      </c>
      <c r="B54" s="33">
        <f>'Forecast drivers'!C60</f>
        <v>2023</v>
      </c>
      <c r="C54" s="11" t="str">
        <f>'Forecast drivers'!A60</f>
        <v>SVH23</v>
      </c>
      <c r="D54" s="45">
        <f>EXP('Model Coeffs'!$D$16+'Model Coeffs'!$D$6*'Forecast drivers'!E60+'Model Coeffs'!$D$7*'Forecast drivers'!I60+'Model Coeffs'!$D$8*'Forecast drivers'!H60)</f>
        <v>180.36933140903099</v>
      </c>
      <c r="E54" s="45">
        <f>EXP('Model Coeffs'!$E$16+'Model Coeffs'!$E$6*'Forecast drivers'!E60+'Model Coeffs'!$E$7*'Forecast drivers'!I60+'Model Coeffs'!$E$9*'Forecast drivers'!M60)</f>
        <v>174.83699321750086</v>
      </c>
      <c r="F54" s="45">
        <f>EXP('Model Coeffs'!$F$16+'Model Coeffs'!$F$10*'Forecast drivers'!F60+'Model Coeffs'!$F$11*'Forecast drivers'!J60+'Model Coeffs'!$F$12*'Forecast drivers'!K60)</f>
        <v>220.85794169557431</v>
      </c>
      <c r="G54" s="45">
        <f>EXP('Model Coeffs'!$G$16+'Model Coeffs'!$G$10*'Forecast drivers'!F60+'Model Coeffs'!$G$12*'Forecast drivers'!K60+'Model Coeffs'!$G$13*'Forecast drivers'!L60)</f>
        <v>222.59899446826205</v>
      </c>
      <c r="H54" s="41">
        <f>EXP('Model Coeffs'!$H$16+'Model Coeffs'!$H$9*'Forecast drivers'!M60+'Model Coeffs'!$H$14*'Forecast drivers'!G60)</f>
        <v>83.079244382480553</v>
      </c>
      <c r="I54" s="41">
        <f>EXP('Model Coeffs'!$I$16+'Model Coeffs'!$I$14*'Forecast drivers'!G60+'Model Coeffs'!$I$15*'Forecast drivers'!N60)</f>
        <v>95.173622861177108</v>
      </c>
      <c r="J54" s="41">
        <f>EXP('Model Coeffs'!$J$16+'Model Coeffs'!$J$10*'Forecast drivers'!F60+'Model Coeffs'!$J$11*'Forecast drivers'!J60+'Model Coeffs'!$J$12*'Forecast drivers'!K60)</f>
        <v>310.11910555793969</v>
      </c>
      <c r="K54" s="41">
        <f>EXP('Model Coeffs'!$K$16+'Model Coeffs'!$K$10*'Forecast drivers'!F60+'Model Coeffs'!$K$12*'Forecast drivers'!K60+'Model Coeffs'!$K$13*'Forecast drivers'!L60)</f>
        <v>312.00878499063447</v>
      </c>
      <c r="L54" s="66"/>
      <c r="M54" s="141">
        <f t="shared" si="2"/>
        <v>177.60316231326593</v>
      </c>
      <c r="N54" s="141">
        <f t="shared" si="3"/>
        <v>221.72846808191818</v>
      </c>
      <c r="O54" s="141">
        <f t="shared" si="4"/>
        <v>399.33163039518411</v>
      </c>
      <c r="P54" s="141">
        <f t="shared" si="5"/>
        <v>89.126433621828824</v>
      </c>
      <c r="Q54" s="141">
        <f t="shared" si="6"/>
        <v>311.06394527428711</v>
      </c>
      <c r="R54" s="141">
        <f t="shared" si="7"/>
        <v>488.45806401701293</v>
      </c>
      <c r="S54" s="141">
        <f t="shared" si="8"/>
        <v>488.66710758755301</v>
      </c>
      <c r="T54" s="142">
        <f t="shared" si="9"/>
        <v>488.56258580228297</v>
      </c>
      <c r="V54" s="139">
        <f>Controls!$E$14*T54</f>
        <v>470.65761038917964</v>
      </c>
      <c r="W54" s="149">
        <f>-(INDEX(Controls!$E$16:$E$20,MATCH($B54,Controls!$B$16:$B$20,0),0))*$V54</f>
        <v>-21.3566185612205</v>
      </c>
      <c r="X54" s="98">
        <f t="shared" si="10"/>
        <v>449.30099182795914</v>
      </c>
    </row>
    <row r="55" spans="1:24" ht="13" x14ac:dyDescent="0.3">
      <c r="A55" s="33" t="str">
        <f>'Forecast drivers'!B61</f>
        <v>SVH</v>
      </c>
      <c r="B55" s="33">
        <f>'Forecast drivers'!C61</f>
        <v>2024</v>
      </c>
      <c r="C55" s="11" t="str">
        <f>'Forecast drivers'!A61</f>
        <v>SVH24</v>
      </c>
      <c r="D55" s="45">
        <f>EXP('Model Coeffs'!$D$16+'Model Coeffs'!$D$6*'Forecast drivers'!E61+'Model Coeffs'!$D$7*'Forecast drivers'!I61+'Model Coeffs'!$D$8*'Forecast drivers'!H61)</f>
        <v>181.98872472749329</v>
      </c>
      <c r="E55" s="45">
        <f>EXP('Model Coeffs'!$E$16+'Model Coeffs'!$E$6*'Forecast drivers'!E61+'Model Coeffs'!$E$7*'Forecast drivers'!I61+'Model Coeffs'!$E$9*'Forecast drivers'!M61)</f>
        <v>175.16512535554881</v>
      </c>
      <c r="F55" s="45">
        <f>EXP('Model Coeffs'!$F$16+'Model Coeffs'!$F$10*'Forecast drivers'!F61+'Model Coeffs'!$F$11*'Forecast drivers'!J61+'Model Coeffs'!$F$12*'Forecast drivers'!K61)</f>
        <v>221.41909011799103</v>
      </c>
      <c r="G55" s="45">
        <f>EXP('Model Coeffs'!$G$16+'Model Coeffs'!$G$10*'Forecast drivers'!F61+'Model Coeffs'!$G$12*'Forecast drivers'!K61+'Model Coeffs'!$G$13*'Forecast drivers'!L61)</f>
        <v>223.15317558883424</v>
      </c>
      <c r="H55" s="41">
        <f>EXP('Model Coeffs'!$H$16+'Model Coeffs'!$H$9*'Forecast drivers'!M61+'Model Coeffs'!$H$14*'Forecast drivers'!G61)</f>
        <v>83.320325799206472</v>
      </c>
      <c r="I55" s="41">
        <f>EXP('Model Coeffs'!$I$16+'Model Coeffs'!$I$14*'Forecast drivers'!G61+'Model Coeffs'!$I$15*'Forecast drivers'!N61)</f>
        <v>95.257161230271436</v>
      </c>
      <c r="J55" s="41">
        <f>EXP('Model Coeffs'!$J$16+'Model Coeffs'!$J$10*'Forecast drivers'!F61+'Model Coeffs'!$J$11*'Forecast drivers'!J61+'Model Coeffs'!$J$12*'Forecast drivers'!K61)</f>
        <v>310.90008216022903</v>
      </c>
      <c r="K55" s="41">
        <f>EXP('Model Coeffs'!$K$16+'Model Coeffs'!$K$10*'Forecast drivers'!F61+'Model Coeffs'!$K$12*'Forecast drivers'!K61+'Model Coeffs'!$K$13*'Forecast drivers'!L61)</f>
        <v>312.77740067616008</v>
      </c>
      <c r="L55" s="66"/>
      <c r="M55" s="141">
        <f t="shared" si="2"/>
        <v>178.57692504152106</v>
      </c>
      <c r="N55" s="141">
        <f t="shared" si="3"/>
        <v>222.28613285341265</v>
      </c>
      <c r="O55" s="141">
        <f t="shared" si="4"/>
        <v>400.86305789493372</v>
      </c>
      <c r="P55" s="141">
        <f t="shared" si="5"/>
        <v>89.288743514738954</v>
      </c>
      <c r="Q55" s="141">
        <f t="shared" si="6"/>
        <v>311.83874141819456</v>
      </c>
      <c r="R55" s="141">
        <f t="shared" si="7"/>
        <v>490.15180140967266</v>
      </c>
      <c r="S55" s="141">
        <f t="shared" si="8"/>
        <v>490.41566645971562</v>
      </c>
      <c r="T55" s="142">
        <f t="shared" si="9"/>
        <v>490.28373393469417</v>
      </c>
      <c r="V55" s="139">
        <f>Controls!$E$14*T55</f>
        <v>472.31568141358321</v>
      </c>
      <c r="W55" s="149">
        <f>-(INDEX(Controls!$E$16:$E$20,MATCH($B55,Controls!$B$16:$B$20,0),0))*$V55</f>
        <v>-28.695308084795357</v>
      </c>
      <c r="X55" s="98">
        <f t="shared" si="10"/>
        <v>443.62037332878788</v>
      </c>
    </row>
    <row r="56" spans="1:24" ht="13" x14ac:dyDescent="0.3">
      <c r="A56" s="33" t="str">
        <f>'Forecast drivers'!B62</f>
        <v>SVH</v>
      </c>
      <c r="B56" s="33">
        <f>'Forecast drivers'!C62</f>
        <v>2025</v>
      </c>
      <c r="C56" s="11" t="str">
        <f>'Forecast drivers'!A62</f>
        <v>SVH25</v>
      </c>
      <c r="D56" s="45">
        <f>EXP('Model Coeffs'!$D$16+'Model Coeffs'!$D$6*'Forecast drivers'!E62+'Model Coeffs'!$D$7*'Forecast drivers'!I62+'Model Coeffs'!$D$8*'Forecast drivers'!H62)</f>
        <v>183.60896898859025</v>
      </c>
      <c r="E56" s="45">
        <f>EXP('Model Coeffs'!$E$16+'Model Coeffs'!$E$6*'Forecast drivers'!E62+'Model Coeffs'!$E$7*'Forecast drivers'!I62+'Model Coeffs'!$E$9*'Forecast drivers'!M62)</f>
        <v>175.49301183757584</v>
      </c>
      <c r="F56" s="45">
        <f>EXP('Model Coeffs'!$F$16+'Model Coeffs'!$F$10*'Forecast drivers'!F62+'Model Coeffs'!$F$11*'Forecast drivers'!J62+'Model Coeffs'!$F$12*'Forecast drivers'!K62)</f>
        <v>221.97987103536579</v>
      </c>
      <c r="G56" s="45">
        <f>EXP('Model Coeffs'!$G$16+'Model Coeffs'!$G$10*'Forecast drivers'!F62+'Model Coeffs'!$G$12*'Forecast drivers'!K62+'Model Coeffs'!$G$13*'Forecast drivers'!L62)</f>
        <v>223.70696554404938</v>
      </c>
      <c r="H56" s="41">
        <f>EXP('Model Coeffs'!$H$16+'Model Coeffs'!$H$9*'Forecast drivers'!M62+'Model Coeffs'!$H$14*'Forecast drivers'!G62)</f>
        <v>83.708964890392451</v>
      </c>
      <c r="I56" s="41">
        <f>EXP('Model Coeffs'!$I$16+'Model Coeffs'!$I$14*'Forecast drivers'!G62+'Model Coeffs'!$I$15*'Forecast drivers'!N62)</f>
        <v>95.31594804301713</v>
      </c>
      <c r="J56" s="41">
        <f>EXP('Model Coeffs'!$J$16+'Model Coeffs'!$J$10*'Forecast drivers'!F62+'Model Coeffs'!$J$11*'Forecast drivers'!J62+'Model Coeffs'!$J$12*'Forecast drivers'!K62)</f>
        <v>311.68052983578139</v>
      </c>
      <c r="K56" s="41">
        <f>EXP('Model Coeffs'!$K$16+'Model Coeffs'!$K$10*'Forecast drivers'!F62+'Model Coeffs'!$K$12*'Forecast drivers'!K62+'Model Coeffs'!$K$13*'Forecast drivers'!L62)</f>
        <v>313.54545383450176</v>
      </c>
      <c r="L56" s="66"/>
      <c r="M56" s="141">
        <f t="shared" si="2"/>
        <v>179.55099041308304</v>
      </c>
      <c r="N56" s="141">
        <f t="shared" si="3"/>
        <v>222.84341828970759</v>
      </c>
      <c r="O56" s="141">
        <f t="shared" si="4"/>
        <v>402.39440870279066</v>
      </c>
      <c r="P56" s="141">
        <f t="shared" si="5"/>
        <v>89.512456466704791</v>
      </c>
      <c r="Q56" s="141">
        <f t="shared" si="6"/>
        <v>312.61299183514154</v>
      </c>
      <c r="R56" s="141">
        <f t="shared" si="7"/>
        <v>491.90686516949546</v>
      </c>
      <c r="S56" s="141">
        <f t="shared" si="8"/>
        <v>492.16398224822456</v>
      </c>
      <c r="T56" s="142">
        <f t="shared" si="9"/>
        <v>492.03542370885998</v>
      </c>
      <c r="V56" s="139">
        <f>Controls!$E$14*T56</f>
        <v>474.00317478129205</v>
      </c>
      <c r="W56" s="149">
        <f>-(INDEX(Controls!$E$16:$E$20,MATCH($B56,Controls!$B$16:$B$20,0),0))*$V56</f>
        <v>-36.148099843089611</v>
      </c>
      <c r="X56" s="98">
        <f t="shared" si="10"/>
        <v>437.85507493820245</v>
      </c>
    </row>
    <row r="57" spans="1:24" ht="13" x14ac:dyDescent="0.3">
      <c r="A57" s="34" t="s">
        <v>82</v>
      </c>
      <c r="B57" s="34">
        <v>2021</v>
      </c>
      <c r="C57" s="12" t="str">
        <f>A57&amp;RIGHT(B57,2)</f>
        <v>SVE21</v>
      </c>
      <c r="D57" s="156"/>
      <c r="E57" s="156"/>
      <c r="F57" s="156"/>
      <c r="G57" s="156"/>
      <c r="H57" s="156"/>
      <c r="I57" s="156"/>
      <c r="J57" s="156"/>
      <c r="K57" s="156"/>
      <c r="L57" s="66"/>
      <c r="M57" s="143">
        <f>M52*('BP costs'!$AN$12/('BP costs'!$AN$12+'BP costs'!$AN$8))</f>
        <v>174.3487429351274</v>
      </c>
      <c r="N57" s="143">
        <f>N52*('BP costs'!$AM$12/('BP costs'!$AM$12+'BP costs'!$AM$8))</f>
        <v>217.9386936975487</v>
      </c>
      <c r="O57" s="143">
        <f>O52*('BP costs'!$AP$12/('BP costs'!$AP$12+'BP costs'!$AP$8))</f>
        <v>392.26548257709453</v>
      </c>
      <c r="P57" s="143">
        <f>P52*('BP costs'!$AL$12/('BP costs'!$AL$12+'BP costs'!$AL$8))</f>
        <v>87.667407189864804</v>
      </c>
      <c r="Q57" s="143">
        <f>Q52*('BP costs'!$AO$12/('BP costs'!$AO$12+'BP costs'!$AO$8))</f>
        <v>305.84454966597121</v>
      </c>
      <c r="R57" s="143">
        <f t="shared" ref="R57:R66" si="11">M57+N57+P57</f>
        <v>479.95484382254085</v>
      </c>
      <c r="S57" s="143">
        <f t="shared" ref="S57:S66" si="12">M57+Q57</f>
        <v>480.19329260109862</v>
      </c>
      <c r="T57" s="144">
        <f t="shared" ref="T57:T66" si="13">R$5*R57+S$5*S57</f>
        <v>480.07406821181974</v>
      </c>
      <c r="V57" s="139">
        <f>Controls!$E$14*T57</f>
        <v>462.48018231553101</v>
      </c>
      <c r="W57" s="149">
        <f>-(INDEX(Controls!$E$16:$E$20,MATCH($B57,Controls!$B$16:$B$20,0),0))*$V57</f>
        <v>-6.9372027347329199</v>
      </c>
      <c r="X57" s="98">
        <f t="shared" si="10"/>
        <v>455.54297958079809</v>
      </c>
    </row>
    <row r="58" spans="1:24" ht="13" x14ac:dyDescent="0.3">
      <c r="A58" s="34" t="s">
        <v>82</v>
      </c>
      <c r="B58" s="34">
        <v>2022</v>
      </c>
      <c r="C58" s="12" t="str">
        <f t="shared" ref="C58:C61" si="14">A58&amp;RIGHT(B58,2)</f>
        <v>SVE22</v>
      </c>
      <c r="D58" s="156"/>
      <c r="E58" s="156"/>
      <c r="F58" s="156"/>
      <c r="G58" s="156"/>
      <c r="H58" s="156"/>
      <c r="I58" s="156"/>
      <c r="J58" s="156"/>
      <c r="K58" s="156"/>
      <c r="L58" s="66"/>
      <c r="M58" s="143">
        <f>M53*('BP costs'!$AN$12/('BP costs'!$AN$12+'BP costs'!$AN$8))</f>
        <v>175.31461712181181</v>
      </c>
      <c r="N58" s="143">
        <f>N53*('BP costs'!$AM$12/('BP costs'!$AM$12+'BP costs'!$AM$8))</f>
        <v>218.49035473108452</v>
      </c>
      <c r="O58" s="143">
        <f>O53*('BP costs'!$AP$12/('BP costs'!$AP$12+'BP costs'!$AP$8))</f>
        <v>393.78155830389107</v>
      </c>
      <c r="P58" s="143">
        <f>P53*('BP costs'!$AL$12/('BP costs'!$AL$12+'BP costs'!$AL$8))</f>
        <v>87.873263225919956</v>
      </c>
      <c r="Q58" s="143">
        <f>Q53*('BP costs'!$AO$12/('BP costs'!$AO$12+'BP costs'!$AO$8))</f>
        <v>306.61124825031811</v>
      </c>
      <c r="R58" s="143">
        <f t="shared" si="11"/>
        <v>481.67823507881627</v>
      </c>
      <c r="S58" s="143">
        <f t="shared" si="12"/>
        <v>481.92586537212992</v>
      </c>
      <c r="T58" s="144">
        <f t="shared" si="13"/>
        <v>481.80205022547307</v>
      </c>
      <c r="V58" s="139">
        <f>Controls!$E$14*T58</f>
        <v>464.14483677122587</v>
      </c>
      <c r="W58" s="149">
        <f>-(INDEX(Controls!$E$16:$E$20,MATCH($B58,Controls!$B$16:$B$20,0),0))*$V58</f>
        <v>-13.982363207733057</v>
      </c>
      <c r="X58" s="98">
        <f t="shared" si="10"/>
        <v>450.16247356349282</v>
      </c>
    </row>
    <row r="59" spans="1:24" ht="13" x14ac:dyDescent="0.3">
      <c r="A59" s="34" t="s">
        <v>82</v>
      </c>
      <c r="B59" s="34">
        <v>2023</v>
      </c>
      <c r="C59" s="12" t="str">
        <f t="shared" si="14"/>
        <v>SVE23</v>
      </c>
      <c r="D59" s="156"/>
      <c r="E59" s="156"/>
      <c r="F59" s="156"/>
      <c r="G59" s="156"/>
      <c r="H59" s="156"/>
      <c r="I59" s="156"/>
      <c r="J59" s="156"/>
      <c r="K59" s="156"/>
      <c r="L59" s="66"/>
      <c r="M59" s="143">
        <f>M54*('BP costs'!$AN$12/('BP costs'!$AN$12+'BP costs'!$AN$8))</f>
        <v>176.28081684854257</v>
      </c>
      <c r="N59" s="143">
        <f>N54*('BP costs'!$AM$12/('BP costs'!$AM$12+'BP costs'!$AM$8))</f>
        <v>219.04163810495106</v>
      </c>
      <c r="O59" s="143">
        <f>O54*('BP costs'!$AP$12/('BP costs'!$AP$12+'BP costs'!$AP$8))</f>
        <v>395.29758026921218</v>
      </c>
      <c r="P59" s="143">
        <f>P54*('BP costs'!$AL$12/('BP costs'!$AL$12+'BP costs'!$AL$8))</f>
        <v>88.161421905166222</v>
      </c>
      <c r="Q59" s="143">
        <f>Q54*('BP costs'!$AO$12/('BP costs'!$AO$12+'BP costs'!$AO$8))</f>
        <v>307.37740334530633</v>
      </c>
      <c r="R59" s="143">
        <f t="shared" si="11"/>
        <v>483.48387685865987</v>
      </c>
      <c r="S59" s="143">
        <f t="shared" si="12"/>
        <v>483.65822019384893</v>
      </c>
      <c r="T59" s="144">
        <f t="shared" si="13"/>
        <v>483.5710485262544</v>
      </c>
      <c r="V59" s="139">
        <f>Controls!$E$14*T59</f>
        <v>465.84900433792774</v>
      </c>
      <c r="W59" s="149">
        <f>-(INDEX(Controls!$E$16:$E$20,MATCH($B59,Controls!$B$16:$B$20,0),0))*$V59</f>
        <v>-21.13842265196314</v>
      </c>
      <c r="X59" s="98">
        <f t="shared" si="10"/>
        <v>444.7105816859646</v>
      </c>
    </row>
    <row r="60" spans="1:24" ht="13" x14ac:dyDescent="0.3">
      <c r="A60" s="34" t="s">
        <v>82</v>
      </c>
      <c r="B60" s="34">
        <v>2024</v>
      </c>
      <c r="C60" s="12" t="str">
        <f t="shared" si="14"/>
        <v>SVE24</v>
      </c>
      <c r="D60" s="156"/>
      <c r="E60" s="156"/>
      <c r="F60" s="156"/>
      <c r="G60" s="156"/>
      <c r="H60" s="156"/>
      <c r="I60" s="156"/>
      <c r="J60" s="156"/>
      <c r="K60" s="156"/>
      <c r="L60" s="66"/>
      <c r="M60" s="143">
        <f>M55*('BP costs'!$AN$12/('BP costs'!$AN$12+'BP costs'!$AN$8))</f>
        <v>177.24732942026529</v>
      </c>
      <c r="N60" s="143">
        <f>N55*('BP costs'!$AM$12/('BP costs'!$AM$12+'BP costs'!$AM$8))</f>
        <v>219.59254528488268</v>
      </c>
      <c r="O60" s="143">
        <f>O55*('BP costs'!$AP$12/('BP costs'!$AP$12+'BP costs'!$AP$8))</f>
        <v>396.81353728070576</v>
      </c>
      <c r="P60" s="143">
        <f>P55*('BP costs'!$AL$12/('BP costs'!$AL$12+'BP costs'!$AL$8))</f>
        <v>88.32197439634912</v>
      </c>
      <c r="Q60" s="143">
        <f>Q55*('BP costs'!$AO$12/('BP costs'!$AO$12+'BP costs'!$AO$8))</f>
        <v>308.14301707346192</v>
      </c>
      <c r="R60" s="143">
        <f t="shared" si="11"/>
        <v>485.16184910149707</v>
      </c>
      <c r="S60" s="143">
        <f t="shared" si="12"/>
        <v>485.39034649372718</v>
      </c>
      <c r="T60" s="144">
        <f t="shared" si="13"/>
        <v>485.27609779761212</v>
      </c>
      <c r="V60" s="139">
        <f>Controls!$E$14*T60</f>
        <v>467.49156649674563</v>
      </c>
      <c r="W60" s="149">
        <f>-(INDEX(Controls!$E$16:$E$20,MATCH($B60,Controls!$B$16:$B$20,0),0))*$V60</f>
        <v>-28.402221343824131</v>
      </c>
      <c r="X60" s="98">
        <f t="shared" si="10"/>
        <v>439.08934515292151</v>
      </c>
    </row>
    <row r="61" spans="1:24" ht="13" x14ac:dyDescent="0.3">
      <c r="A61" s="34" t="s">
        <v>82</v>
      </c>
      <c r="B61" s="34">
        <v>2025</v>
      </c>
      <c r="C61" s="12" t="str">
        <f t="shared" si="14"/>
        <v>SVE25</v>
      </c>
      <c r="D61" s="156"/>
      <c r="E61" s="156"/>
      <c r="F61" s="156"/>
      <c r="G61" s="156"/>
      <c r="H61" s="156"/>
      <c r="I61" s="156"/>
      <c r="J61" s="156"/>
      <c r="K61" s="156"/>
      <c r="L61" s="66"/>
      <c r="M61" s="143">
        <f>M56*('BP costs'!$AN$12/('BP costs'!$AN$12+'BP costs'!$AN$8))</f>
        <v>178.21414238196218</v>
      </c>
      <c r="N61" s="143">
        <f>N56*('BP costs'!$AM$12/('BP costs'!$AM$12+'BP costs'!$AM$8))</f>
        <v>220.14307772626941</v>
      </c>
      <c r="O61" s="143">
        <f>O56*('BP costs'!$AP$12/('BP costs'!$AP$12+'BP costs'!$AP$8))</f>
        <v>398.32941837504859</v>
      </c>
      <c r="P61" s="143">
        <f>P56*('BP costs'!$AL$12/('BP costs'!$AL$12+'BP costs'!$AL$8))</f>
        <v>88.543265108233726</v>
      </c>
      <c r="Q61" s="143">
        <f>Q56*('BP costs'!$AO$12/('BP costs'!$AO$12+'BP costs'!$AO$8))</f>
        <v>308.90809154228322</v>
      </c>
      <c r="R61" s="143">
        <f t="shared" si="11"/>
        <v>486.90048521646531</v>
      </c>
      <c r="S61" s="143">
        <f t="shared" si="12"/>
        <v>487.12223392424539</v>
      </c>
      <c r="T61" s="144">
        <f t="shared" si="13"/>
        <v>487.01135957035535</v>
      </c>
      <c r="V61" s="139">
        <f>Controls!$E$14*T61</f>
        <v>469.16323392092602</v>
      </c>
      <c r="W61" s="149">
        <f>-(INDEX(Controls!$E$16:$E$20,MATCH($B61,Controls!$B$16:$B$20,0),0))*$V61</f>
        <v>-35.778999645531044</v>
      </c>
      <c r="X61" s="98">
        <f t="shared" si="10"/>
        <v>433.38423427539499</v>
      </c>
    </row>
    <row r="62" spans="1:24" ht="13" x14ac:dyDescent="0.3">
      <c r="A62" s="34" t="s">
        <v>63</v>
      </c>
      <c r="B62" s="34">
        <v>2021</v>
      </c>
      <c r="C62" s="12" t="str">
        <f>A62&amp;RIGHT(B62,2)</f>
        <v>HDD21</v>
      </c>
      <c r="D62" s="34"/>
      <c r="E62" s="34"/>
      <c r="F62" s="34"/>
      <c r="G62" s="34"/>
      <c r="H62" s="34"/>
      <c r="I62" s="34"/>
      <c r="J62" s="34"/>
      <c r="K62" s="34"/>
      <c r="L62" s="66"/>
      <c r="M62" s="42">
        <f>M57*('BP costs'!$AN$8/('BP costs'!$AN$12+'BP costs'!$AN$8))</f>
        <v>1.2981146647255528</v>
      </c>
      <c r="N62" s="42">
        <f>N57*('BP costs'!$AM$8/('BP costs'!$AM$12+'BP costs'!$AM$8))</f>
        <v>2.6409067831167832</v>
      </c>
      <c r="O62" s="42">
        <f>O57*('BP costs'!$AP$8/('BP costs'!$AP$12+'BP costs'!$AP$8))</f>
        <v>3.9626678653994643</v>
      </c>
      <c r="P62" s="42">
        <f>P57*('BP costs'!$AL$8/('BP costs'!$AL$12+'BP costs'!$AL$8))</f>
        <v>0.94921418562102855</v>
      </c>
      <c r="Q62" s="42">
        <f>Q57*('BP costs'!$AO$8/('BP costs'!$AO$12+'BP costs'!$AO$8))</f>
        <v>3.6246848058833594</v>
      </c>
      <c r="R62" s="42">
        <f t="shared" si="11"/>
        <v>4.8882356334633643</v>
      </c>
      <c r="S62" s="42">
        <f t="shared" si="12"/>
        <v>4.9227994706089122</v>
      </c>
      <c r="T62" s="138">
        <f t="shared" si="13"/>
        <v>4.9055175520361383</v>
      </c>
      <c r="V62" s="151">
        <f>Controls!$E$14*T62</f>
        <v>4.7257388016565516</v>
      </c>
      <c r="W62" s="150">
        <f>-(INDEX(Controls!$E$16:$E$20,MATCH($B62,Controls!$B$16:$B$20,0),0))*$V62</f>
        <v>-7.0886082024847807E-2</v>
      </c>
      <c r="X62" s="152">
        <f t="shared" si="10"/>
        <v>4.6548527196317036</v>
      </c>
    </row>
    <row r="63" spans="1:24" ht="13" x14ac:dyDescent="0.3">
      <c r="A63" s="34" t="s">
        <v>63</v>
      </c>
      <c r="B63" s="34">
        <v>2022</v>
      </c>
      <c r="C63" s="12" t="str">
        <f t="shared" ref="C63:C66" si="15">A63&amp;RIGHT(B63,2)</f>
        <v>HDD22</v>
      </c>
      <c r="D63" s="34"/>
      <c r="E63" s="34"/>
      <c r="F63" s="34"/>
      <c r="G63" s="34"/>
      <c r="H63" s="34"/>
      <c r="I63" s="34"/>
      <c r="J63" s="34"/>
      <c r="K63" s="34"/>
      <c r="L63" s="66"/>
      <c r="M63" s="42">
        <f>M58*('BP costs'!$AN$8/('BP costs'!$AN$12+'BP costs'!$AN$8))</f>
        <v>1.3053060870719786</v>
      </c>
      <c r="N63" s="42">
        <f>N58*('BP costs'!$AM$8/('BP costs'!$AM$12+'BP costs'!$AM$8))</f>
        <v>2.647591623430031</v>
      </c>
      <c r="O63" s="42">
        <f>O58*('BP costs'!$AP$8/('BP costs'!$AP$12+'BP costs'!$AP$8))</f>
        <v>3.9779832699683788</v>
      </c>
      <c r="P63" s="42">
        <f>P58*('BP costs'!$AL$8/('BP costs'!$AL$12+'BP costs'!$AL$8))</f>
        <v>0.95144308089559826</v>
      </c>
      <c r="Q63" s="42">
        <f>Q58*('BP costs'!$AO$8/('BP costs'!$AO$12+'BP costs'!$AO$8))</f>
        <v>3.6337712542520144</v>
      </c>
      <c r="R63" s="42">
        <f t="shared" si="11"/>
        <v>4.9043407913976074</v>
      </c>
      <c r="S63" s="42">
        <f t="shared" si="12"/>
        <v>4.9390773413239932</v>
      </c>
      <c r="T63" s="138">
        <f t="shared" si="13"/>
        <v>4.9217090663608003</v>
      </c>
      <c r="V63" s="151">
        <f>Controls!$E$14*T63</f>
        <v>4.7413369249310007</v>
      </c>
      <c r="W63" s="150">
        <f>-(INDEX(Controls!$E$16:$E$20,MATCH($B63,Controls!$B$16:$B$20,0),0))*$V63</f>
        <v>-0.14283277486354515</v>
      </c>
      <c r="X63" s="152">
        <f t="shared" si="10"/>
        <v>4.5985041500674555</v>
      </c>
    </row>
    <row r="64" spans="1:24" ht="13" x14ac:dyDescent="0.3">
      <c r="A64" s="34" t="s">
        <v>63</v>
      </c>
      <c r="B64" s="34">
        <v>2023</v>
      </c>
      <c r="C64" s="12" t="str">
        <f t="shared" si="15"/>
        <v>HDD23</v>
      </c>
      <c r="D64" s="34"/>
      <c r="E64" s="34"/>
      <c r="F64" s="34"/>
      <c r="G64" s="34"/>
      <c r="H64" s="34"/>
      <c r="I64" s="34"/>
      <c r="J64" s="34"/>
      <c r="K64" s="34"/>
      <c r="L64" s="66"/>
      <c r="M64" s="42">
        <f>M59*('BP costs'!$AN$8/('BP costs'!$AN$12+'BP costs'!$AN$8))</f>
        <v>1.3124999332288718</v>
      </c>
      <c r="N64" s="42">
        <f>N59*('BP costs'!$AM$8/('BP costs'!$AM$12+'BP costs'!$AM$8))</f>
        <v>2.6542718873921709</v>
      </c>
      <c r="O64" s="42">
        <f>O59*('BP costs'!$AP$8/('BP costs'!$AP$12+'BP costs'!$AP$8))</f>
        <v>3.9932981314386002</v>
      </c>
      <c r="P64" s="42">
        <f>P59*('BP costs'!$AL$8/('BP costs'!$AL$12+'BP costs'!$AL$8))</f>
        <v>0.95456310365910935</v>
      </c>
      <c r="Q64" s="42">
        <f>Q59*('BP costs'!$AO$8/('BP costs'!$AO$12+'BP costs'!$AO$8))</f>
        <v>3.6428512615131767</v>
      </c>
      <c r="R64" s="42">
        <f t="shared" si="11"/>
        <v>4.9213349242801518</v>
      </c>
      <c r="S64" s="42">
        <f t="shared" si="12"/>
        <v>4.9553511947420485</v>
      </c>
      <c r="T64" s="138">
        <f t="shared" si="13"/>
        <v>4.9383430595110998</v>
      </c>
      <c r="V64" s="151">
        <f>Controls!$E$14*T64</f>
        <v>4.7573613109459343</v>
      </c>
      <c r="W64" s="150">
        <f>-(INDEX(Controls!$E$16:$E$20,MATCH($B64,Controls!$B$16:$B$20,0),0))*$V64</f>
        <v>-0.21587062151564443</v>
      </c>
      <c r="X64" s="152">
        <f t="shared" si="10"/>
        <v>4.5414906894302902</v>
      </c>
    </row>
    <row r="65" spans="1:24" ht="13" x14ac:dyDescent="0.3">
      <c r="A65" s="34" t="s">
        <v>63</v>
      </c>
      <c r="B65" s="34">
        <v>2024</v>
      </c>
      <c r="C65" s="12" t="str">
        <f t="shared" si="15"/>
        <v>HDD24</v>
      </c>
      <c r="D65" s="34"/>
      <c r="E65" s="34"/>
      <c r="F65" s="34"/>
      <c r="G65" s="34"/>
      <c r="H65" s="34"/>
      <c r="I65" s="34"/>
      <c r="J65" s="34"/>
      <c r="K65" s="34"/>
      <c r="L65" s="66"/>
      <c r="M65" s="42">
        <f>M60*('BP costs'!$AN$8/('BP costs'!$AN$12+'BP costs'!$AN$8))</f>
        <v>1.3196961086751249</v>
      </c>
      <c r="N65" s="42">
        <f>N60*('BP costs'!$AM$8/('BP costs'!$AM$12+'BP costs'!$AM$8))</f>
        <v>2.6609475927644728</v>
      </c>
      <c r="O65" s="42">
        <f>O60*('BP costs'!$AP$8/('BP costs'!$AP$12+'BP costs'!$AP$8))</f>
        <v>4.0086123367449309</v>
      </c>
      <c r="P65" s="42">
        <f>P60*('BP costs'!$AL$8/('BP costs'!$AL$12+'BP costs'!$AL$8))</f>
        <v>0.95630147721266434</v>
      </c>
      <c r="Q65" s="42">
        <f>Q60*('BP costs'!$AO$8/('BP costs'!$AO$12+'BP costs'!$AO$8))</f>
        <v>3.6519248528217423</v>
      </c>
      <c r="R65" s="42">
        <f t="shared" si="11"/>
        <v>4.9369451786522625</v>
      </c>
      <c r="S65" s="42">
        <f t="shared" si="12"/>
        <v>4.9716209614968676</v>
      </c>
      <c r="T65" s="138">
        <f t="shared" si="13"/>
        <v>4.954283070074565</v>
      </c>
      <c r="V65" s="151">
        <f>Controls!$E$14*T65</f>
        <v>4.7727171476378887</v>
      </c>
      <c r="W65" s="150">
        <f>-(INDEX(Controls!$E$16:$E$20,MATCH($B65,Controls!$B$16:$B$20,0),0))*$V65</f>
        <v>-0.28996409465628281</v>
      </c>
      <c r="X65" s="152">
        <f t="shared" si="10"/>
        <v>4.4827530529816055</v>
      </c>
    </row>
    <row r="66" spans="1:24" ht="13" x14ac:dyDescent="0.3">
      <c r="A66" s="34" t="s">
        <v>63</v>
      </c>
      <c r="B66" s="34">
        <v>2025</v>
      </c>
      <c r="C66" s="12" t="str">
        <f t="shared" si="15"/>
        <v>HDD25</v>
      </c>
      <c r="D66" s="34"/>
      <c r="E66" s="34"/>
      <c r="F66" s="34"/>
      <c r="G66" s="34"/>
      <c r="H66" s="34"/>
      <c r="I66" s="34"/>
      <c r="J66" s="34"/>
      <c r="K66" s="34"/>
      <c r="L66" s="66"/>
      <c r="M66" s="42">
        <f>M61*('BP costs'!$AN$8/('BP costs'!$AN$12+'BP costs'!$AN$8))</f>
        <v>1.3268945206768246</v>
      </c>
      <c r="N66" s="42">
        <f>N61*('BP costs'!$AM$8/('BP costs'!$AM$12+'BP costs'!$AM$8))</f>
        <v>2.6676187571828565</v>
      </c>
      <c r="O66" s="42">
        <f>O61*('BP costs'!$AP$8/('BP costs'!$AP$12+'BP costs'!$AP$8))</f>
        <v>4.0239257751358259</v>
      </c>
      <c r="P66" s="42">
        <f>P61*('BP costs'!$AL$8/('BP costs'!$AL$12+'BP costs'!$AL$8))</f>
        <v>0.95869749061833209</v>
      </c>
      <c r="Q66" s="42">
        <f>Q61*('BP costs'!$AO$8/('BP costs'!$AO$12+'BP costs'!$AO$8))</f>
        <v>3.6609920531545077</v>
      </c>
      <c r="R66" s="42">
        <f t="shared" si="11"/>
        <v>4.9532107684780131</v>
      </c>
      <c r="S66" s="42">
        <f t="shared" si="12"/>
        <v>4.9878865738313323</v>
      </c>
      <c r="T66" s="138">
        <f t="shared" si="13"/>
        <v>4.9705486711546722</v>
      </c>
      <c r="V66" s="151">
        <f>Controls!$E$14*T66</f>
        <v>4.7883866425160848</v>
      </c>
      <c r="W66" s="150">
        <f>-(INDEX(Controls!$E$16:$E$20,MATCH($B66,Controls!$B$16:$B$20,0),0))*$V66</f>
        <v>-0.36516860571841814</v>
      </c>
      <c r="X66" s="152">
        <f t="shared" si="10"/>
        <v>4.4232180367976666</v>
      </c>
    </row>
    <row r="67" spans="1:24" x14ac:dyDescent="0.35">
      <c r="L67" s="66"/>
    </row>
    <row r="68" spans="1:24" x14ac:dyDescent="0.35">
      <c r="L68" s="66"/>
    </row>
    <row r="69" spans="1:24" x14ac:dyDescent="0.35">
      <c r="L69" s="66"/>
    </row>
    <row r="70" spans="1:24" x14ac:dyDescent="0.35">
      <c r="L70" s="66"/>
    </row>
    <row r="71" spans="1:24" x14ac:dyDescent="0.35">
      <c r="L71" s="66"/>
    </row>
    <row r="72" spans="1:24" x14ac:dyDescent="0.35">
      <c r="L72" s="66"/>
    </row>
    <row r="73" spans="1:24" x14ac:dyDescent="0.35">
      <c r="L73" s="66"/>
    </row>
    <row r="74" spans="1:24" x14ac:dyDescent="0.35">
      <c r="L74" s="66"/>
    </row>
    <row r="75" spans="1:24" x14ac:dyDescent="0.35">
      <c r="L75" s="66"/>
    </row>
    <row r="76" spans="1:24" x14ac:dyDescent="0.35">
      <c r="L76" s="66"/>
    </row>
    <row r="77" spans="1:24" x14ac:dyDescent="0.35">
      <c r="L77" s="66"/>
    </row>
    <row r="78" spans="1:24" x14ac:dyDescent="0.35">
      <c r="L78" s="66"/>
    </row>
    <row r="79" spans="1:24" x14ac:dyDescent="0.35">
      <c r="L79" s="66"/>
    </row>
    <row r="80" spans="1:24" x14ac:dyDescent="0.35">
      <c r="L80" s="66"/>
    </row>
    <row r="81" spans="12:21" x14ac:dyDescent="0.35">
      <c r="L81" s="66"/>
    </row>
    <row r="82" spans="12:21" x14ac:dyDescent="0.35">
      <c r="L82" s="67"/>
      <c r="U82" s="73"/>
    </row>
    <row r="83" spans="12:21" x14ac:dyDescent="0.35">
      <c r="L83" s="67"/>
      <c r="U83" s="73"/>
    </row>
    <row r="84" spans="12:21" x14ac:dyDescent="0.35">
      <c r="L84" s="67"/>
      <c r="U84" s="73"/>
    </row>
    <row r="85" spans="12:21" x14ac:dyDescent="0.35">
      <c r="L85" s="67"/>
      <c r="U85" s="73"/>
    </row>
    <row r="86" spans="12:21" x14ac:dyDescent="0.35">
      <c r="L86" s="67"/>
      <c r="U86" s="73"/>
    </row>
    <row r="87" spans="12:21" x14ac:dyDescent="0.35">
      <c r="L87" s="67"/>
      <c r="U87" s="73"/>
    </row>
    <row r="88" spans="12:21" x14ac:dyDescent="0.35">
      <c r="L88" s="67"/>
      <c r="U88" s="73"/>
    </row>
    <row r="89" spans="12:21" x14ac:dyDescent="0.35">
      <c r="L89" s="67"/>
      <c r="U89" s="73"/>
    </row>
    <row r="90" spans="12:21" x14ac:dyDescent="0.35">
      <c r="L90" s="67"/>
      <c r="U90" s="73"/>
    </row>
    <row r="91" spans="12:21" x14ac:dyDescent="0.35">
      <c r="L91" s="67"/>
      <c r="U91" s="73"/>
    </row>
    <row r="92" spans="12:21" x14ac:dyDescent="0.35">
      <c r="L92" s="67"/>
      <c r="U92" s="73"/>
    </row>
    <row r="93" spans="12:21" x14ac:dyDescent="0.35">
      <c r="L93" s="67"/>
      <c r="U93" s="73"/>
    </row>
    <row r="94" spans="12:21" x14ac:dyDescent="0.35">
      <c r="L94" s="67"/>
      <c r="U94" s="73"/>
    </row>
    <row r="95" spans="12:21" x14ac:dyDescent="0.35">
      <c r="L95" s="67"/>
      <c r="U95" s="73"/>
    </row>
    <row r="96" spans="12:21" x14ac:dyDescent="0.35">
      <c r="L96" s="67"/>
      <c r="U96" s="73"/>
    </row>
  </sheetData>
  <conditionalFormatting sqref="D4:K4">
    <cfRule type="expression" dxfId="1" priority="5">
      <formula>D4="error"</formula>
    </cfRule>
    <cfRule type="expression" dxfId="0" priority="6">
      <formula>D4="OK"</formula>
    </cfRule>
  </conditionalFormatting>
  <conditionalFormatting sqref="AC7:AC16">
    <cfRule type="colorScale" priority="1">
      <colorScale>
        <cfvo type="min"/>
        <cfvo type="percentile" val="50"/>
        <cfvo type="max"/>
        <color theme="7"/>
        <color rgb="FFFFC000"/>
        <color theme="9"/>
      </colorScale>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8"/>
  <sheetViews>
    <sheetView showGridLines="0" zoomScale="80" zoomScaleNormal="80" workbookViewId="0"/>
  </sheetViews>
  <sheetFormatPr defaultColWidth="9" defaultRowHeight="13" x14ac:dyDescent="0.3"/>
  <cols>
    <col min="1" max="6" width="9" style="8"/>
    <col min="7" max="7" width="3.33203125" style="8" customWidth="1"/>
    <col min="8" max="9" width="9" style="8"/>
    <col min="10" max="10" width="11.08203125" style="8" customWidth="1"/>
    <col min="11" max="16384" width="9" style="8"/>
  </cols>
  <sheetData>
    <row r="1" spans="1:10" ht="18.5" x14ac:dyDescent="0.45">
      <c r="A1" s="129" t="s">
        <v>158</v>
      </c>
    </row>
    <row r="2" spans="1:10" ht="15.5" x14ac:dyDescent="0.35">
      <c r="A2" s="128" t="s">
        <v>157</v>
      </c>
    </row>
    <row r="5" spans="1:10" x14ac:dyDescent="0.3">
      <c r="A5" s="74" t="s">
        <v>108</v>
      </c>
    </row>
    <row r="7" spans="1:10" ht="26" x14ac:dyDescent="0.3">
      <c r="A7" s="30" t="s">
        <v>11</v>
      </c>
      <c r="B7" s="30" t="s">
        <v>83</v>
      </c>
      <c r="C7" s="30" t="s">
        <v>84</v>
      </c>
      <c r="D7" s="30" t="s">
        <v>85</v>
      </c>
      <c r="E7" s="30" t="s">
        <v>24</v>
      </c>
      <c r="F7" s="30" t="s">
        <v>86</v>
      </c>
      <c r="H7" s="30" t="s">
        <v>24</v>
      </c>
      <c r="I7" s="30" t="s">
        <v>107</v>
      </c>
      <c r="J7" s="30" t="s">
        <v>95</v>
      </c>
    </row>
    <row r="8" spans="1:10" x14ac:dyDescent="0.3">
      <c r="A8" s="61" t="s">
        <v>2</v>
      </c>
      <c r="B8" s="58">
        <f>SUMIF('Modelled costs'!$A$7:$A$66,$A8,'Modelled costs'!M$7:M$66)</f>
        <v>627.516534486463</v>
      </c>
      <c r="C8" s="58">
        <f>SUMIF('Modelled costs'!$A$7:$A$66,$A8,'Modelled costs'!N$7:N$66)</f>
        <v>881.06476038412904</v>
      </c>
      <c r="D8" s="58">
        <f>SUMIF('Modelled costs'!$A$7:$A$66,$A8,'Modelled costs'!O$7:O$66)</f>
        <v>1508.581294870592</v>
      </c>
      <c r="E8" s="58">
        <f>SUMIF('Modelled costs'!$A$7:$A$66,$A8,'Modelled costs'!P$7:P$66)</f>
        <v>348.59600535289457</v>
      </c>
      <c r="F8" s="58">
        <f>SUMIF('Modelled costs'!$A$7:$A$66,$A8,'Modelled costs'!Q$7:Q$66)</f>
        <v>1173.5796110118322</v>
      </c>
      <c r="H8" s="58">
        <f t="shared" ref="H8:H18" si="0">AVERAGE(E8,F8-C8)</f>
        <v>320.55542799029888</v>
      </c>
      <c r="I8" s="58">
        <f t="shared" ref="I8:I18" si="1">AVERAGE(D8+E8,B8+F8)</f>
        <v>1829.136722860891</v>
      </c>
      <c r="J8" s="84">
        <f t="shared" ref="J8:J18" si="2">H8/I8</f>
        <v>0.17524957209810371</v>
      </c>
    </row>
    <row r="9" spans="1:10" x14ac:dyDescent="0.3">
      <c r="A9" s="61" t="s">
        <v>63</v>
      </c>
      <c r="B9" s="58">
        <f>SUMIF('Modelled costs'!$A$7:$A$66,$A9,'Modelled costs'!M$7:M$66)</f>
        <v>6.5625113143783524</v>
      </c>
      <c r="C9" s="58">
        <f>SUMIF('Modelled costs'!$A$7:$A$66,$A9,'Modelled costs'!N$7:N$66)</f>
        <v>13.271336643886315</v>
      </c>
      <c r="D9" s="58">
        <f>SUMIF('Modelled costs'!$A$7:$A$66,$A9,'Modelled costs'!O$7:O$66)</f>
        <v>19.966487378687201</v>
      </c>
      <c r="E9" s="58">
        <f>SUMIF('Modelled costs'!$A$7:$A$66,$A9,'Modelled costs'!P$7:P$66)</f>
        <v>4.7702193380067328</v>
      </c>
      <c r="F9" s="58">
        <f>SUMIF('Modelled costs'!$A$7:$A$66,$A9,'Modelled costs'!Q$7:Q$66)</f>
        <v>18.214224227624801</v>
      </c>
      <c r="H9" s="58">
        <f t="shared" si="0"/>
        <v>4.8565534608726093</v>
      </c>
      <c r="I9" s="58">
        <f t="shared" si="1"/>
        <v>24.756721129348541</v>
      </c>
      <c r="J9" s="84">
        <f t="shared" si="2"/>
        <v>0.19617110987752223</v>
      </c>
    </row>
    <row r="10" spans="1:10" x14ac:dyDescent="0.3">
      <c r="A10" s="61" t="s">
        <v>3</v>
      </c>
      <c r="B10" s="58">
        <f>SUMIF('Modelled costs'!$A$7:$A$66,$A10,'Modelled costs'!M$7:M$66)</f>
        <v>275.4673754374424</v>
      </c>
      <c r="C10" s="58">
        <f>SUMIF('Modelled costs'!$A$7:$A$66,$A10,'Modelled costs'!N$7:N$66)</f>
        <v>343.12703138935365</v>
      </c>
      <c r="D10" s="58">
        <f>SUMIF('Modelled costs'!$A$7:$A$66,$A10,'Modelled costs'!O$7:O$66)</f>
        <v>618.59440682679599</v>
      </c>
      <c r="E10" s="58">
        <f>SUMIF('Modelled costs'!$A$7:$A$66,$A10,'Modelled costs'!P$7:P$66)</f>
        <v>133.67463423351677</v>
      </c>
      <c r="F10" s="58">
        <f>SUMIF('Modelled costs'!$A$7:$A$66,$A10,'Modelled costs'!Q$7:Q$66)</f>
        <v>461.81713522465742</v>
      </c>
      <c r="H10" s="58">
        <f t="shared" si="0"/>
        <v>126.18236903441027</v>
      </c>
      <c r="I10" s="58">
        <f t="shared" si="1"/>
        <v>744.77677586120626</v>
      </c>
      <c r="J10" s="84">
        <f t="shared" si="2"/>
        <v>0.16942307161565565</v>
      </c>
    </row>
    <row r="11" spans="1:10" x14ac:dyDescent="0.3">
      <c r="A11" s="61" t="s">
        <v>4</v>
      </c>
      <c r="B11" s="58">
        <f>SUMIF('Modelled costs'!$A$7:$A$66,$A11,'Modelled costs'!M$7:M$66)</f>
        <v>722.30166113717371</v>
      </c>
      <c r="C11" s="58">
        <f>SUMIF('Modelled costs'!$A$7:$A$66,$A11,'Modelled costs'!N$7:N$66)</f>
        <v>939.10398200342706</v>
      </c>
      <c r="D11" s="58">
        <f>SUMIF('Modelled costs'!$A$7:$A$66,$A11,'Modelled costs'!O$7:O$66)</f>
        <v>1661.4056431406007</v>
      </c>
      <c r="E11" s="58">
        <f>SUMIF('Modelled costs'!$A$7:$A$66,$A11,'Modelled costs'!P$7:P$66)</f>
        <v>347.88987389466422</v>
      </c>
      <c r="F11" s="58">
        <f>SUMIF('Modelled costs'!$A$7:$A$66,$A11,'Modelled costs'!Q$7:Q$66)</f>
        <v>1328.6667108511901</v>
      </c>
      <c r="H11" s="58">
        <f t="shared" si="0"/>
        <v>368.72630137121365</v>
      </c>
      <c r="I11" s="58">
        <f t="shared" si="1"/>
        <v>2030.1319445118143</v>
      </c>
      <c r="J11" s="84">
        <f t="shared" si="2"/>
        <v>0.18162676685523574</v>
      </c>
    </row>
    <row r="12" spans="1:10" x14ac:dyDescent="0.3">
      <c r="A12" s="61" t="s">
        <v>5</v>
      </c>
      <c r="B12" s="58">
        <f>SUMIF('Modelled costs'!$A$7:$A$66,$A12,'Modelled costs'!M$7:M$66)</f>
        <v>639.95502604508965</v>
      </c>
      <c r="C12" s="58">
        <f>SUMIF('Modelled costs'!$A$7:$A$66,$A12,'Modelled costs'!N$7:N$66)</f>
        <v>579.1337208114403</v>
      </c>
      <c r="D12" s="58">
        <f>SUMIF('Modelled costs'!$A$7:$A$66,$A12,'Modelled costs'!O$7:O$66)</f>
        <v>1219.0887468565297</v>
      </c>
      <c r="E12" s="58">
        <f>SUMIF('Modelled costs'!$A$7:$A$66,$A12,'Modelled costs'!P$7:P$66)</f>
        <v>217.56645983070223</v>
      </c>
      <c r="F12" s="58">
        <f>SUMIF('Modelled costs'!$A$7:$A$66,$A12,'Modelled costs'!Q$7:Q$66)</f>
        <v>785.51961450535862</v>
      </c>
      <c r="H12" s="58">
        <f t="shared" si="0"/>
        <v>211.97617676231027</v>
      </c>
      <c r="I12" s="58">
        <f t="shared" si="1"/>
        <v>1431.0649236188401</v>
      </c>
      <c r="J12" s="84">
        <f t="shared" si="2"/>
        <v>0.14812477985014849</v>
      </c>
    </row>
    <row r="13" spans="1:10" x14ac:dyDescent="0.3">
      <c r="A13" s="61" t="s">
        <v>82</v>
      </c>
      <c r="B13" s="58">
        <f>SUMIF('Modelled costs'!$A$7:$A$66,$A13,'Modelled costs'!M$7:M$66)</f>
        <v>881.40564870770913</v>
      </c>
      <c r="C13" s="58">
        <f>SUMIF('Modelled costs'!$A$7:$A$66,$A13,'Modelled costs'!N$7:N$66)</f>
        <v>1095.2063095447363</v>
      </c>
      <c r="D13" s="58">
        <f>SUMIF('Modelled costs'!$A$7:$A$66,$A13,'Modelled costs'!O$7:O$66)</f>
        <v>1976.4875768059521</v>
      </c>
      <c r="E13" s="58">
        <f>SUMIF('Modelled costs'!$A$7:$A$66,$A13,'Modelled costs'!P$7:P$66)</f>
        <v>440.56733182553376</v>
      </c>
      <c r="F13" s="58">
        <f>SUMIF('Modelled costs'!$A$7:$A$66,$A13,'Modelled costs'!Q$7:Q$66)</f>
        <v>1536.8843098773409</v>
      </c>
      <c r="H13" s="58">
        <f t="shared" si="0"/>
        <v>441.12266607906918</v>
      </c>
      <c r="I13" s="58">
        <f t="shared" si="1"/>
        <v>2417.672433608268</v>
      </c>
      <c r="J13" s="84">
        <f t="shared" si="2"/>
        <v>0.18245758190687286</v>
      </c>
    </row>
    <row r="14" spans="1:10" x14ac:dyDescent="0.3">
      <c r="A14" s="61" t="s">
        <v>10</v>
      </c>
      <c r="B14" s="58">
        <f>SUMIF('Modelled costs'!$A$7:$A$66,$A14,'Modelled costs'!M$7:M$66)</f>
        <v>278.85077395871542</v>
      </c>
      <c r="C14" s="58">
        <f>SUMIF('Modelled costs'!$A$7:$A$66,$A14,'Modelled costs'!N$7:N$66)</f>
        <v>329.32678815610666</v>
      </c>
      <c r="D14" s="58">
        <f>SUMIF('Modelled costs'!$A$7:$A$66,$A14,'Modelled costs'!O$7:O$66)</f>
        <v>608.17756211482208</v>
      </c>
      <c r="E14" s="58">
        <f>SUMIF('Modelled costs'!$A$7:$A$66,$A14,'Modelled costs'!P$7:P$66)</f>
        <v>87.592667194121461</v>
      </c>
      <c r="F14" s="58">
        <f>SUMIF('Modelled costs'!$A$7:$A$66,$A14,'Modelled costs'!Q$7:Q$66)</f>
        <v>425.7620700376167</v>
      </c>
      <c r="H14" s="58">
        <f t="shared" si="0"/>
        <v>92.013974537815756</v>
      </c>
      <c r="I14" s="58">
        <f t="shared" si="1"/>
        <v>700.19153665263775</v>
      </c>
      <c r="J14" s="84">
        <f t="shared" si="2"/>
        <v>0.1314125774465959</v>
      </c>
    </row>
    <row r="15" spans="1:10" x14ac:dyDescent="0.3">
      <c r="A15" s="61" t="s">
        <v>7</v>
      </c>
      <c r="B15" s="58">
        <f>SUMIF('Modelled costs'!$A$7:$A$66,$A15,'Modelled costs'!M$7:M$66)</f>
        <v>1301.2814498492246</v>
      </c>
      <c r="C15" s="58">
        <f>SUMIF('Modelled costs'!$A$7:$A$66,$A15,'Modelled costs'!N$7:N$66)</f>
        <v>1725.7012984774005</v>
      </c>
      <c r="D15" s="58">
        <f>SUMIF('Modelled costs'!$A$7:$A$66,$A15,'Modelled costs'!O$7:O$66)</f>
        <v>3026.9827483266254</v>
      </c>
      <c r="E15" s="58">
        <f>SUMIF('Modelled costs'!$A$7:$A$66,$A15,'Modelled costs'!P$7:P$66)</f>
        <v>596.1205721515139</v>
      </c>
      <c r="F15" s="58">
        <f>SUMIF('Modelled costs'!$A$7:$A$66,$A15,'Modelled costs'!Q$7:Q$66)</f>
        <v>2568.3808358867614</v>
      </c>
      <c r="H15" s="58">
        <f t="shared" si="0"/>
        <v>719.40005478043736</v>
      </c>
      <c r="I15" s="58">
        <f t="shared" si="1"/>
        <v>3746.3828031070625</v>
      </c>
      <c r="J15" s="84">
        <f t="shared" si="2"/>
        <v>0.19202523943463623</v>
      </c>
    </row>
    <row r="16" spans="1:10" x14ac:dyDescent="0.3">
      <c r="A16" s="61" t="s">
        <v>12</v>
      </c>
      <c r="B16" s="58">
        <f>SUMIF('Modelled costs'!$A$7:$A$66,$A16,'Modelled costs'!M$7:M$66)</f>
        <v>383.2268138821438</v>
      </c>
      <c r="C16" s="58">
        <f>SUMIF('Modelled costs'!$A$7:$A$66,$A16,'Modelled costs'!N$7:N$66)</f>
        <v>546.12943702104121</v>
      </c>
      <c r="D16" s="58">
        <f>SUMIF('Modelled costs'!$A$7:$A$66,$A16,'Modelled costs'!O$7:O$66)</f>
        <v>929.3562509031849</v>
      </c>
      <c r="E16" s="58">
        <f>SUMIF('Modelled costs'!$A$7:$A$66,$A16,'Modelled costs'!P$7:P$66)</f>
        <v>165.01867287862413</v>
      </c>
      <c r="F16" s="58">
        <f>SUMIF('Modelled costs'!$A$7:$A$66,$A16,'Modelled costs'!Q$7:Q$66)</f>
        <v>717.68228562104821</v>
      </c>
      <c r="H16" s="58">
        <f t="shared" si="0"/>
        <v>168.28576073931555</v>
      </c>
      <c r="I16" s="58">
        <f t="shared" si="1"/>
        <v>1097.6420116425006</v>
      </c>
      <c r="J16" s="84">
        <f t="shared" si="2"/>
        <v>0.15331570671889136</v>
      </c>
    </row>
    <row r="17" spans="1:10" x14ac:dyDescent="0.3">
      <c r="A17" s="61" t="s">
        <v>8</v>
      </c>
      <c r="B17" s="58">
        <f>SUMIF('Modelled costs'!$A$7:$A$66,$A17,'Modelled costs'!M$7:M$66)</f>
        <v>366.00727640275454</v>
      </c>
      <c r="C17" s="58">
        <f>SUMIF('Modelled costs'!$A$7:$A$66,$A17,'Modelled costs'!N$7:N$66)</f>
        <v>414.32253716728962</v>
      </c>
      <c r="D17" s="58">
        <f>SUMIF('Modelled costs'!$A$7:$A$66,$A17,'Modelled costs'!O$7:O$66)</f>
        <v>780.32981357004405</v>
      </c>
      <c r="E17" s="58">
        <f>SUMIF('Modelled costs'!$A$7:$A$66,$A17,'Modelled costs'!P$7:P$66)</f>
        <v>135.5919873302521</v>
      </c>
      <c r="F17" s="58">
        <f>SUMIF('Modelled costs'!$A$7:$A$66,$A17,'Modelled costs'!Q$7:Q$66)</f>
        <v>550.02602492047959</v>
      </c>
      <c r="H17" s="58">
        <f t="shared" si="0"/>
        <v>135.64773754172103</v>
      </c>
      <c r="I17" s="58">
        <f t="shared" si="1"/>
        <v>915.97755111176514</v>
      </c>
      <c r="J17" s="84">
        <f t="shared" si="2"/>
        <v>0.14809067905330101</v>
      </c>
    </row>
    <row r="18" spans="1:10" x14ac:dyDescent="0.3">
      <c r="A18" s="61" t="s">
        <v>9</v>
      </c>
      <c r="B18" s="58">
        <f>SUMIF('Modelled costs'!$A$7:$A$66,$A18,'Modelled costs'!M$7:M$66)</f>
        <v>542.08933564275151</v>
      </c>
      <c r="C18" s="58">
        <f>SUMIF('Modelled costs'!$A$7:$A$66,$A18,'Modelled costs'!N$7:N$66)</f>
        <v>764.5159833061573</v>
      </c>
      <c r="D18" s="58">
        <f>SUMIF('Modelled costs'!$A$7:$A$66,$A18,'Modelled costs'!O$7:O$66)</f>
        <v>1306.6053189489087</v>
      </c>
      <c r="E18" s="58">
        <f>SUMIF('Modelled costs'!$A$7:$A$66,$A18,'Modelled costs'!P$7:P$66)</f>
        <v>312.0573789875076</v>
      </c>
      <c r="F18" s="58">
        <f>SUMIF('Modelled costs'!$A$7:$A$66,$A18,'Modelled costs'!Q$7:Q$66)</f>
        <v>1068.4882166725313</v>
      </c>
      <c r="H18" s="58">
        <f t="shared" si="0"/>
        <v>308.01480617694079</v>
      </c>
      <c r="I18" s="58">
        <f t="shared" si="1"/>
        <v>1614.6201251258497</v>
      </c>
      <c r="J18" s="84">
        <f t="shared" si="2"/>
        <v>0.19076611357915096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10</vt:i4>
      </vt:variant>
    </vt:vector>
  </HeadingPairs>
  <TitlesOfParts>
    <vt:vector size="10" baseType="lpstr">
      <vt:lpstr>Cover</vt:lpstr>
      <vt:lpstr>Controls</vt:lpstr>
      <vt:lpstr>Inputs&gt;&gt;</vt:lpstr>
      <vt:lpstr>BP costs</vt:lpstr>
      <vt:lpstr>Forecast drivers</vt:lpstr>
      <vt:lpstr>Model Coeffs</vt:lpstr>
      <vt:lpstr>Outputs&gt;&gt;</vt:lpstr>
      <vt:lpstr>Modelled costs</vt:lpstr>
      <vt:lpstr>Apportion</vt:lpstr>
      <vt:lpstr>Final allowances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2019-01-21T15:11:12Z</dcterms:created>
  <dcterms:modified xsi:type="dcterms:W3CDTF">2019-01-24T11:54:20Z</dcterms:modified>
</cp:coreProperties>
</file>