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700"/>
  </bookViews>
  <sheets>
    <sheet name="F_Inputs" sheetId="14" r:id="rId1"/>
    <sheet name="Inputs" sheetId="4" r:id="rId2"/>
    <sheet name="Calcs" sheetId="5" r:id="rId3"/>
    <sheet name="Totex menu adjustments" sheetId="8" r:id="rId4"/>
    <sheet name="F_Outputs" sheetId="15" r:id="rId5"/>
    <sheet name="RPI" sheetId="7" r:id="rId6"/>
    <sheet name="Timeline" sheetId="6" r:id="rId7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2">Calcs!$A$1:$AM$333</definedName>
    <definedName name="_xlnm.Print_Area" localSheetId="0">F_Inputs!$D$1:$P$45</definedName>
    <definedName name="_xlnm.Print_Area" localSheetId="4">F_Outputs!$A$1:$G$9</definedName>
    <definedName name="_xlnm.Print_Area" localSheetId="1">Inputs!$A$1:$AA$165</definedName>
    <definedName name="_xlnm.Print_Area" localSheetId="5">RPI!$A$1:$Z$59</definedName>
    <definedName name="_xlnm.Print_Area" localSheetId="6">Timeline!$A$1:$V$11</definedName>
    <definedName name="_xlnm.Print_Area" localSheetId="3">'Totex menu adjustments'!$A$1:$X$51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4" l="1"/>
  <c r="H32" i="4"/>
  <c r="H23" i="4"/>
  <c r="H22" i="4"/>
  <c r="H13" i="4"/>
  <c r="H15" i="4"/>
  <c r="H12" i="4"/>
  <c r="I12" i="7"/>
  <c r="I13" i="7"/>
  <c r="I14" i="7"/>
  <c r="I15" i="7"/>
  <c r="I16" i="7"/>
  <c r="I17" i="7"/>
  <c r="I18" i="7"/>
  <c r="I19" i="7"/>
  <c r="I20" i="7"/>
  <c r="I21" i="7"/>
  <c r="I22" i="7"/>
  <c r="J12" i="7"/>
  <c r="K12" i="7"/>
  <c r="L12" i="7"/>
  <c r="M12" i="7"/>
  <c r="N12" i="7"/>
  <c r="O12" i="7"/>
  <c r="P12" i="7"/>
  <c r="Q12" i="7"/>
  <c r="J13" i="7"/>
  <c r="K13" i="7"/>
  <c r="L13" i="7"/>
  <c r="M13" i="7"/>
  <c r="N13" i="7"/>
  <c r="O13" i="7"/>
  <c r="P13" i="7"/>
  <c r="Q13" i="7"/>
  <c r="J14" i="7"/>
  <c r="K14" i="7"/>
  <c r="L14" i="7"/>
  <c r="M14" i="7"/>
  <c r="N14" i="7"/>
  <c r="O14" i="7"/>
  <c r="P14" i="7"/>
  <c r="Q14" i="7"/>
  <c r="J15" i="7"/>
  <c r="K15" i="7"/>
  <c r="L15" i="7"/>
  <c r="M15" i="7"/>
  <c r="N15" i="7"/>
  <c r="O15" i="7"/>
  <c r="P15" i="7"/>
  <c r="Q15" i="7"/>
  <c r="J16" i="7"/>
  <c r="K16" i="7"/>
  <c r="L16" i="7"/>
  <c r="M16" i="7"/>
  <c r="N16" i="7"/>
  <c r="O16" i="7"/>
  <c r="P16" i="7"/>
  <c r="Q16" i="7"/>
  <c r="J17" i="7"/>
  <c r="K17" i="7"/>
  <c r="L17" i="7"/>
  <c r="M17" i="7"/>
  <c r="N17" i="7"/>
  <c r="O17" i="7"/>
  <c r="P17" i="7"/>
  <c r="Q17" i="7"/>
  <c r="J18" i="7"/>
  <c r="K18" i="7"/>
  <c r="L18" i="7"/>
  <c r="M18" i="7"/>
  <c r="N18" i="7"/>
  <c r="O18" i="7"/>
  <c r="P18" i="7"/>
  <c r="Q18" i="7"/>
  <c r="J19" i="7"/>
  <c r="K19" i="7"/>
  <c r="L19" i="7"/>
  <c r="M19" i="7"/>
  <c r="N19" i="7"/>
  <c r="O19" i="7"/>
  <c r="P19" i="7"/>
  <c r="Q19" i="7"/>
  <c r="J20" i="7"/>
  <c r="K20" i="7"/>
  <c r="L20" i="7"/>
  <c r="M20" i="7"/>
  <c r="N20" i="7"/>
  <c r="O20" i="7"/>
  <c r="P20" i="7"/>
  <c r="Q20" i="7"/>
  <c r="J21" i="7"/>
  <c r="K21" i="7"/>
  <c r="L21" i="7"/>
  <c r="M21" i="7"/>
  <c r="N21" i="7"/>
  <c r="O21" i="7"/>
  <c r="P21" i="7"/>
  <c r="Q21" i="7"/>
  <c r="J22" i="7"/>
  <c r="K22" i="7"/>
  <c r="L22" i="7"/>
  <c r="M22" i="7"/>
  <c r="N22" i="7"/>
  <c r="O22" i="7"/>
  <c r="P22" i="7"/>
  <c r="Q22" i="7"/>
  <c r="Q11" i="7"/>
  <c r="P11" i="7"/>
  <c r="O11" i="7"/>
  <c r="N11" i="7"/>
  <c r="M11" i="7"/>
  <c r="L11" i="7"/>
  <c r="K11" i="7"/>
  <c r="J11" i="7"/>
  <c r="I11" i="7"/>
  <c r="H18" i="7"/>
  <c r="K78" i="4"/>
  <c r="K75" i="4"/>
  <c r="M125" i="4"/>
  <c r="N125" i="4"/>
  <c r="O125" i="4"/>
  <c r="P125" i="4"/>
  <c r="M126" i="4"/>
  <c r="N126" i="4"/>
  <c r="O126" i="4"/>
  <c r="P126" i="4"/>
  <c r="L126" i="4"/>
  <c r="L125" i="4"/>
  <c r="P64" i="4"/>
  <c r="O64" i="4"/>
  <c r="N64" i="4"/>
  <c r="M64" i="4"/>
  <c r="P72" i="4"/>
  <c r="O72" i="4"/>
  <c r="N72" i="4"/>
  <c r="M72" i="4"/>
  <c r="P71" i="4"/>
  <c r="O71" i="4"/>
  <c r="N71" i="4"/>
  <c r="M71" i="4"/>
  <c r="P70" i="4"/>
  <c r="O70" i="4"/>
  <c r="N70" i="4"/>
  <c r="M70" i="4"/>
  <c r="L72" i="4"/>
  <c r="L71" i="4"/>
  <c r="L70" i="4"/>
  <c r="L64" i="4"/>
  <c r="P69" i="4"/>
  <c r="O69" i="4"/>
  <c r="N69" i="4"/>
  <c r="M69" i="4"/>
  <c r="L69" i="4"/>
  <c r="P68" i="4"/>
  <c r="O68" i="4"/>
  <c r="N68" i="4"/>
  <c r="M68" i="4"/>
  <c r="L68" i="4"/>
  <c r="P67" i="4"/>
  <c r="O67" i="4"/>
  <c r="N67" i="4"/>
  <c r="M67" i="4"/>
  <c r="L67" i="4"/>
  <c r="P66" i="4"/>
  <c r="O66" i="4"/>
  <c r="N66" i="4"/>
  <c r="M66" i="4"/>
  <c r="L66" i="4"/>
  <c r="P63" i="4"/>
  <c r="O63" i="4"/>
  <c r="N63" i="4"/>
  <c r="M63" i="4"/>
  <c r="L63" i="4"/>
  <c r="P62" i="4"/>
  <c r="O62" i="4"/>
  <c r="N62" i="4"/>
  <c r="M62" i="4"/>
  <c r="L62" i="4"/>
  <c r="P61" i="4"/>
  <c r="O61" i="4"/>
  <c r="N61" i="4"/>
  <c r="M61" i="4"/>
  <c r="L61" i="4"/>
  <c r="P60" i="4"/>
  <c r="O60" i="4"/>
  <c r="N60" i="4"/>
  <c r="M60" i="4"/>
  <c r="L60" i="4"/>
  <c r="P53" i="4"/>
  <c r="O53" i="4"/>
  <c r="N53" i="4"/>
  <c r="M53" i="4"/>
  <c r="L53" i="4"/>
  <c r="P52" i="4"/>
  <c r="O52" i="4"/>
  <c r="N52" i="4"/>
  <c r="M52" i="4"/>
  <c r="L52" i="4"/>
  <c r="P47" i="4"/>
  <c r="O47" i="4"/>
  <c r="N47" i="4"/>
  <c r="M47" i="4"/>
  <c r="L47" i="4"/>
  <c r="P46" i="4"/>
  <c r="O46" i="4"/>
  <c r="N46" i="4"/>
  <c r="M46" i="4"/>
  <c r="L46" i="4"/>
  <c r="P41" i="4"/>
  <c r="O41" i="4"/>
  <c r="N41" i="4"/>
  <c r="M41" i="4"/>
  <c r="L41" i="4"/>
  <c r="P40" i="4"/>
  <c r="O40" i="4"/>
  <c r="N40" i="4"/>
  <c r="M40" i="4"/>
  <c r="L40" i="4"/>
  <c r="P27" i="4"/>
  <c r="O27" i="4"/>
  <c r="N27" i="4"/>
  <c r="M27" i="4"/>
  <c r="L27" i="4"/>
  <c r="P26" i="4"/>
  <c r="O26" i="4"/>
  <c r="N26" i="4"/>
  <c r="M26" i="4"/>
  <c r="L26" i="4"/>
  <c r="M126" i="5"/>
  <c r="L126" i="5"/>
  <c r="K13" i="4"/>
  <c r="H97" i="4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H36" i="7"/>
  <c r="I36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I30" i="7"/>
  <c r="J30" i="7"/>
  <c r="K30" i="7"/>
  <c r="L30" i="7"/>
  <c r="M30" i="7"/>
  <c r="N30" i="7"/>
  <c r="O30" i="7"/>
  <c r="P30" i="7"/>
  <c r="Q30" i="7"/>
  <c r="R30" i="7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/>
  <c r="I45" i="7"/>
  <c r="J45" i="7"/>
  <c r="I41" i="7"/>
  <c r="I49" i="7"/>
  <c r="J36" i="7"/>
  <c r="J29" i="7"/>
  <c r="S30" i="7"/>
  <c r="H104" i="4"/>
  <c r="H115" i="4"/>
  <c r="H96" i="4"/>
  <c r="G40" i="5"/>
  <c r="G45" i="5"/>
  <c r="K45" i="7"/>
  <c r="K36" i="7"/>
  <c r="K29" i="7"/>
  <c r="J41" i="7"/>
  <c r="J49" i="7"/>
  <c r="J51" i="7"/>
  <c r="T30" i="7"/>
  <c r="G44" i="5"/>
  <c r="G39" i="5"/>
  <c r="G52" i="5"/>
  <c r="G69" i="5"/>
  <c r="G64" i="5"/>
  <c r="G57" i="5"/>
  <c r="H120" i="4"/>
  <c r="L36" i="7"/>
  <c r="L45" i="7"/>
  <c r="K41" i="7"/>
  <c r="K49" i="7"/>
  <c r="K51" i="7"/>
  <c r="L29" i="7"/>
  <c r="G68" i="5"/>
  <c r="U30" i="7"/>
  <c r="G51" i="5"/>
  <c r="G63" i="5"/>
  <c r="G56" i="5"/>
  <c r="H119" i="4"/>
  <c r="M137" i="5"/>
  <c r="M145" i="5"/>
  <c r="N137" i="5"/>
  <c r="N145" i="5"/>
  <c r="L137" i="5"/>
  <c r="L145" i="5"/>
  <c r="P137" i="5"/>
  <c r="P145" i="5"/>
  <c r="O137" i="5"/>
  <c r="O145" i="5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/>
  <c r="O136" i="5"/>
  <c r="O144" i="5"/>
  <c r="L136" i="5"/>
  <c r="L144" i="5"/>
  <c r="N136" i="5"/>
  <c r="N144" i="5"/>
  <c r="P136" i="5"/>
  <c r="P144" i="5"/>
  <c r="M36" i="7"/>
  <c r="M45" i="7"/>
  <c r="L41" i="7"/>
  <c r="L49" i="7"/>
  <c r="L51" i="7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/>
  <c r="L163" i="5"/>
  <c r="N36" i="7"/>
  <c r="N45" i="7"/>
  <c r="G70" i="5"/>
  <c r="N29" i="7"/>
  <c r="M41" i="7"/>
  <c r="M49" i="7"/>
  <c r="M51" i="7"/>
  <c r="L180" i="5"/>
  <c r="L183" i="5"/>
  <c r="L14" i="5"/>
  <c r="L15" i="5"/>
  <c r="L19" i="5"/>
  <c r="L18" i="5"/>
  <c r="L166" i="5"/>
  <c r="L170" i="5"/>
  <c r="G58" i="5"/>
  <c r="P98" i="5"/>
  <c r="G53" i="5"/>
  <c r="L167" i="5"/>
  <c r="L171" i="5"/>
  <c r="G65" i="5"/>
  <c r="O36" i="7"/>
  <c r="O45" i="7"/>
  <c r="L31" i="5"/>
  <c r="M15" i="5"/>
  <c r="M18" i="5"/>
  <c r="M19" i="5"/>
  <c r="M14" i="5"/>
  <c r="M180" i="5"/>
  <c r="M183" i="5"/>
  <c r="M163" i="5"/>
  <c r="M167" i="5"/>
  <c r="M171" i="5"/>
  <c r="M162" i="5"/>
  <c r="M166" i="5"/>
  <c r="M170" i="5"/>
  <c r="L30" i="5"/>
  <c r="O29" i="7"/>
  <c r="N41" i="7"/>
  <c r="N49" i="7"/>
  <c r="M98" i="5"/>
  <c r="O98" i="5"/>
  <c r="N98" i="5"/>
  <c r="L98" i="5"/>
  <c r="N97" i="5"/>
  <c r="P97" i="5"/>
  <c r="M97" i="5"/>
  <c r="L97" i="5"/>
  <c r="O97" i="5"/>
  <c r="P36" i="7"/>
  <c r="P45" i="7"/>
  <c r="L32" i="5"/>
  <c r="P29" i="7"/>
  <c r="O41" i="7"/>
  <c r="O49" i="7"/>
  <c r="M30" i="5"/>
  <c r="M31" i="5"/>
  <c r="N18" i="5"/>
  <c r="N19" i="5"/>
  <c r="N180" i="5"/>
  <c r="N183" i="5"/>
  <c r="N135" i="4"/>
  <c r="N140" i="4"/>
  <c r="N123" i="5"/>
  <c r="N126" i="5"/>
  <c r="N14" i="5"/>
  <c r="N15" i="5"/>
  <c r="N162" i="5"/>
  <c r="N166" i="5"/>
  <c r="N170" i="5"/>
  <c r="N163" i="5"/>
  <c r="N167" i="5"/>
  <c r="N171" i="5"/>
  <c r="N51" i="7"/>
  <c r="N30" i="5"/>
  <c r="Q36" i="7"/>
  <c r="Q45" i="7"/>
  <c r="Q29" i="7"/>
  <c r="P41" i="7"/>
  <c r="P49" i="7"/>
  <c r="O19" i="5"/>
  <c r="O135" i="4"/>
  <c r="O140" i="4"/>
  <c r="O123" i="5"/>
  <c r="O126" i="5"/>
  <c r="O14" i="5"/>
  <c r="O18" i="5"/>
  <c r="O180" i="5"/>
  <c r="O183" i="5"/>
  <c r="O15" i="5"/>
  <c r="O163" i="5"/>
  <c r="O167" i="5"/>
  <c r="O171" i="5"/>
  <c r="O162" i="5"/>
  <c r="O166" i="5"/>
  <c r="O170" i="5"/>
  <c r="N31" i="5"/>
  <c r="O51" i="7"/>
  <c r="M32" i="5"/>
  <c r="O31" i="5"/>
  <c r="N32" i="5"/>
  <c r="R36" i="7"/>
  <c r="R45" i="7"/>
  <c r="O30" i="5"/>
  <c r="P135" i="4"/>
  <c r="P140" i="4"/>
  <c r="P123" i="5"/>
  <c r="P126" i="5"/>
  <c r="P130" i="5"/>
  <c r="P15" i="5"/>
  <c r="P19" i="5"/>
  <c r="P180" i="5"/>
  <c r="P183" i="5"/>
  <c r="P186" i="5"/>
  <c r="P18" i="5"/>
  <c r="P14" i="5"/>
  <c r="P163" i="5"/>
  <c r="P167" i="5"/>
  <c r="P171" i="5"/>
  <c r="P175" i="5"/>
  <c r="P162" i="5"/>
  <c r="P166" i="5"/>
  <c r="P170" i="5"/>
  <c r="P174" i="5"/>
  <c r="P202" i="5"/>
  <c r="P18" i="8"/>
  <c r="R29" i="7"/>
  <c r="Q41" i="7"/>
  <c r="Q49" i="7"/>
  <c r="Q51" i="7"/>
  <c r="P51" i="7"/>
  <c r="O32" i="5"/>
  <c r="S36" i="7"/>
  <c r="S45" i="7"/>
  <c r="P203" i="5"/>
  <c r="P19" i="8"/>
  <c r="F8" i="15"/>
  <c r="P31" i="5"/>
  <c r="G84" i="5"/>
  <c r="G85" i="5"/>
  <c r="G87" i="5"/>
  <c r="G88" i="5"/>
  <c r="G94" i="5"/>
  <c r="G102" i="5"/>
  <c r="F7" i="15"/>
  <c r="S29" i="7"/>
  <c r="R41" i="7"/>
  <c r="R49" i="7"/>
  <c r="P30" i="5"/>
  <c r="P32" i="5"/>
  <c r="M106" i="5"/>
  <c r="M110" i="5"/>
  <c r="O106" i="5"/>
  <c r="O110" i="5"/>
  <c r="L106" i="5"/>
  <c r="L110" i="5"/>
  <c r="P106" i="5"/>
  <c r="P110" i="5"/>
  <c r="N106" i="5"/>
  <c r="N110" i="5"/>
  <c r="G77" i="5"/>
  <c r="G78" i="5"/>
  <c r="G80" i="5"/>
  <c r="G81" i="5"/>
  <c r="G93" i="5"/>
  <c r="G101" i="5"/>
  <c r="T36" i="7"/>
  <c r="T45" i="7"/>
  <c r="P41" i="8"/>
  <c r="P21" i="8"/>
  <c r="F9" i="15"/>
  <c r="T29" i="7"/>
  <c r="S41" i="7"/>
  <c r="S49" i="7"/>
  <c r="S51" i="7"/>
  <c r="R51" i="7"/>
  <c r="U36" i="7"/>
  <c r="U45" i="7"/>
  <c r="N105" i="5"/>
  <c r="N109" i="5"/>
  <c r="O105" i="5"/>
  <c r="O109" i="5"/>
  <c r="L105" i="5"/>
  <c r="L109" i="5"/>
  <c r="M105" i="5"/>
  <c r="M109" i="5"/>
  <c r="P105" i="5"/>
  <c r="P109" i="5"/>
  <c r="P114" i="5"/>
  <c r="P198" i="5"/>
  <c r="P12" i="8"/>
  <c r="G5" i="15"/>
  <c r="U29" i="7"/>
  <c r="U41" i="7"/>
  <c r="U49" i="7"/>
  <c r="T41" i="7"/>
  <c r="T49" i="7"/>
  <c r="P113" i="5"/>
  <c r="P197" i="5"/>
  <c r="P11" i="8"/>
  <c r="T51" i="7"/>
  <c r="U51" i="7"/>
  <c r="G4" i="15"/>
  <c r="P14" i="8"/>
  <c r="G6" i="15"/>
</calcChain>
</file>

<file path=xl/sharedStrings.xml><?xml version="1.0" encoding="utf-8"?>
<sst xmlns="http://schemas.openxmlformats.org/spreadsheetml/2006/main" count="966" uniqueCount="470">
  <si>
    <t>PR19 Totex DN</t>
  </si>
  <si>
    <t>Acronym</t>
  </si>
  <si>
    <t>Reference</t>
  </si>
  <si>
    <t>Item description</t>
  </si>
  <si>
    <t>Unit</t>
  </si>
  <si>
    <t>Model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</si>
  <si>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</si>
  <si>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</si>
  <si>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</si>
  <si>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</si>
  <si>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</si>
  <si>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</si>
  <si>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</si>
  <si>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</si>
  <si>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</si>
  <si>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</si>
  <si>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2015-20</t>
  </si>
  <si>
    <t>AFW</t>
  </si>
  <si>
    <t>BF200</t>
  </si>
  <si>
    <t>Company type</t>
  </si>
  <si>
    <t>Nr</t>
  </si>
  <si>
    <t>Price Review 2019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</si>
  <si>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</si>
  <si>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</si>
  <si>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</si>
  <si>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</si>
  <si>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</si>
  <si>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</si>
  <si>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</si>
  <si>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</si>
  <si>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</si>
  <si>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WS15006</t>
  </si>
  <si>
    <t>Menu choices - Water: Final menu choice</t>
  </si>
  <si>
    <t>nr</t>
  </si>
  <si>
    <t>WWS15006</t>
  </si>
  <si>
    <t>Menu choices - Sewerage: Final menu choice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</si>
  <si>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</si>
  <si>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</si>
  <si>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</si>
  <si>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</si>
  <si>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</si>
  <si>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</si>
  <si>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C00007_W011</t>
  </si>
  <si>
    <t>Wholesale water baseline</t>
  </si>
  <si>
    <t>C00008_S011</t>
  </si>
  <si>
    <t>Wholesale sewerage baseline</t>
  </si>
  <si>
    <t>W3026MTIN</t>
  </si>
  <si>
    <t>Water: Actual Totex</t>
  </si>
  <si>
    <t>S3040MTIN</t>
  </si>
  <si>
    <t>Sewerage: Actual Totex</t>
  </si>
  <si>
    <t>BM323TASIN</t>
  </si>
  <si>
    <t>Water: Third party services (opex)</t>
  </si>
  <si>
    <t>BM333TASIN</t>
  </si>
  <si>
    <t>Water: Third party services (capex)</t>
  </si>
  <si>
    <t>CRW003</t>
  </si>
  <si>
    <t>Pension deficit recovery payments - Water</t>
  </si>
  <si>
    <t>WS15028</t>
  </si>
  <si>
    <t>Adjustments to TOTEX - Water: Other cash items</t>
  </si>
  <si>
    <t>BM823TASIN</t>
  </si>
  <si>
    <t>Sewerage: Third party services (opex)</t>
  </si>
  <si>
    <t>BM833TASIN</t>
  </si>
  <si>
    <t>Sewerage: Third party services (capex)</t>
  </si>
  <si>
    <t>CRS003</t>
  </si>
  <si>
    <t>Pension deficit recovery payments - Wastewater</t>
  </si>
  <si>
    <t>WWS15028</t>
  </si>
  <si>
    <t>ADJUSTMENTS TO TOTEX - Sewerage: Other cash items</t>
  </si>
  <si>
    <t>BP767NTIN</t>
  </si>
  <si>
    <t>Water: Transition expenditure</t>
  </si>
  <si>
    <t>BP867NTIN</t>
  </si>
  <si>
    <t>Sewerage: Transition expenditure</t>
  </si>
  <si>
    <t>C00766_A001</t>
  </si>
  <si>
    <t>Water PAYG ratio</t>
  </si>
  <si>
    <t>%</t>
  </si>
  <si>
    <t>C00770_A001</t>
  </si>
  <si>
    <t>Waste PAYG ratio</t>
  </si>
  <si>
    <t>WS15014</t>
  </si>
  <si>
    <t>Adjustments to TOTEX - Water: Disallowables</t>
  </si>
  <si>
    <t>WWS15014</t>
  </si>
  <si>
    <t>ADJUSTMENTS TO TOTEX - Sewerage: Disallowables</t>
  </si>
  <si>
    <t>WWS15015</t>
  </si>
  <si>
    <t>ADJUSTMENTS TO TOTEX - TTT control: logging up / (down) of scope swaps</t>
  </si>
  <si>
    <t>WWS15016</t>
  </si>
  <si>
    <t>ADJUSTMENTS TO TOTEX - TTT control: Land - 100:0 (customer: company) cost sharing factor</t>
  </si>
  <si>
    <t>BB3805AL</t>
  </si>
  <si>
    <t>Retail Price Index for April</t>
  </si>
  <si>
    <t>BB3805MY</t>
  </si>
  <si>
    <t>Retail Price Index for May</t>
  </si>
  <si>
    <t>BB3805JN</t>
  </si>
  <si>
    <t>Retail Price Index for June</t>
  </si>
  <si>
    <t>BB3805JL</t>
  </si>
  <si>
    <t>Retail Price Index for July</t>
  </si>
  <si>
    <t>BB3805AT</t>
  </si>
  <si>
    <t>Retail Price Index for August</t>
  </si>
  <si>
    <t>BB3805SR</t>
  </si>
  <si>
    <t>Retail Price Index for September</t>
  </si>
  <si>
    <t>BB3805OR</t>
  </si>
  <si>
    <t>Retail Price Index for October</t>
  </si>
  <si>
    <t>BB3805NR</t>
  </si>
  <si>
    <t>Retail Price Index for November</t>
  </si>
  <si>
    <t>BB3805DR</t>
  </si>
  <si>
    <t>Retail Price Index for December</t>
  </si>
  <si>
    <t>BB3805JY</t>
  </si>
  <si>
    <t>Retail Price Index for January</t>
  </si>
  <si>
    <t>BB3805FY</t>
  </si>
  <si>
    <t>Retail Price Index for February</t>
  </si>
  <si>
    <t>BB3805MH</t>
  </si>
  <si>
    <t>Retail Price Index for March</t>
  </si>
  <si>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</si>
  <si>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</si>
  <si>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</si>
  <si>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</si>
  <si>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</si>
  <si>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</si>
  <si>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</si>
  <si>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</si>
  <si>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</si>
  <si>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</si>
  <si>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</si>
  <si>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</si>
  <si>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</si>
  <si>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</si>
  <si>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</si>
  <si>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</si>
  <si>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</si>
  <si>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</si>
  <si>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</si>
  <si>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</si>
  <si>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</si>
  <si>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</si>
  <si>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</si>
  <si>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</si>
  <si>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</si>
  <si>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</si>
  <si>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</si>
  <si>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</si>
  <si>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</si>
  <si>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</si>
  <si>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</si>
  <si>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</si>
  <si>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</si>
  <si>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</si>
  <si>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</si>
  <si>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</si>
  <si>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</si>
  <si>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</si>
  <si>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</si>
  <si>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</si>
  <si>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</si>
  <si>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</si>
  <si>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</si>
  <si>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</si>
  <si>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</si>
  <si>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</si>
  <si>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</si>
  <si>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</si>
  <si>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</si>
  <si>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</si>
  <si>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</si>
  <si>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</si>
  <si>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</si>
  <si>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Outturn price base</t>
  </si>
  <si>
    <t>Actual.Totex.Water</t>
  </si>
  <si>
    <t>Actual.Totex.Sewerage</t>
  </si>
  <si>
    <t>3 ADJUSTMENTS TO TOTEX</t>
  </si>
  <si>
    <t>3.1 Adjustments to actual totex</t>
  </si>
  <si>
    <t>Totex exclusions (enter exclusions as +ve values)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</si>
  <si>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</si>
  <si>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</si>
  <si>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</si>
  <si>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</si>
  <si>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</si>
  <si>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</si>
  <si>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</si>
  <si>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</si>
  <si>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</si>
  <si>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</si>
  <si>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</si>
  <si>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</si>
  <si>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</si>
  <si>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</si>
  <si>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</si>
  <si>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</si>
  <si>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</si>
  <si>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</si>
  <si>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</si>
  <si>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</si>
  <si>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</si>
  <si>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</si>
  <si>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</si>
  <si>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</si>
  <si>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</si>
  <si>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</si>
  <si>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</si>
  <si>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</si>
  <si>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</si>
  <si>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</si>
  <si>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</si>
  <si>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</si>
  <si>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</si>
  <si>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</si>
  <si>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</si>
  <si>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</si>
  <si>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</si>
  <si>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</si>
  <si>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</si>
  <si>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</si>
  <si>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</si>
  <si>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</si>
  <si>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</si>
  <si>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</si>
  <si>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</si>
  <si>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</si>
  <si>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</si>
  <si>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</si>
  <si>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</si>
  <si>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</si>
  <si>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</si>
  <si>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</si>
  <si>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</si>
  <si>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</si>
  <si>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</si>
  <si>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</si>
  <si>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</si>
  <si>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</si>
  <si>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</si>
  <si>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</si>
  <si>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</si>
  <si>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</si>
  <si>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</si>
  <si>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</si>
  <si>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</si>
  <si>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</si>
  <si>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</si>
  <si>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</si>
  <si>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</si>
  <si>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</si>
  <si>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</si>
  <si>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</si>
  <si>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</si>
  <si>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</si>
  <si>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</si>
  <si>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</si>
  <si>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</si>
  <si>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</si>
  <si>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</si>
  <si>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</si>
  <si>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</si>
  <si>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</si>
  <si>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</si>
  <si>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</si>
  <si>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</si>
  <si>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</si>
  <si>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</si>
  <si>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</si>
  <si>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</si>
  <si>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</si>
  <si>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</si>
  <si>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</si>
  <si>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</si>
  <si>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</si>
  <si>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</si>
  <si>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</si>
  <si>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</si>
  <si>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</si>
  <si>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</si>
  <si>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</si>
  <si>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</si>
  <si>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</si>
  <si>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</si>
  <si>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</si>
  <si>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</si>
  <si>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</si>
  <si>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</si>
  <si>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</si>
  <si>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</si>
  <si>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</si>
  <si>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</si>
  <si>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</si>
  <si>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</si>
  <si>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</si>
  <si>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</si>
  <si>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</si>
  <si>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</si>
  <si>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</si>
  <si>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</si>
  <si>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</si>
  <si>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</si>
  <si>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</si>
  <si>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</si>
  <si>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</si>
  <si>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</si>
  <si>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</si>
  <si>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</si>
  <si>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</si>
  <si>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</si>
  <si>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</si>
  <si>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</si>
  <si>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</si>
  <si>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</si>
  <si>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</si>
  <si>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</si>
  <si>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</si>
  <si>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</si>
  <si>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</si>
  <si>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</si>
  <si>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</si>
  <si>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</si>
  <si>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</si>
  <si>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</si>
  <si>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</si>
  <si>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</si>
  <si>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</si>
  <si>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</si>
  <si>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</si>
  <si>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</si>
  <si>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</si>
  <si>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</si>
  <si>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</si>
  <si>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</si>
  <si>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</si>
  <si>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</si>
  <si>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</si>
  <si>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</si>
  <si>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</si>
  <si>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</si>
  <si>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</si>
  <si>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</si>
  <si>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</si>
  <si>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</si>
  <si>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</si>
  <si>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</si>
  <si>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</si>
  <si>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</si>
  <si>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</si>
  <si>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</si>
  <si>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</si>
  <si>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</si>
  <si>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</si>
  <si>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</si>
  <si>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</si>
  <si>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</si>
  <si>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</si>
  <si>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</si>
  <si>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</si>
  <si>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</si>
  <si>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</si>
  <si>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</si>
  <si>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</si>
  <si>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</si>
  <si>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</si>
  <si>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</si>
  <si>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</si>
  <si>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</si>
  <si>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</si>
  <si>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</si>
  <si>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</si>
  <si>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</si>
  <si>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</si>
  <si>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</si>
  <si>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</si>
  <si>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</si>
  <si>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</si>
  <si>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</si>
  <si>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</si>
  <si>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</si>
  <si>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</si>
  <si>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</si>
  <si>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</si>
  <si>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</si>
  <si>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</si>
  <si>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</si>
  <si>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</si>
  <si>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</si>
  <si>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</si>
  <si>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</si>
  <si>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</si>
  <si>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</si>
  <si>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</si>
  <si>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</si>
  <si>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</si>
  <si>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</si>
  <si>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</si>
  <si>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</si>
  <si>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</si>
  <si>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</si>
  <si>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</si>
  <si>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</si>
  <si>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</si>
  <si>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</si>
  <si>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</si>
  <si>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</si>
  <si>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</si>
  <si>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</si>
  <si>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</si>
  <si>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</si>
  <si>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</si>
  <si>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</si>
  <si>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</si>
  <si>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</si>
  <si>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</si>
  <si>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</si>
  <si>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</si>
  <si>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</si>
  <si>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</si>
  <si>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</si>
  <si>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</si>
  <si>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</si>
  <si>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</si>
  <si>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</si>
  <si>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</si>
  <si>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PR19 Business plan data tables</t>
  </si>
  <si>
    <t>PR19 application</t>
  </si>
  <si>
    <t>C_WS15024_PR19PD006</t>
  </si>
  <si>
    <t>C_WWS15019_PR19PD006</t>
  </si>
  <si>
    <t>C_001_PR19PD006</t>
  </si>
  <si>
    <t>Total revenue adjustment (totex menu reconciliation model)</t>
  </si>
  <si>
    <t>C_WS15025_PR19PD006</t>
  </si>
  <si>
    <t>C_WWS15020_PR19PD006</t>
  </si>
  <si>
    <t>C_002_PR19PD006</t>
  </si>
  <si>
    <t>Total RCV adjustment (totex menu reconciliation model)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</si>
  <si>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</si>
  <si>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</si>
  <si>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</si>
  <si>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</si>
  <si>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</si>
  <si>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</si>
  <si>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</si>
  <si>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</si>
  <si>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</si>
  <si>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</si>
  <si>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</si>
  <si>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</si>
  <si>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</si>
  <si>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</si>
  <si>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</si>
  <si>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</si>
  <si>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</si>
  <si>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</si>
  <si>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</si>
  <si>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</si>
  <si>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</si>
  <si>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</si>
  <si>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</si>
  <si>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</si>
  <si>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</si>
  <si>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</si>
  <si>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</si>
  <si>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</si>
  <si>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</si>
  <si>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</si>
  <si>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</si>
  <si>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</si>
  <si>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</si>
  <si>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</si>
  <si>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</si>
  <si>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</si>
  <si>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</si>
  <si>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</si>
  <si>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</si>
  <si>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</si>
  <si>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</si>
  <si>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</si>
  <si>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</si>
  <si>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</si>
  <si>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</si>
  <si>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</si>
  <si>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2021-22</t>
  </si>
  <si>
    <t>2022-23</t>
  </si>
  <si>
    <t>2023-24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</si>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</sst>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1">
    <xf numFmtId="0" fontId="0" fillId="0" borderId="0"/>
    <xf numFmtId="0" fontId="2" fillId="0" borderId="0"/>
    <xf numFmtId="0" fontId="4" fillId="0" borderId="0" applyNumberFormat="0" applyFill="0" applyAlignment="0"/>
    <xf numFmtId="37" fontId="2" fillId="0" borderId="0" applyFill="0" applyBorder="0" applyProtection="0">
      <protection locked="0"/>
    </xf>
    <xf numFmtId="0" fontId="7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4" fillId="7" borderId="5" applyNumberFormat="0" applyFont="0" applyAlignment="0" applyProtection="0"/>
    <xf numFmtId="171" fontId="2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66" fontId="32" fillId="0" borderId="3">
      <alignment horizontal="center"/>
    </xf>
    <xf numFmtId="0" fontId="33" fillId="0" borderId="9" applyNumberFormat="0" applyAlignment="0" applyProtection="0"/>
    <xf numFmtId="0" fontId="34" fillId="0" borderId="0" applyNumberFormat="0" applyAlignment="0" applyProtection="0"/>
    <xf numFmtId="0" fontId="35" fillId="0" borderId="10" applyNumberFormat="0" applyFill="0" applyAlignment="0">
      <alignment vertical="top"/>
    </xf>
    <xf numFmtId="0" fontId="36" fillId="0" borderId="11" applyNumberFormat="0" applyFill="0" applyAlignment="0"/>
    <xf numFmtId="0" fontId="14" fillId="14" borderId="5" applyNumberFormat="0" applyFont="0" applyAlignment="0" applyProtection="0"/>
    <xf numFmtId="0" fontId="14" fillId="15" borderId="12" applyNumberFormat="0" applyFont="0" applyAlignment="0" applyProtection="0"/>
    <xf numFmtId="0" fontId="37" fillId="0" borderId="0" applyNumberFormat="0" applyFill="0" applyBorder="0" applyAlignment="0" applyProtection="0"/>
    <xf numFmtId="0" fontId="7" fillId="16" borderId="5" applyNumberFormat="0" applyFont="0" applyAlignment="0" applyProtection="0"/>
    <xf numFmtId="0" fontId="7" fillId="17" borderId="12" applyNumberFormat="0" applyFont="0" applyAlignment="0" applyProtection="0"/>
    <xf numFmtId="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7" fontId="6" fillId="18" borderId="13">
      <alignment horizontal="left"/>
    </xf>
    <xf numFmtId="37" fontId="26" fillId="18" borderId="14"/>
    <xf numFmtId="0" fontId="2" fillId="18" borderId="15" applyNumberFormat="0" applyBorder="0"/>
    <xf numFmtId="49" fontId="39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40" fillId="0" borderId="16" applyNumberFormat="0" applyAlignment="0" applyProtection="0">
      <alignment horizontal="left" wrapText="1"/>
    </xf>
    <xf numFmtId="49" fontId="40" fillId="0" borderId="0" applyNumberFormat="0" applyAlignment="0" applyProtection="0">
      <alignment horizontal="left" wrapText="1"/>
    </xf>
    <xf numFmtId="49" fontId="41" fillId="0" borderId="0" applyAlignment="0" applyProtection="0">
      <alignment horizontal="left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3" fillId="19" borderId="0" applyNumberFormat="0" applyAlignment="0" applyProtection="0"/>
    <xf numFmtId="0" fontId="44" fillId="0" borderId="3" applyNumberFormat="0" applyAlignment="0" applyProtection="0"/>
    <xf numFmtId="0" fontId="6" fillId="20" borderId="0"/>
    <xf numFmtId="0" fontId="2" fillId="11" borderId="3"/>
    <xf numFmtId="0" fontId="2" fillId="11" borderId="3"/>
    <xf numFmtId="0" fontId="6" fillId="11" borderId="0"/>
    <xf numFmtId="0" fontId="2" fillId="21" borderId="0"/>
    <xf numFmtId="0" fontId="2" fillId="21" borderId="0"/>
    <xf numFmtId="0" fontId="2" fillId="21" borderId="0"/>
    <xf numFmtId="0" fontId="45" fillId="18" borderId="17"/>
    <xf numFmtId="37" fontId="2" fillId="18" borderId="0">
      <alignment horizontal="right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2" borderId="0" applyNumberFormat="0" applyFont="0" applyAlignment="0" applyProtection="0"/>
    <xf numFmtId="0" fontId="48" fillId="0" borderId="0"/>
    <xf numFmtId="0" fontId="49" fillId="23" borderId="0" applyNumberFormat="0" applyAlignment="0" applyProtection="0"/>
    <xf numFmtId="0" fontId="2" fillId="0" borderId="0"/>
    <xf numFmtId="0" fontId="2" fillId="0" borderId="0"/>
    <xf numFmtId="0" fontId="4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0" fillId="0" borderId="0">
      <alignment vertical="top"/>
    </xf>
    <xf numFmtId="0" fontId="43" fillId="24" borderId="3" applyNumberFormat="0" applyAlignment="0" applyProtection="0"/>
    <xf numFmtId="0" fontId="14" fillId="25" borderId="5" applyNumberFormat="0" applyFont="0" applyAlignment="0"/>
    <xf numFmtId="37" fontId="51" fillId="26" borderId="18"/>
    <xf numFmtId="0" fontId="52" fillId="0" borderId="19">
      <alignment horizontal="right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3" fillId="24" borderId="3" applyNumberFormat="0" applyAlignment="0" applyProtection="0"/>
    <xf numFmtId="0" fontId="56" fillId="31" borderId="0" applyNumberFormat="0" applyBorder="0" applyAlignment="0" applyProtection="0"/>
    <xf numFmtId="0" fontId="56" fillId="14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3" borderId="0" applyNumberFormat="0" applyBorder="0" applyAlignment="0" applyProtection="0"/>
    <xf numFmtId="0" fontId="56" fillId="14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7" borderId="0" applyNumberFormat="0" applyBorder="0" applyAlignment="0" applyProtection="0"/>
    <xf numFmtId="0" fontId="56" fillId="34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57" fillId="37" borderId="0" applyNumberFormat="0" applyBorder="0" applyAlignment="0" applyProtection="0"/>
    <xf numFmtId="0" fontId="57" fillId="35" borderId="0" applyNumberFormat="0" applyBorder="0" applyAlignment="0" applyProtection="0"/>
    <xf numFmtId="0" fontId="57" fillId="7" borderId="0" applyNumberFormat="0" applyBorder="0" applyAlignment="0" applyProtection="0"/>
    <xf numFmtId="0" fontId="57" fillId="34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37" borderId="0" applyNumberFormat="0" applyBorder="0" applyAlignment="0" applyProtection="0"/>
    <xf numFmtId="0" fontId="57" fillId="4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8" fillId="42" borderId="0" applyNumberFormat="0" applyBorder="0" applyAlignment="0" applyProtection="0"/>
    <xf numFmtId="0" fontId="2" fillId="18" borderId="15" applyNumberFormat="0" applyBorder="0"/>
    <xf numFmtId="0" fontId="2" fillId="18" borderId="15" applyNumberFormat="0" applyBorder="0"/>
    <xf numFmtId="0" fontId="59" fillId="31" borderId="21" applyNumberFormat="0" applyAlignment="0" applyProtection="0"/>
    <xf numFmtId="0" fontId="60" fillId="43" borderId="2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23">
      <alignment vertical="top"/>
    </xf>
    <xf numFmtId="0" fontId="63" fillId="44" borderId="0" applyNumberFormat="0" applyBorder="0" applyAlignment="0" applyProtection="0"/>
    <xf numFmtId="37" fontId="2" fillId="18" borderId="0">
      <alignment horizontal="right"/>
    </xf>
    <xf numFmtId="37" fontId="2" fillId="18" borderId="0">
      <alignment horizontal="right"/>
    </xf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14" borderId="21" applyNumberFormat="0" applyAlignment="0" applyProtection="0"/>
    <xf numFmtId="0" fontId="69" fillId="0" borderId="27" applyNumberFormat="0" applyFill="0" applyAlignment="0" applyProtection="0"/>
    <xf numFmtId="0" fontId="70" fillId="7" borderId="0" applyNumberFormat="0" applyBorder="0" applyAlignment="0" applyProtection="0"/>
    <xf numFmtId="0" fontId="71" fillId="31" borderId="2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0" applyNumberFormat="0" applyFill="0" applyBorder="0" applyAlignment="0" applyProtection="0"/>
    <xf numFmtId="0" fontId="61" fillId="0" borderId="0"/>
  </cellStyleXfs>
  <cellXfs count="266">
    <xf numFmtId="0" fontId="0" fillId="0" borderId="0" xfId="0"/>
    <xf numFmtId="0" fontId="3" fillId="3" borderId="2" xfId="1" applyFont="1" applyFill="1" applyBorder="1" applyAlignment="1">
      <alignment horizontal="left" vertical="center"/>
    </xf>
    <xf numFmtId="0" fontId="4" fillId="0" borderId="0" xfId="2"/>
    <xf numFmtId="0" fontId="2" fillId="0" borderId="0" xfId="1"/>
    <xf numFmtId="1" fontId="2" fillId="0" borderId="0" xfId="1" applyNumberFormat="1" applyAlignment="1" applyProtection="1">
      <alignment vertical="center"/>
      <protection locked="0"/>
    </xf>
    <xf numFmtId="1" fontId="5" fillId="0" borderId="0" xfId="3" applyNumberFormat="1" applyFont="1" applyAlignment="1">
      <alignment horizontal="right"/>
      <protection locked="0"/>
    </xf>
    <xf numFmtId="1" fontId="6" fillId="0" borderId="0" xfId="3" applyNumberFormat="1" applyFont="1" applyAlignment="1">
      <alignment horizontal="right"/>
      <protection locked="0"/>
    </xf>
    <xf numFmtId="0" fontId="8" fillId="0" borderId="0" xfId="4" applyFont="1"/>
    <xf numFmtId="1" fontId="2" fillId="0" borderId="0" xfId="1" applyNumberFormat="1" applyAlignment="1" applyProtection="1">
      <alignment horizontal="right"/>
      <protection locked="0"/>
    </xf>
    <xf numFmtId="1" fontId="6" fillId="0" borderId="2" xfId="1" applyNumberFormat="1" applyFont="1" applyBorder="1" applyAlignment="1">
      <alignment horizontal="center"/>
    </xf>
    <xf numFmtId="1" fontId="9" fillId="4" borderId="2" xfId="4" applyNumberFormat="1" applyFont="1" applyFill="1" applyBorder="1" applyAlignment="1">
      <alignment horizontal="center"/>
    </xf>
    <xf numFmtId="165" fontId="10" fillId="0" borderId="0" xfId="5" applyNumberFormat="1" applyFont="1" applyAlignment="1" applyProtection="1">
      <alignment horizontal="right" vertical="center"/>
      <protection locked="0"/>
    </xf>
    <xf numFmtId="0" fontId="11" fillId="0" borderId="0" xfId="1" applyFont="1" applyProtection="1">
      <protection locked="0"/>
    </xf>
    <xf numFmtId="1" fontId="2" fillId="0" borderId="0" xfId="6" applyNumberFormat="1" applyAlignment="1" applyProtection="1">
      <alignment vertical="center"/>
      <protection locked="0"/>
    </xf>
    <xf numFmtId="1" fontId="6" fillId="0" borderId="0" xfId="6" applyNumberFormat="1" applyFont="1" applyAlignment="1" applyProtection="1">
      <alignment horizontal="left" vertical="center"/>
      <protection locked="0"/>
    </xf>
    <xf numFmtId="1" fontId="10" fillId="0" borderId="0" xfId="6" applyNumberFormat="1" applyFont="1" applyAlignment="1" applyProtection="1">
      <alignment vertical="center"/>
      <protection locked="0"/>
    </xf>
    <xf numFmtId="166" fontId="2" fillId="5" borderId="3" xfId="1" applyNumberFormat="1" applyFill="1" applyBorder="1" applyAlignment="1">
      <alignment horizontal="right" vertical="center"/>
    </xf>
    <xf numFmtId="1" fontId="2" fillId="0" borderId="0" xfId="6" applyNumberFormat="1" applyAlignment="1" applyProtection="1">
      <alignment vertical="center" shrinkToFit="1"/>
      <protection locked="0"/>
    </xf>
    <xf numFmtId="49" fontId="12" fillId="6" borderId="4" xfId="1" applyNumberFormat="1" applyFont="1" applyFill="1" applyBorder="1" applyAlignment="1">
      <alignment horizontal="right" vertical="center"/>
    </xf>
    <xf numFmtId="49" fontId="12" fillId="6" borderId="2" xfId="1" applyNumberFormat="1" applyFont="1" applyFill="1" applyBorder="1" applyAlignment="1">
      <alignment horizontal="right" vertical="center"/>
    </xf>
    <xf numFmtId="0" fontId="12" fillId="6" borderId="2" xfId="1" applyFont="1" applyFill="1" applyBorder="1" applyAlignment="1">
      <alignment horizontal="left" vertical="center"/>
    </xf>
    <xf numFmtId="0" fontId="13" fillId="6" borderId="2" xfId="1" applyFont="1" applyFill="1" applyBorder="1" applyAlignment="1">
      <alignment horizontal="left" vertical="center"/>
    </xf>
    <xf numFmtId="0" fontId="12" fillId="0" borderId="0" xfId="1" applyFont="1"/>
    <xf numFmtId="1" fontId="2" fillId="7" borderId="5" xfId="7" applyNumberFormat="1" applyFont="1" applyAlignment="1" applyProtection="1">
      <alignment horizontal="center" vertical="center"/>
      <protection locked="0"/>
    </xf>
    <xf numFmtId="0" fontId="8" fillId="0" borderId="5" xfId="1" applyFont="1" applyBorder="1"/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 shrinkToFit="1"/>
      <protection locked="0"/>
    </xf>
    <xf numFmtId="0" fontId="2" fillId="0" borderId="0" xfId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2" fillId="0" borderId="0" xfId="1" applyProtection="1">
      <protection locked="0"/>
    </xf>
    <xf numFmtId="0" fontId="11" fillId="0" borderId="0" xfId="1" applyFont="1" applyAlignment="1" applyProtection="1">
      <alignment shrinkToFit="1"/>
      <protection locked="0"/>
    </xf>
    <xf numFmtId="0" fontId="2" fillId="0" borderId="0" xfId="1" applyAlignment="1" applyProtection="1">
      <alignment horizontal="left" indent="1" shrinkToFit="1"/>
      <protection locked="0"/>
    </xf>
    <xf numFmtId="0" fontId="16" fillId="0" borderId="0" xfId="1" applyFont="1" applyAlignment="1" applyProtection="1">
      <alignment vertical="center"/>
      <protection locked="0"/>
    </xf>
    <xf numFmtId="167" fontId="2" fillId="0" borderId="0" xfId="1" applyNumberFormat="1" applyAlignment="1" applyProtection="1">
      <alignment horizontal="right"/>
      <protection locked="0"/>
    </xf>
    <xf numFmtId="165" fontId="2" fillId="8" borderId="5" xfId="7" applyNumberFormat="1" applyFont="1" applyFill="1" applyAlignment="1">
      <alignment horizontal="right"/>
    </xf>
    <xf numFmtId="0" fontId="17" fillId="0" borderId="0" xfId="1" applyFont="1" applyAlignment="1" applyProtection="1">
      <alignment vertical="center"/>
      <protection locked="0"/>
    </xf>
    <xf numFmtId="168" fontId="10" fillId="0" borderId="0" xfId="1" applyNumberFormat="1" applyFont="1" applyProtection="1">
      <protection locked="0"/>
    </xf>
    <xf numFmtId="0" fontId="2" fillId="0" borderId="0" xfId="1" applyAlignment="1" applyProtection="1">
      <alignment vertical="center" shrinkToFit="1"/>
      <protection locked="0"/>
    </xf>
    <xf numFmtId="0" fontId="2" fillId="0" borderId="0" xfId="1" applyAlignment="1" applyProtection="1">
      <alignment shrinkToFit="1"/>
      <protection locked="0"/>
    </xf>
    <xf numFmtId="167" fontId="2" fillId="0" borderId="0" xfId="1" applyNumberForma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167" fontId="2" fillId="0" borderId="0" xfId="1" applyNumberFormat="1" applyProtection="1">
      <protection locked="0"/>
    </xf>
    <xf numFmtId="165" fontId="2" fillId="9" borderId="5" xfId="7" applyNumberFormat="1" applyFont="1" applyFill="1" applyAlignment="1">
      <alignment horizontal="right"/>
    </xf>
    <xf numFmtId="0" fontId="19" fillId="0" borderId="0" xfId="1" applyFont="1" applyAlignment="1" applyProtection="1">
      <alignment horizontal="center" vertical="center" shrinkToFit="1"/>
      <protection locked="0"/>
    </xf>
    <xf numFmtId="0" fontId="10" fillId="0" borderId="0" xfId="1" applyFont="1" applyProtection="1">
      <protection locked="0"/>
    </xf>
    <xf numFmtId="0" fontId="2" fillId="0" borderId="0" xfId="1" applyAlignment="1" applyProtection="1">
      <alignment horizontal="left" vertical="center" indent="1" shrinkToFit="1"/>
      <protection locked="0"/>
    </xf>
    <xf numFmtId="165" fontId="2" fillId="0" borderId="0" xfId="1" applyNumberFormat="1" applyAlignment="1" applyProtection="1">
      <alignment vertical="center"/>
      <protection locked="0"/>
    </xf>
    <xf numFmtId="169" fontId="2" fillId="0" borderId="0" xfId="1" applyNumberFormat="1" applyAlignment="1" applyProtection="1">
      <alignment vertical="center"/>
      <protection locked="0"/>
    </xf>
    <xf numFmtId="0" fontId="6" fillId="0" borderId="0" xfId="1" applyFont="1" applyAlignment="1" applyProtection="1">
      <alignment shrinkToFit="1"/>
      <protection locked="0"/>
    </xf>
    <xf numFmtId="165" fontId="2" fillId="0" borderId="0" xfId="5" applyNumberFormat="1" applyAlignment="1">
      <alignment horizontal="right"/>
    </xf>
    <xf numFmtId="0" fontId="20" fillId="0" borderId="0" xfId="1" applyFont="1" applyAlignment="1" applyProtection="1">
      <alignment horizontal="center" vertical="center" shrinkToFit="1"/>
      <protection locked="0"/>
    </xf>
    <xf numFmtId="0" fontId="21" fillId="0" borderId="0" xfId="1" applyFont="1" applyAlignment="1" applyProtection="1">
      <alignment vertical="center"/>
      <protection locked="0"/>
    </xf>
    <xf numFmtId="166" fontId="2" fillId="0" borderId="5" xfId="6" applyNumberFormat="1" applyBorder="1" applyProtection="1">
      <protection locked="0"/>
    </xf>
    <xf numFmtId="171" fontId="6" fillId="0" borderId="0" xfId="8" applyFont="1" applyAlignment="1">
      <alignment horizontal="left" vertical="top"/>
    </xf>
    <xf numFmtId="171" fontId="2" fillId="0" borderId="0" xfId="8" applyAlignment="1">
      <alignment horizontal="left" vertical="top" wrapText="1" indent="1"/>
    </xf>
    <xf numFmtId="171" fontId="2" fillId="0" borderId="0" xfId="8" applyAlignment="1">
      <alignment horizontal="left" vertical="top" indent="1"/>
    </xf>
    <xf numFmtId="170" fontId="2" fillId="0" borderId="5" xfId="6" applyNumberFormat="1" applyBorder="1" applyProtection="1">
      <protection locked="0"/>
    </xf>
    <xf numFmtId="0" fontId="22" fillId="0" borderId="0" xfId="1" applyFont="1"/>
    <xf numFmtId="0" fontId="17" fillId="0" borderId="0" xfId="1" applyFont="1"/>
    <xf numFmtId="0" fontId="2" fillId="0" borderId="5" xfId="7" applyFont="1" applyFill="1" applyAlignment="1">
      <alignment horizontal="right"/>
    </xf>
    <xf numFmtId="0" fontId="17" fillId="0" borderId="0" xfId="1" applyFont="1" applyProtection="1">
      <protection locked="0"/>
    </xf>
    <xf numFmtId="172" fontId="2" fillId="0" borderId="5" xfId="7" applyNumberFormat="1" applyFont="1" applyFill="1" applyAlignment="1">
      <alignment horizontal="right" vertical="top"/>
    </xf>
    <xf numFmtId="174" fontId="2" fillId="0" borderId="5" xfId="7" applyNumberFormat="1" applyFont="1" applyFill="1" applyAlignment="1">
      <alignment horizontal="right"/>
    </xf>
    <xf numFmtId="0" fontId="15" fillId="0" borderId="0" xfId="1" applyFont="1" applyProtection="1">
      <protection locked="0"/>
    </xf>
    <xf numFmtId="0" fontId="6" fillId="10" borderId="6" xfId="1" applyFont="1" applyFill="1" applyBorder="1" applyProtection="1">
      <protection locked="0"/>
    </xf>
    <xf numFmtId="0" fontId="6" fillId="10" borderId="7" xfId="1" applyFont="1" applyFill="1" applyBorder="1" applyProtection="1">
      <protection locked="0"/>
    </xf>
    <xf numFmtId="0" fontId="6" fillId="10" borderId="7" xfId="1" applyFont="1" applyFill="1" applyBorder="1" applyAlignment="1" applyProtection="1">
      <alignment shrinkToFit="1"/>
      <protection locked="0"/>
    </xf>
    <xf numFmtId="0" fontId="18" fillId="10" borderId="7" xfId="1" applyFont="1" applyFill="1" applyBorder="1" applyProtection="1">
      <protection locked="0"/>
    </xf>
    <xf numFmtId="0" fontId="2" fillId="0" borderId="0" xfId="5" applyAlignment="1">
      <alignment vertical="center"/>
    </xf>
    <xf numFmtId="10" fontId="6" fillId="0" borderId="0" xfId="1" applyNumberFormat="1" applyFont="1" applyAlignment="1">
      <alignment horizontal="left" vertical="center"/>
    </xf>
    <xf numFmtId="1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10" fontId="6" fillId="0" borderId="0" xfId="1" applyNumberFormat="1" applyFont="1" applyAlignment="1">
      <alignment vertical="center"/>
    </xf>
    <xf numFmtId="0" fontId="10" fillId="0" borderId="0" xfId="1" applyFont="1"/>
    <xf numFmtId="0" fontId="11" fillId="0" borderId="0" xfId="1" applyFont="1"/>
    <xf numFmtId="0" fontId="27" fillId="0" borderId="0" xfId="1" applyFont="1"/>
    <xf numFmtId="0" fontId="11" fillId="0" borderId="0" xfId="1" applyFont="1" applyAlignment="1">
      <alignment shrinkToFit="1"/>
    </xf>
    <xf numFmtId="0" fontId="6" fillId="0" borderId="0" xfId="1" applyFont="1" applyAlignment="1">
      <alignment shrinkToFit="1"/>
    </xf>
    <xf numFmtId="167" fontId="11" fillId="0" borderId="0" xfId="1" applyNumberFormat="1" applyFont="1"/>
    <xf numFmtId="0" fontId="6" fillId="0" borderId="0" xfId="1" applyFont="1" applyAlignment="1" applyProtection="1">
      <alignment horizontal="left" indent="1" shrinkToFit="1"/>
      <protection locked="0"/>
    </xf>
    <xf numFmtId="165" fontId="6" fillId="0" borderId="8" xfId="5" applyNumberFormat="1" applyFont="1" applyBorder="1" applyAlignment="1">
      <alignment horizontal="right"/>
    </xf>
    <xf numFmtId="0" fontId="2" fillId="0" borderId="0" xfId="1" applyAlignment="1" applyProtection="1">
      <alignment horizontal="left" indent="2" shrinkToFit="1"/>
      <protection locked="0"/>
    </xf>
    <xf numFmtId="168" fontId="2" fillId="0" borderId="0" xfId="1" applyNumberFormat="1"/>
    <xf numFmtId="9" fontId="2" fillId="0" borderId="0" xfId="6" applyAlignment="1" applyProtection="1">
      <alignment horizontal="right"/>
      <protection locked="0"/>
    </xf>
    <xf numFmtId="168" fontId="2" fillId="0" borderId="0" xfId="6" applyNumberFormat="1"/>
    <xf numFmtId="9" fontId="2" fillId="0" borderId="0" xfId="6"/>
    <xf numFmtId="175" fontId="2" fillId="0" borderId="5" xfId="7" applyNumberFormat="1" applyFont="1" applyFill="1" applyAlignment="1" applyProtection="1">
      <alignment shrinkToFit="1"/>
      <protection locked="0"/>
    </xf>
    <xf numFmtId="165" fontId="2" fillId="0" borderId="5" xfId="7" applyNumberFormat="1" applyFont="1" applyFill="1" applyAlignment="1">
      <alignment horizontal="right"/>
    </xf>
    <xf numFmtId="168" fontId="17" fillId="0" borderId="0" xfId="1" applyNumberFormat="1" applyFont="1"/>
    <xf numFmtId="0" fontId="6" fillId="0" borderId="0" xfId="1" applyFont="1"/>
    <xf numFmtId="0" fontId="2" fillId="0" borderId="0" xfId="1" applyAlignment="1">
      <alignment shrinkToFit="1"/>
    </xf>
    <xf numFmtId="0" fontId="28" fillId="10" borderId="6" xfId="1" applyFont="1" applyFill="1" applyBorder="1"/>
    <xf numFmtId="0" fontId="28" fillId="10" borderId="7" xfId="1" applyFont="1" applyFill="1" applyBorder="1"/>
    <xf numFmtId="0" fontId="29" fillId="3" borderId="2" xfId="4" applyFont="1" applyFill="1" applyBorder="1" applyAlignment="1">
      <alignment horizontal="left" vertical="center"/>
    </xf>
    <xf numFmtId="1" fontId="26" fillId="0" borderId="2" xfId="4" applyNumberFormat="1" applyFont="1" applyBorder="1" applyAlignment="1">
      <alignment horizontal="center"/>
    </xf>
    <xf numFmtId="0" fontId="17" fillId="0" borderId="0" xfId="4" applyFont="1"/>
    <xf numFmtId="176" fontId="8" fillId="0" borderId="0" xfId="4" applyNumberFormat="1" applyFont="1" applyAlignment="1">
      <alignment horizontal="center"/>
    </xf>
    <xf numFmtId="0" fontId="6" fillId="0" borderId="0" xfId="4" applyFont="1" applyAlignment="1">
      <alignment vertical="center"/>
    </xf>
    <xf numFmtId="166" fontId="2" fillId="5" borderId="3" xfId="4" applyNumberFormat="1" applyFont="1" applyFill="1" applyBorder="1" applyAlignment="1">
      <alignment horizontal="right" vertical="center"/>
    </xf>
    <xf numFmtId="49" fontId="12" fillId="6" borderId="4" xfId="4" applyNumberFormat="1" applyFont="1" applyFill="1" applyBorder="1" applyAlignment="1">
      <alignment horizontal="right" vertical="center"/>
    </xf>
    <xf numFmtId="49" fontId="12" fillId="6" borderId="2" xfId="4" applyNumberFormat="1" applyFont="1" applyFill="1" applyBorder="1" applyAlignment="1">
      <alignment horizontal="right" vertical="center"/>
    </xf>
    <xf numFmtId="0" fontId="12" fillId="6" borderId="2" xfId="4" applyFont="1" applyFill="1" applyBorder="1" applyAlignment="1">
      <alignment horizontal="left" vertical="center"/>
    </xf>
    <xf numFmtId="0" fontId="13" fillId="6" borderId="2" xfId="4" applyFont="1" applyFill="1" applyBorder="1" applyAlignment="1">
      <alignment horizontal="left" vertical="center"/>
    </xf>
    <xf numFmtId="0" fontId="28" fillId="10" borderId="6" xfId="4" applyFont="1" applyFill="1" applyBorder="1"/>
    <xf numFmtId="0" fontId="28" fillId="10" borderId="7" xfId="4" applyFont="1" applyFill="1" applyBorder="1"/>
    <xf numFmtId="0" fontId="23" fillId="3" borderId="2" xfId="1" applyFont="1" applyFill="1" applyBorder="1" applyAlignment="1">
      <alignment vertical="center"/>
    </xf>
    <xf numFmtId="49" fontId="30" fillId="3" borderId="2" xfId="1" applyNumberFormat="1" applyFont="1" applyFill="1" applyBorder="1"/>
    <xf numFmtId="0" fontId="23" fillId="3" borderId="2" xfId="1" applyFont="1" applyFill="1" applyBorder="1" applyAlignment="1">
      <alignment horizontal="right" vertical="center"/>
    </xf>
    <xf numFmtId="0" fontId="23" fillId="3" borderId="0" xfId="1" applyFont="1" applyFill="1" applyAlignment="1">
      <alignment horizontal="right" vertical="center"/>
    </xf>
    <xf numFmtId="0" fontId="10" fillId="3" borderId="0" xfId="1" applyFont="1" applyFill="1" applyAlignment="1">
      <alignment vertical="center"/>
    </xf>
    <xf numFmtId="1" fontId="31" fillId="3" borderId="2" xfId="1" applyNumberFormat="1" applyFont="1" applyFill="1" applyBorder="1" applyAlignment="1">
      <alignment horizontal="left" vertical="center"/>
    </xf>
    <xf numFmtId="0" fontId="2" fillId="0" borderId="0" xfId="1" applyAlignment="1">
      <alignment vertical="center" shrinkToFit="1"/>
    </xf>
    <xf numFmtId="0" fontId="2" fillId="0" borderId="0" xfId="1" applyAlignment="1">
      <alignment horizontal="center" vertical="center" shrinkToFit="1"/>
    </xf>
    <xf numFmtId="0" fontId="2" fillId="0" borderId="0" xfId="1" applyAlignment="1">
      <alignment horizontal="left" vertical="center"/>
    </xf>
    <xf numFmtId="1" fontId="2" fillId="0" borderId="0" xfId="9" applyNumberFormat="1" applyAlignment="1">
      <alignment vertical="center"/>
    </xf>
    <xf numFmtId="1" fontId="2" fillId="0" borderId="0" xfId="9" applyNumberFormat="1" applyAlignment="1">
      <alignment horizontal="left" vertical="center"/>
    </xf>
    <xf numFmtId="1" fontId="13" fillId="0" borderId="0" xfId="1" applyNumberFormat="1" applyFont="1" applyAlignment="1">
      <alignment horizontal="left" vertical="center"/>
    </xf>
    <xf numFmtId="1" fontId="15" fillId="0" borderId="0" xfId="1" applyNumberFormat="1" applyFont="1" applyAlignment="1" applyProtection="1">
      <alignment horizontal="left" vertical="center"/>
      <protection hidden="1"/>
    </xf>
    <xf numFmtId="1" fontId="6" fillId="0" borderId="0" xfId="1" applyNumberFormat="1" applyFont="1" applyAlignment="1" applyProtection="1">
      <alignment horizontal="right" vertical="center"/>
      <protection hidden="1"/>
    </xf>
    <xf numFmtId="0" fontId="6" fillId="0" borderId="0" xfId="1" applyFont="1" applyAlignment="1">
      <alignment horizontal="left" vertical="center"/>
    </xf>
    <xf numFmtId="1" fontId="15" fillId="0" borderId="0" xfId="1" applyNumberFormat="1" applyFont="1" applyAlignment="1" applyProtection="1">
      <alignment horizontal="right" vertical="center"/>
      <protection hidden="1"/>
    </xf>
    <xf numFmtId="1" fontId="2" fillId="0" borderId="0" xfId="1" applyNumberFormat="1" applyAlignment="1" applyProtection="1">
      <alignment horizontal="right" vertical="center"/>
      <protection hidden="1"/>
    </xf>
    <xf numFmtId="176" fontId="28" fillId="0" borderId="0" xfId="4" applyNumberFormat="1" applyFont="1" applyAlignment="1">
      <alignment horizontal="center"/>
    </xf>
    <xf numFmtId="1" fontId="15" fillId="0" borderId="0" xfId="9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2" fillId="0" borderId="0" xfId="1" applyAlignment="1">
      <alignment horizontal="right" vertical="center"/>
    </xf>
    <xf numFmtId="0" fontId="2" fillId="0" borderId="0" xfId="1" applyAlignment="1">
      <alignment horizontal="left" vertical="center" indent="1"/>
    </xf>
    <xf numFmtId="177" fontId="2" fillId="8" borderId="3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0" fontId="2" fillId="0" borderId="0" xfId="9" applyNumberFormat="1" applyAlignment="1">
      <alignment vertical="center"/>
    </xf>
    <xf numFmtId="10" fontId="2" fillId="0" borderId="0" xfId="9" applyNumberFormat="1" applyAlignment="1">
      <alignment horizontal="left" vertical="center"/>
    </xf>
    <xf numFmtId="10" fontId="15" fillId="0" borderId="0" xfId="9" applyNumberFormat="1" applyFont="1" applyAlignment="1">
      <alignment vertical="center"/>
    </xf>
    <xf numFmtId="177" fontId="2" fillId="0" borderId="0" xfId="1" applyNumberFormat="1" applyAlignment="1">
      <alignment horizontal="right"/>
    </xf>
    <xf numFmtId="0" fontId="15" fillId="0" borderId="0" xfId="1" applyFont="1"/>
    <xf numFmtId="177" fontId="2" fillId="12" borderId="3" xfId="1" applyNumberFormat="1" applyFill="1" applyBorder="1" applyAlignment="1">
      <alignment horizontal="right"/>
    </xf>
    <xf numFmtId="0" fontId="2" fillId="0" borderId="0" xfId="4" applyFont="1" applyAlignment="1">
      <alignment horizontal="left" vertical="center" indent="1"/>
    </xf>
    <xf numFmtId="178" fontId="2" fillId="8" borderId="3" xfId="1" applyNumberFormat="1" applyFill="1" applyBorder="1" applyAlignment="1" applyProtection="1">
      <alignment horizontal="right" vertical="center"/>
      <protection locked="0"/>
    </xf>
    <xf numFmtId="178" fontId="2" fillId="0" borderId="0" xfId="1" applyNumberFormat="1" applyAlignment="1">
      <alignment horizontal="left" vertical="center"/>
    </xf>
    <xf numFmtId="178" fontId="2" fillId="0" borderId="0" xfId="1" applyNumberFormat="1" applyAlignment="1">
      <alignment horizontal="right" vertical="center"/>
    </xf>
    <xf numFmtId="1" fontId="6" fillId="0" borderId="0" xfId="9" applyNumberFormat="1" applyFont="1" applyAlignment="1">
      <alignment vertical="center"/>
    </xf>
    <xf numFmtId="10" fontId="2" fillId="0" borderId="0" xfId="1" applyNumberFormat="1" applyAlignment="1">
      <alignment shrinkToFit="1"/>
    </xf>
    <xf numFmtId="10" fontId="2" fillId="0" borderId="0" xfId="1" applyNumberFormat="1" applyAlignment="1">
      <alignment horizontal="left" vertical="center"/>
    </xf>
    <xf numFmtId="0" fontId="6" fillId="13" borderId="7" xfId="1" applyFont="1" applyFill="1" applyBorder="1"/>
    <xf numFmtId="0" fontId="15" fillId="13" borderId="7" xfId="1" applyFont="1" applyFill="1" applyBorder="1"/>
    <xf numFmtId="0" fontId="2" fillId="0" borderId="0" xfId="1" applyAlignment="1">
      <alignment horizontal="left" vertical="center" shrinkToFit="1"/>
    </xf>
    <xf numFmtId="178" fontId="2" fillId="8" borderId="3" xfId="9" applyNumberFormat="1" applyFill="1" applyBorder="1"/>
    <xf numFmtId="178" fontId="2" fillId="0" borderId="0" xfId="9" applyNumberFormat="1"/>
    <xf numFmtId="178" fontId="2" fillId="0" borderId="0" xfId="9" applyNumberFormat="1" applyAlignment="1">
      <alignment horizontal="center"/>
    </xf>
    <xf numFmtId="0" fontId="2" fillId="13" borderId="7" xfId="1" applyFill="1" applyBorder="1"/>
    <xf numFmtId="1" fontId="17" fillId="0" borderId="0" xfId="6" applyNumberFormat="1" applyFont="1" applyAlignment="1" applyProtection="1">
      <alignment vertical="center"/>
      <protection locked="0"/>
    </xf>
    <xf numFmtId="0" fontId="28" fillId="0" borderId="0" xfId="0" applyFont="1"/>
    <xf numFmtId="0" fontId="2" fillId="0" borderId="0" xfId="0" applyFont="1" applyAlignment="1">
      <alignment horizontal="left" vertical="center" indent="1"/>
    </xf>
    <xf numFmtId="165" fontId="2" fillId="0" borderId="0" xfId="7" applyNumberFormat="1" applyFont="1" applyFill="1" applyBorder="1" applyAlignment="1">
      <alignment horizontal="right"/>
    </xf>
    <xf numFmtId="165" fontId="6" fillId="0" borderId="0" xfId="7" applyNumberFormat="1" applyFont="1" applyFill="1" applyBorder="1" applyAlignment="1">
      <alignment horizontal="right"/>
    </xf>
    <xf numFmtId="1" fontId="2" fillId="0" borderId="0" xfId="6" applyNumberFormat="1" applyAlignment="1">
      <alignment horizontal="left" vertical="center" indent="1"/>
    </xf>
    <xf numFmtId="165" fontId="6" fillId="0" borderId="0" xfId="1" applyNumberFormat="1" applyFont="1" applyAlignment="1" applyProtection="1">
      <alignment vertical="center"/>
      <protection locked="0"/>
    </xf>
    <xf numFmtId="0" fontId="6" fillId="0" borderId="0" xfId="1" applyFont="1" applyAlignment="1">
      <alignment horizontal="left" indent="1" shrinkToFit="1"/>
    </xf>
    <xf numFmtId="175" fontId="2" fillId="8" borderId="5" xfId="7" applyNumberFormat="1" applyFont="1" applyFill="1" applyAlignment="1" applyProtection="1">
      <alignment vertical="center"/>
      <protection locked="0"/>
    </xf>
    <xf numFmtId="0" fontId="53" fillId="0" borderId="0" xfId="1" applyFont="1" applyAlignment="1" applyProtection="1">
      <alignment vertical="center"/>
      <protection locked="0"/>
    </xf>
    <xf numFmtId="0" fontId="54" fillId="6" borderId="2" xfId="1" applyFont="1" applyFill="1" applyBorder="1" applyAlignment="1">
      <alignment horizontal="left" vertical="center"/>
    </xf>
    <xf numFmtId="0" fontId="53" fillId="0" borderId="0" xfId="1" applyFont="1"/>
    <xf numFmtId="2" fontId="2" fillId="0" borderId="5" xfId="7" applyNumberFormat="1" applyFont="1" applyFill="1" applyAlignment="1" applyProtection="1">
      <alignment shrinkToFit="1"/>
      <protection locked="0"/>
    </xf>
    <xf numFmtId="164" fontId="2" fillId="0" borderId="5" xfId="71" applyFont="1" applyBorder="1" applyAlignment="1" applyProtection="1">
      <alignment shrinkToFit="1"/>
      <protection locked="0"/>
    </xf>
    <xf numFmtId="9" fontId="2" fillId="0" borderId="5" xfId="72" applyFont="1" applyBorder="1" applyAlignment="1">
      <alignment horizontal="right"/>
    </xf>
    <xf numFmtId="0" fontId="2" fillId="27" borderId="5" xfId="7" applyFont="1" applyFill="1" applyProtection="1">
      <protection locked="0"/>
    </xf>
    <xf numFmtId="173" fontId="2" fillId="7" borderId="20" xfId="6" applyNumberFormat="1" applyFill="1" applyBorder="1" applyProtection="1">
      <protection locked="0"/>
    </xf>
    <xf numFmtId="49" fontId="12" fillId="0" borderId="4" xfId="1" applyNumberFormat="1" applyFont="1" applyBorder="1" applyAlignment="1">
      <alignment horizontal="right" vertical="center"/>
    </xf>
    <xf numFmtId="49" fontId="12" fillId="0" borderId="2" xfId="1" applyNumberFormat="1" applyFont="1" applyBorder="1" applyAlignment="1">
      <alignment horizontal="right" vertical="center"/>
    </xf>
    <xf numFmtId="0" fontId="12" fillId="0" borderId="2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54" fillId="0" borderId="2" xfId="1" applyFont="1" applyBorder="1" applyAlignment="1">
      <alignment horizontal="left" vertical="center"/>
    </xf>
    <xf numFmtId="49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54" fillId="0" borderId="0" xfId="1" applyFont="1" applyAlignment="1">
      <alignment horizontal="left" vertical="center"/>
    </xf>
    <xf numFmtId="179" fontId="2" fillId="28" borderId="5" xfId="7" applyNumberFormat="1" applyFont="1" applyFill="1" applyProtection="1">
      <protection locked="0"/>
    </xf>
    <xf numFmtId="0" fontId="53" fillId="0" borderId="0" xfId="1" applyFont="1" applyProtection="1">
      <protection locked="0"/>
    </xf>
    <xf numFmtId="167" fontId="53" fillId="0" borderId="0" xfId="1" applyNumberFormat="1" applyFont="1" applyAlignment="1" applyProtection="1">
      <alignment vertical="center"/>
      <protection locked="0"/>
    </xf>
    <xf numFmtId="180" fontId="8" fillId="8" borderId="5" xfId="7" applyNumberFormat="1" applyFont="1" applyFill="1" applyProtection="1">
      <protection locked="0"/>
    </xf>
    <xf numFmtId="170" fontId="2" fillId="0" borderId="5" xfId="7" applyNumberFormat="1" applyFont="1" applyFill="1" applyAlignment="1" applyProtection="1">
      <alignment shrinkToFit="1"/>
      <protection locked="0"/>
    </xf>
    <xf numFmtId="0" fontId="3" fillId="3" borderId="2" xfId="1" applyFont="1" applyFill="1" applyBorder="1" applyAlignment="1">
      <alignment vertical="center"/>
    </xf>
    <xf numFmtId="0" fontId="12" fillId="6" borderId="2" xfId="1" applyFont="1" applyFill="1" applyBorder="1" applyAlignment="1">
      <alignment vertical="center"/>
    </xf>
    <xf numFmtId="171" fontId="2" fillId="0" borderId="0" xfId="8" applyAlignment="1">
      <alignment vertical="center"/>
    </xf>
    <xf numFmtId="0" fontId="2" fillId="0" borderId="0" xfId="0" applyFont="1" applyAlignment="1">
      <alignment shrinkToFit="1"/>
    </xf>
    <xf numFmtId="178" fontId="2" fillId="0" borderId="0" xfId="73" applyNumberForma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1" applyAlignment="1" applyProtection="1">
      <alignment wrapText="1" shrinkToFit="1"/>
      <protection locked="0"/>
    </xf>
    <xf numFmtId="180" fontId="8" fillId="0" borderId="5" xfId="7" applyNumberFormat="1" applyFont="1" applyFill="1" applyProtection="1">
      <protection locked="0"/>
    </xf>
    <xf numFmtId="0" fontId="2" fillId="11" borderId="0" xfId="1" applyFill="1" applyProtection="1">
      <protection locked="0"/>
    </xf>
    <xf numFmtId="0" fontId="10" fillId="11" borderId="0" xfId="1" applyFont="1" applyFill="1" applyProtection="1">
      <protection locked="0"/>
    </xf>
    <xf numFmtId="0" fontId="11" fillId="11" borderId="0" xfId="1" applyFont="1" applyFill="1" applyProtection="1">
      <protection locked="0"/>
    </xf>
    <xf numFmtId="0" fontId="11" fillId="11" borderId="0" xfId="1" applyFont="1" applyFill="1"/>
    <xf numFmtId="0" fontId="2" fillId="11" borderId="0" xfId="1" applyFill="1"/>
    <xf numFmtId="173" fontId="2" fillId="0" borderId="5" xfId="6" applyNumberFormat="1" applyBorder="1" applyProtection="1">
      <protection locked="0"/>
    </xf>
    <xf numFmtId="49" fontId="12" fillId="29" borderId="4" xfId="1" applyNumberFormat="1" applyFont="1" applyFill="1" applyBorder="1" applyAlignment="1">
      <alignment horizontal="right" vertical="center"/>
    </xf>
    <xf numFmtId="49" fontId="12" fillId="29" borderId="2" xfId="1" applyNumberFormat="1" applyFont="1" applyFill="1" applyBorder="1" applyAlignment="1">
      <alignment horizontal="right" vertical="center"/>
    </xf>
    <xf numFmtId="0" fontId="12" fillId="29" borderId="2" xfId="1" applyFont="1" applyFill="1" applyBorder="1" applyAlignment="1">
      <alignment horizontal="left" vertical="center"/>
    </xf>
    <xf numFmtId="0" fontId="12" fillId="29" borderId="0" xfId="1" applyFont="1" applyFill="1"/>
    <xf numFmtId="167" fontId="2" fillId="0" borderId="0" xfId="6" applyNumberFormat="1"/>
    <xf numFmtId="10" fontId="2" fillId="0" borderId="5" xfId="72" applyNumberFormat="1" applyFont="1" applyBorder="1" applyAlignment="1">
      <alignment horizontal="right"/>
    </xf>
    <xf numFmtId="10" fontId="2" fillId="0" borderId="5" xfId="72" applyNumberFormat="1" applyFont="1" applyBorder="1" applyAlignment="1" applyProtection="1">
      <alignment shrinkToFit="1"/>
      <protection locked="0"/>
    </xf>
    <xf numFmtId="0" fontId="2" fillId="11" borderId="0" xfId="1" applyFill="1" applyAlignment="1" applyProtection="1">
      <alignment shrinkToFit="1"/>
      <protection locked="0"/>
    </xf>
    <xf numFmtId="0" fontId="13" fillId="29" borderId="2" xfId="1" applyFont="1" applyFill="1" applyBorder="1" applyAlignment="1">
      <alignment horizontal="left" vertical="center"/>
    </xf>
    <xf numFmtId="172" fontId="2" fillId="0" borderId="5" xfId="7" applyNumberFormat="1" applyFont="1" applyFill="1" applyAlignment="1" applyProtection="1">
      <alignment shrinkToFit="1"/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0" fontId="11" fillId="30" borderId="0" xfId="1" applyFont="1" applyFill="1"/>
    <xf numFmtId="0" fontId="11" fillId="30" borderId="0" xfId="1" applyFont="1" applyFill="1" applyProtection="1">
      <protection locked="0"/>
    </xf>
    <xf numFmtId="0" fontId="2" fillId="30" borderId="0" xfId="1" applyFill="1" applyProtection="1">
      <protection locked="0"/>
    </xf>
    <xf numFmtId="165" fontId="2" fillId="0" borderId="0" xfId="71" applyNumberFormat="1" applyFont="1" applyAlignment="1" applyProtection="1">
      <alignment horizontal="right" vertical="center"/>
      <protection locked="0"/>
    </xf>
    <xf numFmtId="165" fontId="2" fillId="0" borderId="0" xfId="7" applyNumberFormat="1" applyFont="1" applyFill="1" applyBorder="1" applyAlignment="1">
      <alignment horizontal="left"/>
    </xf>
    <xf numFmtId="173" fontId="55" fillId="0" borderId="0" xfId="0" applyNumberFormat="1" applyFont="1"/>
    <xf numFmtId="0" fontId="6" fillId="11" borderId="0" xfId="1" applyFont="1" applyFill="1" applyAlignment="1" applyProtection="1">
      <alignment shrinkToFit="1"/>
      <protection locked="0"/>
    </xf>
    <xf numFmtId="0" fontId="53" fillId="11" borderId="0" xfId="1" applyFont="1" applyFill="1"/>
    <xf numFmtId="0" fontId="11" fillId="11" borderId="0" xfId="1" applyFont="1" applyFill="1" applyAlignment="1">
      <alignment shrinkToFit="1"/>
    </xf>
    <xf numFmtId="0" fontId="27" fillId="11" borderId="0" xfId="1" applyFont="1" applyFill="1"/>
    <xf numFmtId="0" fontId="2" fillId="11" borderId="0" xfId="1" applyFill="1" applyAlignment="1" applyProtection="1">
      <alignment horizontal="left" indent="1" shrinkToFit="1"/>
      <protection locked="0"/>
    </xf>
    <xf numFmtId="0" fontId="16" fillId="11" borderId="0" xfId="1" applyFont="1" applyFill="1" applyAlignment="1" applyProtection="1">
      <alignment vertical="center"/>
      <protection locked="0"/>
    </xf>
    <xf numFmtId="165" fontId="2" fillId="11" borderId="0" xfId="7" applyNumberFormat="1" applyFont="1" applyFill="1" applyBorder="1" applyAlignment="1">
      <alignment horizontal="right"/>
    </xf>
    <xf numFmtId="0" fontId="2" fillId="11" borderId="0" xfId="0" applyFont="1" applyFill="1" applyAlignment="1">
      <alignment shrinkToFit="1"/>
    </xf>
    <xf numFmtId="165" fontId="2" fillId="11" borderId="5" xfId="7" applyNumberFormat="1" applyFont="1" applyFill="1" applyAlignment="1">
      <alignment horizontal="right"/>
    </xf>
    <xf numFmtId="165" fontId="2" fillId="11" borderId="0" xfId="5" applyNumberFormat="1" applyFill="1" applyAlignment="1">
      <alignment horizontal="right"/>
    </xf>
    <xf numFmtId="167" fontId="11" fillId="11" borderId="0" xfId="1" applyNumberFormat="1" applyFont="1" applyFill="1"/>
    <xf numFmtId="165" fontId="2" fillId="0" borderId="0" xfId="7" quotePrefix="1" applyNumberFormat="1" applyFont="1" applyFill="1" applyBorder="1" applyAlignment="1">
      <alignment horizontal="right"/>
    </xf>
    <xf numFmtId="165" fontId="2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71" fontId="0" fillId="0" borderId="0" xfId="0" applyNumberFormat="1"/>
    <xf numFmtId="165" fontId="2" fillId="45" borderId="5" xfId="7" applyNumberFormat="1" applyFont="1" applyFill="1" applyAlignment="1">
      <alignment horizontal="right"/>
    </xf>
    <xf numFmtId="49" fontId="23" fillId="46" borderId="0" xfId="5" applyNumberFormat="1" applyFont="1" applyFill="1" applyAlignment="1">
      <alignment horizontal="right" vertical="center"/>
    </xf>
    <xf numFmtId="0" fontId="2" fillId="46" borderId="0" xfId="5" applyFill="1" applyAlignment="1">
      <alignment horizontal="left" vertical="center"/>
    </xf>
    <xf numFmtId="0" fontId="24" fillId="46" borderId="0" xfId="5" applyFont="1" applyFill="1" applyAlignment="1">
      <alignment horizontal="left" vertical="center"/>
    </xf>
    <xf numFmtId="49" fontId="23" fillId="46" borderId="0" xfId="5" applyNumberFormat="1" applyFont="1" applyFill="1" applyAlignment="1">
      <alignment shrinkToFit="1"/>
    </xf>
    <xf numFmtId="0" fontId="2" fillId="46" borderId="0" xfId="5" applyFill="1" applyAlignment="1">
      <alignment horizontal="left" vertical="center" shrinkToFit="1"/>
    </xf>
    <xf numFmtId="165" fontId="6" fillId="46" borderId="0" xfId="5" applyNumberFormat="1" applyFont="1" applyFill="1" applyAlignment="1">
      <alignment horizontal="right" vertical="center"/>
    </xf>
    <xf numFmtId="165" fontId="2" fillId="46" borderId="0" xfId="5" applyNumberFormat="1" applyFill="1" applyAlignment="1">
      <alignment horizontal="right" vertical="center"/>
    </xf>
    <xf numFmtId="0" fontId="2" fillId="46" borderId="0" xfId="1" applyFill="1"/>
    <xf numFmtId="0" fontId="10" fillId="46" borderId="0" xfId="5" applyFont="1" applyFill="1" applyAlignment="1">
      <alignment vertical="center"/>
    </xf>
    <xf numFmtId="49" fontId="25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4" fillId="46" borderId="0" xfId="5" applyNumberFormat="1" applyFont="1" applyFill="1" applyAlignment="1">
      <alignment horizontal="right" vertical="center"/>
    </xf>
    <xf numFmtId="1" fontId="23" fillId="46" borderId="0" xfId="5" applyNumberFormat="1" applyFont="1" applyFill="1" applyAlignment="1">
      <alignment shrinkToFit="1"/>
    </xf>
    <xf numFmtId="0" fontId="8" fillId="46" borderId="0" xfId="4" applyFont="1" applyFill="1"/>
    <xf numFmtId="1" fontId="2" fillId="46" borderId="0" xfId="1" applyNumberFormat="1" applyFill="1" applyAlignment="1" applyProtection="1">
      <alignment horizontal="right"/>
      <protection locked="0"/>
    </xf>
    <xf numFmtId="1" fontId="6" fillId="46" borderId="2" xfId="1" applyNumberFormat="1" applyFont="1" applyFill="1" applyBorder="1" applyAlignment="1">
      <alignment horizontal="center"/>
    </xf>
    <xf numFmtId="1" fontId="9" fillId="46" borderId="2" xfId="4" applyNumberFormat="1" applyFont="1" applyFill="1" applyBorder="1" applyAlignment="1">
      <alignment horizontal="center"/>
    </xf>
    <xf numFmtId="0" fontId="2" fillId="46" borderId="0" xfId="5" applyFill="1" applyAlignment="1">
      <alignment vertical="center"/>
    </xf>
    <xf numFmtId="49" fontId="23" fillId="46" borderId="0" xfId="1" applyNumberFormat="1" applyFont="1" applyFill="1" applyAlignment="1">
      <alignment horizontal="right" vertical="center"/>
    </xf>
    <xf numFmtId="1" fontId="2" fillId="46" borderId="0" xfId="1" applyNumberFormat="1" applyFill="1" applyAlignment="1">
      <alignment vertical="center"/>
    </xf>
    <xf numFmtId="1" fontId="20" fillId="46" borderId="0" xfId="1" applyNumberFormat="1" applyFont="1" applyFill="1" applyAlignment="1">
      <alignment horizontal="left" vertical="center"/>
    </xf>
    <xf numFmtId="1" fontId="23" fillId="46" borderId="0" xfId="1" applyNumberFormat="1" applyFont="1" applyFill="1" applyAlignment="1">
      <alignment shrinkToFit="1"/>
    </xf>
    <xf numFmtId="1" fontId="2" fillId="46" borderId="0" xfId="1" applyNumberFormat="1" applyFill="1" applyAlignment="1">
      <alignment horizontal="right" vertical="center"/>
    </xf>
    <xf numFmtId="0" fontId="10" fillId="46" borderId="0" xfId="1" applyFont="1" applyFill="1" applyAlignment="1">
      <alignment vertical="center"/>
    </xf>
    <xf numFmtId="49" fontId="23" fillId="46" borderId="0" xfId="1" applyNumberFormat="1" applyFont="1" applyFill="1" applyAlignment="1">
      <alignment vertical="center"/>
    </xf>
    <xf numFmtId="1" fontId="20" fillId="46" borderId="0" xfId="1" applyNumberFormat="1" applyFont="1" applyFill="1" applyAlignment="1">
      <alignment vertical="center"/>
    </xf>
    <xf numFmtId="1" fontId="2" fillId="46" borderId="0" xfId="6" applyNumberFormat="1" applyFill="1" applyAlignment="1" applyProtection="1">
      <alignment vertical="center"/>
      <protection locked="0"/>
    </xf>
    <xf numFmtId="166" fontId="2" fillId="46" borderId="3" xfId="1" applyNumberFormat="1" applyFill="1" applyBorder="1" applyAlignment="1">
      <alignment horizontal="right" vertical="center"/>
    </xf>
    <xf numFmtId="0" fontId="28" fillId="46" borderId="0" xfId="0" applyFont="1" applyFill="1"/>
    <xf numFmtId="0" fontId="10" fillId="46" borderId="0" xfId="1" applyFont="1" applyFill="1"/>
    <xf numFmtId="168" fontId="2" fillId="46" borderId="0" xfId="1" applyNumberFormat="1" applyFill="1"/>
    <xf numFmtId="0" fontId="61" fillId="0" borderId="0" xfId="130" applyAlignment="1">
      <alignment vertical="top"/>
    </xf>
    <xf numFmtId="0" fontId="61" fillId="47" borderId="0" xfId="130" applyFill="1" applyAlignment="1">
      <alignment vertical="top"/>
    </xf>
    <xf numFmtId="182" fontId="75" fillId="0" borderId="0" xfId="130" applyNumberFormat="1" applyFont="1" applyAlignment="1">
      <alignment vertical="top"/>
    </xf>
    <xf numFmtId="182" fontId="61" fillId="0" borderId="0" xfId="130" applyNumberFormat="1" applyAlignment="1">
      <alignment vertical="top"/>
    </xf>
    <xf numFmtId="0" fontId="76" fillId="0" borderId="0" xfId="0" applyFont="1"/>
  </cellXfs>
  <cellStyles count="131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2" xfId="53"/>
    <cellStyle name="Normal 2 2" xfId="54"/>
    <cellStyle name="Normal 2 3" xfId="55"/>
    <cellStyle name="Normal 2 4" xfId="130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pane="bottomLeft"/>
    </sheetView>
  </sheetViews>
  <sheetFormatPr defaultRowHeight="14.5"/>
  <cols>
    <col min="1" max="1" width="4.7265625" customWidth="1"/>
    <col min="2" max="2" width="13.54296875" bestFit="1" customWidth="1"/>
    <col min="3" max="3" width="74.54296875" bestFit="1" customWidth="1"/>
    <col min="4" max="4" width="2.90625" customWidth="1"/>
    <col min="5" max="5" width="15.7265625" customWidth="1"/>
    <col min="6" max="16" width="7.36328125" customWidth="1"/>
  </cols>
  <sheetData>
    <row r="1" spans="1:16">
      <c r="C1" t="s">
        <v>0</v>
      </c>
    </row>
    <row r="2" spans="1:1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</row>
    <row r="4" spans="1:16">
      <c r="A4" t="s">
        <v>17</v>
      </c>
      <c r="B4" t="s">
        <v>18</v>
      </c>
      <c r="C4" t="s">
        <v>19</v>
      </c>
      <c r="D4" t="s">
        <v>20</v>
      </c>
      <c r="E4" t="s">
        <v>21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1</v>
      </c>
    </row>
    <row r="5" spans="1:16">
      <c r="A5" t="s">
        <v>17</v>
      </c>
      <c r="B5" t="s">
        <v>22</v>
      </c>
      <c r="C5" t="s">
        <v>23</v>
      </c>
      <c r="D5" t="s">
        <v>24</v>
      </c>
      <c r="E5" t="s">
        <v>21</v>
      </c>
      <c r="F5" s="226"/>
      <c r="G5" s="226"/>
      <c r="H5" s="226"/>
      <c r="I5" s="226"/>
      <c r="J5" s="226">
        <v>0.55000000000000004</v>
      </c>
      <c r="K5" s="226">
        <v>0.55000000000000004</v>
      </c>
      <c r="L5" s="226">
        <v>0.55000000000000004</v>
      </c>
      <c r="M5" s="226">
        <v>0.55000000000000004</v>
      </c>
      <c r="N5" s="226">
        <v>0.55000000000000004</v>
      </c>
      <c r="O5" s="226"/>
      <c r="P5" s="226"/>
    </row>
    <row r="6" spans="1:16">
      <c r="A6" t="s">
        <v>17</v>
      </c>
      <c r="B6" t="s">
        <v>25</v>
      </c>
      <c r="C6" t="s">
        <v>26</v>
      </c>
      <c r="D6" t="s">
        <v>24</v>
      </c>
      <c r="E6" t="s">
        <v>21</v>
      </c>
      <c r="F6" s="226"/>
      <c r="G6" s="226"/>
      <c r="H6" s="226"/>
      <c r="I6" s="226"/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/>
      <c r="P6" s="226"/>
    </row>
    <row r="7" spans="1:16">
      <c r="A7" t="s">
        <v>17</v>
      </c>
      <c r="B7" t="s">
        <v>27</v>
      </c>
      <c r="C7" t="s">
        <v>28</v>
      </c>
      <c r="D7" t="s">
        <v>20</v>
      </c>
      <c r="E7" t="s">
        <v>21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94.678026929837401</v>
      </c>
    </row>
    <row r="8" spans="1:16">
      <c r="A8" t="s">
        <v>17</v>
      </c>
      <c r="B8" t="s">
        <v>29</v>
      </c>
      <c r="C8" t="s">
        <v>30</v>
      </c>
      <c r="D8" t="s">
        <v>20</v>
      </c>
      <c r="E8" t="s">
        <v>21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0</v>
      </c>
    </row>
    <row r="9" spans="1:16">
      <c r="A9" t="s">
        <v>17</v>
      </c>
      <c r="B9" t="s">
        <v>31</v>
      </c>
      <c r="C9" t="s">
        <v>32</v>
      </c>
      <c r="D9" t="s">
        <v>33</v>
      </c>
      <c r="E9" t="s">
        <v>21</v>
      </c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>
        <v>94.7</v>
      </c>
    </row>
    <row r="10" spans="1:16">
      <c r="A10" t="s">
        <v>17</v>
      </c>
      <c r="B10" t="s">
        <v>34</v>
      </c>
      <c r="C10" t="s">
        <v>35</v>
      </c>
      <c r="D10" t="s">
        <v>33</v>
      </c>
      <c r="E10" t="s">
        <v>21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>
        <v>0</v>
      </c>
    </row>
    <row r="11" spans="1:16">
      <c r="A11" t="s">
        <v>17</v>
      </c>
      <c r="B11" t="s">
        <v>36</v>
      </c>
      <c r="C11" t="s">
        <v>37</v>
      </c>
      <c r="D11" t="s">
        <v>24</v>
      </c>
      <c r="E11" t="s">
        <v>21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17</v>
      </c>
      <c r="B12" t="s">
        <v>38</v>
      </c>
      <c r="C12" t="s">
        <v>39</v>
      </c>
      <c r="D12" t="s">
        <v>24</v>
      </c>
      <c r="E12" t="s">
        <v>21</v>
      </c>
      <c r="F12" s="226"/>
      <c r="G12" s="226"/>
      <c r="H12" s="226"/>
      <c r="I12" s="226"/>
      <c r="J12" s="226">
        <v>244.183820208876</v>
      </c>
      <c r="K12" s="226">
        <v>246.52068156466899</v>
      </c>
      <c r="L12" s="226">
        <v>214.50194186524101</v>
      </c>
      <c r="M12" s="226">
        <v>191.79813722914599</v>
      </c>
      <c r="N12" s="226">
        <v>177.24734287201699</v>
      </c>
      <c r="O12" s="226"/>
      <c r="P12" s="226"/>
    </row>
    <row r="13" spans="1:16">
      <c r="A13" t="s">
        <v>17</v>
      </c>
      <c r="B13" t="s">
        <v>40</v>
      </c>
      <c r="C13" t="s">
        <v>41</v>
      </c>
      <c r="D13" t="s">
        <v>24</v>
      </c>
      <c r="E13" t="s">
        <v>21</v>
      </c>
      <c r="F13" s="226"/>
      <c r="G13" s="226"/>
      <c r="H13" s="226"/>
      <c r="I13" s="226"/>
      <c r="J13" s="226">
        <v>0</v>
      </c>
      <c r="K13" s="226">
        <v>0</v>
      </c>
      <c r="L13" s="226">
        <v>0</v>
      </c>
      <c r="M13" s="226">
        <v>0</v>
      </c>
      <c r="N13" s="226">
        <v>0</v>
      </c>
      <c r="O13" s="226"/>
      <c r="P13" s="226"/>
    </row>
    <row r="14" spans="1:16">
      <c r="A14" t="s">
        <v>17</v>
      </c>
      <c r="B14" t="s">
        <v>42</v>
      </c>
      <c r="C14" t="s">
        <v>43</v>
      </c>
      <c r="D14" t="s">
        <v>24</v>
      </c>
      <c r="E14" t="s">
        <v>21</v>
      </c>
      <c r="F14" s="226"/>
      <c r="G14" s="226"/>
      <c r="H14" s="226"/>
      <c r="I14" s="226"/>
      <c r="J14" s="226">
        <v>245.099741518993</v>
      </c>
      <c r="K14" s="226">
        <v>247.602907327341</v>
      </c>
      <c r="L14" s="226">
        <v>215.152416025863</v>
      </c>
      <c r="M14" s="226">
        <v>192.142465547792</v>
      </c>
      <c r="N14" s="226">
        <v>177.39546331884401</v>
      </c>
      <c r="O14" s="226"/>
      <c r="P14" s="226"/>
    </row>
    <row r="15" spans="1:16">
      <c r="A15" t="s">
        <v>17</v>
      </c>
      <c r="B15" t="s">
        <v>44</v>
      </c>
      <c r="C15" t="s">
        <v>45</v>
      </c>
      <c r="D15" t="s">
        <v>24</v>
      </c>
      <c r="E15" t="s">
        <v>21</v>
      </c>
      <c r="F15" s="226"/>
      <c r="G15" s="226"/>
      <c r="H15" s="226"/>
      <c r="I15" s="226"/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/>
      <c r="P15" s="226"/>
    </row>
    <row r="16" spans="1:16">
      <c r="A16" t="s">
        <v>17</v>
      </c>
      <c r="B16" t="s">
        <v>46</v>
      </c>
      <c r="C16" t="s">
        <v>47</v>
      </c>
      <c r="D16" t="s">
        <v>24</v>
      </c>
      <c r="E16" t="s">
        <v>21</v>
      </c>
      <c r="F16" s="226"/>
      <c r="G16" s="226"/>
      <c r="H16" s="226"/>
      <c r="I16" s="226"/>
      <c r="J16" s="226">
        <v>229.35799999999901</v>
      </c>
      <c r="K16" s="226">
        <v>268.72799999999899</v>
      </c>
      <c r="L16" s="226">
        <v>255.56899999999999</v>
      </c>
      <c r="M16" s="226">
        <v>247.27799999999999</v>
      </c>
      <c r="N16" s="226">
        <v>226.90100000000001</v>
      </c>
      <c r="O16" s="226"/>
      <c r="P16" s="226"/>
    </row>
    <row r="17" spans="1:16">
      <c r="A17" t="s">
        <v>17</v>
      </c>
      <c r="B17" t="s">
        <v>48</v>
      </c>
      <c r="C17" t="s">
        <v>49</v>
      </c>
      <c r="D17" t="s">
        <v>24</v>
      </c>
      <c r="E17" t="s">
        <v>21</v>
      </c>
      <c r="F17" s="226"/>
      <c r="G17" s="226"/>
      <c r="H17" s="226"/>
      <c r="I17" s="226"/>
      <c r="J17" s="226">
        <v>0</v>
      </c>
      <c r="K17" s="226">
        <v>0</v>
      </c>
      <c r="L17" s="226">
        <v>0</v>
      </c>
      <c r="M17" s="226">
        <v>0</v>
      </c>
      <c r="N17" s="226">
        <v>0</v>
      </c>
      <c r="O17" s="226"/>
      <c r="P17" s="226"/>
    </row>
    <row r="18" spans="1:16">
      <c r="A18" t="s">
        <v>17</v>
      </c>
      <c r="B18" t="s">
        <v>50</v>
      </c>
      <c r="C18" t="s">
        <v>51</v>
      </c>
      <c r="D18" t="s">
        <v>24</v>
      </c>
      <c r="E18" t="s">
        <v>21</v>
      </c>
      <c r="F18" s="226"/>
      <c r="G18" s="226"/>
      <c r="H18" s="226"/>
      <c r="I18" s="226"/>
      <c r="J18" s="226">
        <v>2.41</v>
      </c>
      <c r="K18" s="226">
        <v>2.3919999999999999</v>
      </c>
      <c r="L18" s="226">
        <v>2.1219999999999999</v>
      </c>
      <c r="M18" s="226">
        <v>2.1899039999999999</v>
      </c>
      <c r="N18" s="226">
        <v>2.2556011200000001</v>
      </c>
      <c r="O18" s="226"/>
      <c r="P18" s="226"/>
    </row>
    <row r="19" spans="1:16">
      <c r="A19" t="s">
        <v>17</v>
      </c>
      <c r="B19" t="s">
        <v>52</v>
      </c>
      <c r="C19" t="s">
        <v>53</v>
      </c>
      <c r="D19" t="s">
        <v>24</v>
      </c>
      <c r="E19" t="s">
        <v>21</v>
      </c>
      <c r="F19" s="226"/>
      <c r="G19" s="226"/>
      <c r="H19" s="226"/>
      <c r="I19" s="226"/>
      <c r="J19" s="226">
        <v>2.21199999999999</v>
      </c>
      <c r="K19" s="226">
        <v>0.16999999999999901</v>
      </c>
      <c r="L19" s="226">
        <v>-0.14599999999999999</v>
      </c>
      <c r="M19" s="226">
        <v>0.18200541400673001</v>
      </c>
      <c r="N19" s="226">
        <v>0.18746557642693201</v>
      </c>
      <c r="O19" s="226"/>
      <c r="P19" s="226"/>
    </row>
    <row r="20" spans="1:16">
      <c r="A20" t="s">
        <v>17</v>
      </c>
      <c r="B20" t="s">
        <v>54</v>
      </c>
      <c r="C20" t="s">
        <v>55</v>
      </c>
      <c r="D20" t="s">
        <v>24</v>
      </c>
      <c r="E20" t="s">
        <v>21</v>
      </c>
      <c r="F20" s="226"/>
      <c r="G20" s="226"/>
      <c r="H20" s="226"/>
      <c r="I20" s="226"/>
      <c r="J20" s="226">
        <v>3.76</v>
      </c>
      <c r="K20" s="226">
        <v>2.1440000000000001</v>
      </c>
      <c r="L20" s="226">
        <v>1.798</v>
      </c>
      <c r="M20" s="226">
        <v>5.5</v>
      </c>
      <c r="N20" s="226">
        <v>4.2</v>
      </c>
      <c r="O20" s="226"/>
      <c r="P20" s="226"/>
    </row>
    <row r="21" spans="1:16">
      <c r="A21" t="s">
        <v>17</v>
      </c>
      <c r="B21" t="s">
        <v>56</v>
      </c>
      <c r="C21" t="s">
        <v>57</v>
      </c>
      <c r="D21" t="s">
        <v>24</v>
      </c>
      <c r="E21" t="s">
        <v>21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17</v>
      </c>
      <c r="B22" t="s">
        <v>58</v>
      </c>
      <c r="C22" t="s">
        <v>59</v>
      </c>
      <c r="D22" t="s">
        <v>24</v>
      </c>
      <c r="E22" t="s">
        <v>21</v>
      </c>
      <c r="F22" s="226"/>
      <c r="G22" s="226"/>
      <c r="H22" s="226"/>
      <c r="I22" s="226"/>
      <c r="J22" s="226">
        <v>0</v>
      </c>
      <c r="K22" s="226">
        <v>0</v>
      </c>
      <c r="L22" s="226">
        <v>0</v>
      </c>
      <c r="M22" s="226">
        <v>0</v>
      </c>
      <c r="N22" s="226">
        <v>0</v>
      </c>
      <c r="O22" s="226"/>
      <c r="P22" s="226"/>
    </row>
    <row r="23" spans="1:16">
      <c r="A23" t="s">
        <v>17</v>
      </c>
      <c r="B23" t="s">
        <v>60</v>
      </c>
      <c r="C23" t="s">
        <v>61</v>
      </c>
      <c r="D23" t="s">
        <v>24</v>
      </c>
      <c r="E23" t="s">
        <v>21</v>
      </c>
      <c r="F23" s="226"/>
      <c r="G23" s="226"/>
      <c r="H23" s="226"/>
      <c r="I23" s="226"/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/>
      <c r="P23" s="226"/>
    </row>
    <row r="24" spans="1:16">
      <c r="A24" t="s">
        <v>17</v>
      </c>
      <c r="B24" t="s">
        <v>62</v>
      </c>
      <c r="C24" t="s">
        <v>63</v>
      </c>
      <c r="D24" t="s">
        <v>24</v>
      </c>
      <c r="E24" t="s">
        <v>21</v>
      </c>
      <c r="F24" s="226"/>
      <c r="G24" s="226"/>
      <c r="H24" s="226"/>
      <c r="I24" s="226"/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/>
      <c r="P24" s="226"/>
    </row>
    <row r="25" spans="1:16">
      <c r="A25" t="s">
        <v>17</v>
      </c>
      <c r="B25" t="s">
        <v>64</v>
      </c>
      <c r="C25" t="s">
        <v>65</v>
      </c>
      <c r="D25" t="s">
        <v>24</v>
      </c>
      <c r="E25" t="s">
        <v>21</v>
      </c>
      <c r="F25" s="226"/>
      <c r="G25" s="226"/>
      <c r="H25" s="226"/>
      <c r="I25" s="226"/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/>
      <c r="P25" s="226"/>
    </row>
    <row r="26" spans="1:16">
      <c r="A26" t="s">
        <v>17</v>
      </c>
      <c r="B26" t="s">
        <v>66</v>
      </c>
      <c r="C26" t="s">
        <v>67</v>
      </c>
      <c r="D26" t="s">
        <v>24</v>
      </c>
      <c r="E26" t="s">
        <v>21</v>
      </c>
      <c r="F26" s="226"/>
      <c r="G26" s="226"/>
      <c r="H26" s="226"/>
      <c r="I26" s="226">
        <v>2.1339999999999999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17</v>
      </c>
      <c r="B27" t="s">
        <v>68</v>
      </c>
      <c r="C27" t="s">
        <v>69</v>
      </c>
      <c r="D27" t="s">
        <v>24</v>
      </c>
      <c r="E27" t="s">
        <v>21</v>
      </c>
      <c r="F27" s="226"/>
      <c r="G27" s="226"/>
      <c r="H27" s="226"/>
      <c r="I27" s="226"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17</v>
      </c>
      <c r="B28" t="s">
        <v>70</v>
      </c>
      <c r="C28" t="s">
        <v>71</v>
      </c>
      <c r="D28" t="s">
        <v>72</v>
      </c>
      <c r="E28" t="s">
        <v>21</v>
      </c>
      <c r="F28" s="227"/>
      <c r="G28" s="227"/>
      <c r="H28" s="227"/>
      <c r="I28" s="227"/>
      <c r="J28" s="227">
        <v>0.69113999999999998</v>
      </c>
      <c r="K28" s="227">
        <v>0.67435999999999996</v>
      </c>
      <c r="L28" s="227">
        <v>0.74736000000000002</v>
      </c>
      <c r="M28" s="227">
        <v>0.81936999999999705</v>
      </c>
      <c r="N28" s="227">
        <v>0.87666999999999995</v>
      </c>
      <c r="O28" s="227"/>
      <c r="P28" s="227"/>
    </row>
    <row r="29" spans="1:16">
      <c r="A29" t="s">
        <v>17</v>
      </c>
      <c r="B29" t="s">
        <v>73</v>
      </c>
      <c r="C29" t="s">
        <v>74</v>
      </c>
      <c r="D29" t="s">
        <v>72</v>
      </c>
      <c r="E29" t="s">
        <v>21</v>
      </c>
      <c r="F29" s="227"/>
      <c r="G29" s="227"/>
      <c r="H29" s="227"/>
      <c r="I29" s="227"/>
      <c r="J29" s="227">
        <v>0</v>
      </c>
      <c r="K29" s="227">
        <v>0</v>
      </c>
      <c r="L29" s="227">
        <v>0</v>
      </c>
      <c r="M29" s="227">
        <v>0</v>
      </c>
      <c r="N29" s="227">
        <v>0</v>
      </c>
      <c r="O29" s="227"/>
      <c r="P29" s="227"/>
    </row>
    <row r="30" spans="1:16">
      <c r="A30" t="s">
        <v>17</v>
      </c>
      <c r="B30" t="s">
        <v>75</v>
      </c>
      <c r="C30" t="s">
        <v>76</v>
      </c>
      <c r="D30" t="s">
        <v>24</v>
      </c>
      <c r="E30" t="s">
        <v>21</v>
      </c>
      <c r="F30" s="226"/>
      <c r="G30" s="226"/>
      <c r="H30" s="226"/>
      <c r="I30" s="226"/>
      <c r="J30" s="226">
        <v>0</v>
      </c>
      <c r="K30" s="226">
        <v>7.2999999999999995E-2</v>
      </c>
      <c r="L30" s="226">
        <v>0.42899999999999999</v>
      </c>
      <c r="M30" s="226">
        <v>0</v>
      </c>
      <c r="N30" s="226">
        <v>0</v>
      </c>
      <c r="O30" s="226"/>
      <c r="P30" s="226"/>
    </row>
    <row r="31" spans="1:16">
      <c r="A31" t="s">
        <v>17</v>
      </c>
      <c r="B31" t="s">
        <v>77</v>
      </c>
      <c r="C31" t="s">
        <v>78</v>
      </c>
      <c r="D31" t="s">
        <v>24</v>
      </c>
      <c r="E31" t="s">
        <v>21</v>
      </c>
      <c r="F31" s="226"/>
      <c r="G31" s="226"/>
      <c r="H31" s="226"/>
      <c r="I31" s="226"/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/>
      <c r="P31" s="226"/>
    </row>
    <row r="32" spans="1:16">
      <c r="A32" t="s">
        <v>17</v>
      </c>
      <c r="B32" t="s">
        <v>79</v>
      </c>
      <c r="C32" t="s">
        <v>80</v>
      </c>
      <c r="D32" t="s">
        <v>24</v>
      </c>
      <c r="E32" t="s">
        <v>21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17</v>
      </c>
      <c r="B33" t="s">
        <v>81</v>
      </c>
      <c r="C33" t="s">
        <v>82</v>
      </c>
      <c r="D33" t="s">
        <v>24</v>
      </c>
      <c r="E33" t="s">
        <v>21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17</v>
      </c>
      <c r="B34" t="s">
        <v>83</v>
      </c>
      <c r="C34" t="s">
        <v>84</v>
      </c>
      <c r="D34" t="s">
        <v>33</v>
      </c>
      <c r="E34" t="s">
        <v>21</v>
      </c>
      <c r="F34" s="228">
        <v>234.4</v>
      </c>
      <c r="G34" s="228">
        <v>242.5</v>
      </c>
      <c r="H34" s="228">
        <v>249.5</v>
      </c>
      <c r="I34" s="228">
        <v>255.7</v>
      </c>
      <c r="J34" s="228">
        <v>258</v>
      </c>
      <c r="K34" s="228">
        <v>261.39999999999998</v>
      </c>
      <c r="L34" s="228">
        <v>270.60000000000002</v>
      </c>
      <c r="M34" s="228">
        <v>279.7</v>
      </c>
      <c r="N34" s="228">
        <v>287.00017000000003</v>
      </c>
      <c r="O34" s="228">
        <v>294.490874437</v>
      </c>
      <c r="P34" s="228"/>
    </row>
    <row r="35" spans="1:16">
      <c r="A35" t="s">
        <v>17</v>
      </c>
      <c r="B35" t="s">
        <v>85</v>
      </c>
      <c r="C35" t="s">
        <v>86</v>
      </c>
      <c r="D35" t="s">
        <v>33</v>
      </c>
      <c r="E35" t="s">
        <v>21</v>
      </c>
      <c r="F35" s="228">
        <v>235.2</v>
      </c>
      <c r="G35" s="228">
        <v>242.4</v>
      </c>
      <c r="H35" s="228">
        <v>250</v>
      </c>
      <c r="I35" s="228">
        <v>255.9</v>
      </c>
      <c r="J35" s="228">
        <v>258.5</v>
      </c>
      <c r="K35" s="228">
        <v>262.10000000000002</v>
      </c>
      <c r="L35" s="228">
        <v>271.7</v>
      </c>
      <c r="M35" s="228">
        <v>280.7</v>
      </c>
      <c r="N35" s="228">
        <v>288.02627000000001</v>
      </c>
      <c r="O35" s="228">
        <v>295.54375564700001</v>
      </c>
      <c r="P35" s="228"/>
    </row>
    <row r="36" spans="1:16">
      <c r="A36" t="s">
        <v>17</v>
      </c>
      <c r="B36" t="s">
        <v>87</v>
      </c>
      <c r="C36" t="s">
        <v>88</v>
      </c>
      <c r="D36" t="s">
        <v>33</v>
      </c>
      <c r="E36" t="s">
        <v>21</v>
      </c>
      <c r="F36" s="228">
        <v>235.2</v>
      </c>
      <c r="G36" s="228">
        <v>241.8</v>
      </c>
      <c r="H36" s="228">
        <v>249.7</v>
      </c>
      <c r="I36" s="228">
        <v>256.3</v>
      </c>
      <c r="J36" s="228">
        <v>258.89999999999998</v>
      </c>
      <c r="K36" s="228">
        <v>263.10000000000002</v>
      </c>
      <c r="L36" s="228">
        <v>272.3</v>
      </c>
      <c r="M36" s="228">
        <v>281.5</v>
      </c>
      <c r="N36" s="228">
        <v>288.84715</v>
      </c>
      <c r="O36" s="228">
        <v>296.38606061500002</v>
      </c>
      <c r="P36" s="228"/>
    </row>
    <row r="37" spans="1:16">
      <c r="A37" t="s">
        <v>17</v>
      </c>
      <c r="B37" t="s">
        <v>89</v>
      </c>
      <c r="C37" t="s">
        <v>90</v>
      </c>
      <c r="D37" t="s">
        <v>33</v>
      </c>
      <c r="E37" t="s">
        <v>21</v>
      </c>
      <c r="F37" s="228">
        <v>234.7</v>
      </c>
      <c r="G37" s="228">
        <v>242.1</v>
      </c>
      <c r="H37" s="228">
        <v>249.7</v>
      </c>
      <c r="I37" s="228">
        <v>256</v>
      </c>
      <c r="J37" s="228">
        <v>258.60000000000002</v>
      </c>
      <c r="K37" s="228">
        <v>263.39999999999998</v>
      </c>
      <c r="L37" s="228">
        <v>272.89999999999998</v>
      </c>
      <c r="M37" s="228">
        <v>281.7</v>
      </c>
      <c r="N37" s="228">
        <v>289.05237</v>
      </c>
      <c r="O37" s="228">
        <v>296.59663685700002</v>
      </c>
      <c r="P37" s="228"/>
    </row>
    <row r="38" spans="1:16">
      <c r="A38" t="s">
        <v>17</v>
      </c>
      <c r="B38" t="s">
        <v>91</v>
      </c>
      <c r="C38" t="s">
        <v>92</v>
      </c>
      <c r="D38" t="s">
        <v>33</v>
      </c>
      <c r="E38" t="s">
        <v>21</v>
      </c>
      <c r="F38" s="228">
        <v>236.1</v>
      </c>
      <c r="G38" s="228">
        <v>243</v>
      </c>
      <c r="H38" s="228">
        <v>251</v>
      </c>
      <c r="I38" s="228">
        <v>257</v>
      </c>
      <c r="J38" s="228">
        <v>259.8</v>
      </c>
      <c r="K38" s="228">
        <v>264.39999999999998</v>
      </c>
      <c r="L38" s="228">
        <v>274.7</v>
      </c>
      <c r="M38" s="228">
        <v>279.64</v>
      </c>
      <c r="N38" s="228">
        <v>286.938604</v>
      </c>
      <c r="O38" s="228">
        <v>294.42770156440002</v>
      </c>
      <c r="P38" s="228"/>
    </row>
    <row r="39" spans="1:16">
      <c r="A39" t="s">
        <v>17</v>
      </c>
      <c r="B39" t="s">
        <v>93</v>
      </c>
      <c r="C39" t="s">
        <v>94</v>
      </c>
      <c r="D39" t="s">
        <v>33</v>
      </c>
      <c r="E39" t="s">
        <v>21</v>
      </c>
      <c r="F39" s="228">
        <v>237.9</v>
      </c>
      <c r="G39" s="228">
        <v>244.2</v>
      </c>
      <c r="H39" s="228">
        <v>251.9</v>
      </c>
      <c r="I39" s="228">
        <v>257.60000000000002</v>
      </c>
      <c r="J39" s="228">
        <v>259.60000000000002</v>
      </c>
      <c r="K39" s="228">
        <v>264.89999999999998</v>
      </c>
      <c r="L39" s="228">
        <v>275.10000000000002</v>
      </c>
      <c r="M39" s="228">
        <v>279.64</v>
      </c>
      <c r="N39" s="228">
        <v>286.938604</v>
      </c>
      <c r="O39" s="228">
        <v>294.42770156440002</v>
      </c>
      <c r="P39" s="228"/>
    </row>
    <row r="40" spans="1:16">
      <c r="A40" t="s">
        <v>17</v>
      </c>
      <c r="B40" t="s">
        <v>95</v>
      </c>
      <c r="C40" t="s">
        <v>96</v>
      </c>
      <c r="D40" t="s">
        <v>33</v>
      </c>
      <c r="E40" t="s">
        <v>21</v>
      </c>
      <c r="F40" s="228">
        <v>238</v>
      </c>
      <c r="G40" s="228">
        <v>245.6</v>
      </c>
      <c r="H40" s="228">
        <v>251.9</v>
      </c>
      <c r="I40" s="228">
        <v>257.7</v>
      </c>
      <c r="J40" s="228">
        <v>259.5</v>
      </c>
      <c r="K40" s="228">
        <v>264.8</v>
      </c>
      <c r="L40" s="228">
        <v>275.3</v>
      </c>
      <c r="M40" s="228">
        <v>279.64</v>
      </c>
      <c r="N40" s="228">
        <v>286.938604</v>
      </c>
      <c r="O40" s="228">
        <v>294.42770156440002</v>
      </c>
      <c r="P40" s="228"/>
    </row>
    <row r="41" spans="1:16">
      <c r="A41" t="s">
        <v>17</v>
      </c>
      <c r="B41" t="s">
        <v>97</v>
      </c>
      <c r="C41" t="s">
        <v>98</v>
      </c>
      <c r="D41" t="s">
        <v>33</v>
      </c>
      <c r="E41" t="s">
        <v>21</v>
      </c>
      <c r="F41" s="228">
        <v>238.5</v>
      </c>
      <c r="G41" s="228">
        <v>245.6</v>
      </c>
      <c r="H41" s="228">
        <v>252.1</v>
      </c>
      <c r="I41" s="228">
        <v>257.10000000000002</v>
      </c>
      <c r="J41" s="228">
        <v>259.8</v>
      </c>
      <c r="K41" s="228">
        <v>265.5</v>
      </c>
      <c r="L41" s="228">
        <v>275.8</v>
      </c>
      <c r="M41" s="228">
        <v>282.9984</v>
      </c>
      <c r="N41" s="228">
        <v>290.38465824000002</v>
      </c>
      <c r="O41" s="228">
        <v>297.963697820064</v>
      </c>
      <c r="P41" s="228"/>
    </row>
    <row r="42" spans="1:16">
      <c r="A42" t="s">
        <v>17</v>
      </c>
      <c r="B42" t="s">
        <v>99</v>
      </c>
      <c r="C42" t="s">
        <v>100</v>
      </c>
      <c r="D42" t="s">
        <v>33</v>
      </c>
      <c r="E42" t="s">
        <v>21</v>
      </c>
      <c r="F42" s="228">
        <v>239.4</v>
      </c>
      <c r="G42" s="228">
        <v>246.8</v>
      </c>
      <c r="H42" s="228">
        <v>253.4</v>
      </c>
      <c r="I42" s="228">
        <v>257.5</v>
      </c>
      <c r="J42" s="228">
        <v>260.60000000000002</v>
      </c>
      <c r="K42" s="228">
        <v>267.10000000000002</v>
      </c>
      <c r="L42" s="228">
        <v>278.10000000000002</v>
      </c>
      <c r="M42" s="228">
        <v>285.35840000000002</v>
      </c>
      <c r="N42" s="228">
        <v>292.80625423999999</v>
      </c>
      <c r="O42" s="228">
        <v>300.448497475664</v>
      </c>
      <c r="P42" s="228"/>
    </row>
    <row r="43" spans="1:16">
      <c r="A43" t="s">
        <v>17</v>
      </c>
      <c r="B43" t="s">
        <v>101</v>
      </c>
      <c r="C43" t="s">
        <v>102</v>
      </c>
      <c r="D43" t="s">
        <v>33</v>
      </c>
      <c r="E43" t="s">
        <v>21</v>
      </c>
      <c r="F43" s="228">
        <v>238</v>
      </c>
      <c r="G43" s="228">
        <v>245.8</v>
      </c>
      <c r="H43" s="228">
        <v>252.6</v>
      </c>
      <c r="I43" s="228">
        <v>255.4</v>
      </c>
      <c r="J43" s="228">
        <v>258.8</v>
      </c>
      <c r="K43" s="228">
        <v>265.5</v>
      </c>
      <c r="L43" s="228">
        <v>276</v>
      </c>
      <c r="M43" s="228">
        <v>283.20359999999999</v>
      </c>
      <c r="N43" s="228">
        <v>290.59521396000002</v>
      </c>
      <c r="O43" s="228">
        <v>298.17974904435602</v>
      </c>
      <c r="P43" s="228"/>
    </row>
    <row r="44" spans="1:16">
      <c r="A44" t="s">
        <v>17</v>
      </c>
      <c r="B44" t="s">
        <v>103</v>
      </c>
      <c r="C44" t="s">
        <v>104</v>
      </c>
      <c r="D44" t="s">
        <v>33</v>
      </c>
      <c r="E44" t="s">
        <v>21</v>
      </c>
      <c r="F44" s="228">
        <v>239.9</v>
      </c>
      <c r="G44" s="228">
        <v>247.6</v>
      </c>
      <c r="H44" s="228">
        <v>254.2</v>
      </c>
      <c r="I44" s="228">
        <v>256.7</v>
      </c>
      <c r="J44" s="228">
        <v>260</v>
      </c>
      <c r="K44" s="228">
        <v>268.39999999999998</v>
      </c>
      <c r="L44" s="228">
        <v>278.10000000000002</v>
      </c>
      <c r="M44" s="228">
        <v>285.35840000000002</v>
      </c>
      <c r="N44" s="228">
        <v>292.80625423999999</v>
      </c>
      <c r="O44" s="228">
        <v>300.448497475664</v>
      </c>
      <c r="P44" s="228"/>
    </row>
    <row r="45" spans="1:16">
      <c r="A45" t="s">
        <v>17</v>
      </c>
      <c r="B45" t="s">
        <v>105</v>
      </c>
      <c r="C45" t="s">
        <v>106</v>
      </c>
      <c r="D45" t="s">
        <v>33</v>
      </c>
      <c r="E45" t="s">
        <v>21</v>
      </c>
      <c r="F45" s="228">
        <v>240.8</v>
      </c>
      <c r="G45" s="228">
        <v>248.7</v>
      </c>
      <c r="H45" s="228">
        <v>254.8</v>
      </c>
      <c r="I45" s="228">
        <v>257.10000000000002</v>
      </c>
      <c r="J45" s="228">
        <v>261.10000000000002</v>
      </c>
      <c r="K45" s="228">
        <v>269.3</v>
      </c>
      <c r="L45" s="228">
        <v>278.3</v>
      </c>
      <c r="M45" s="228">
        <v>285.56360000000001</v>
      </c>
      <c r="N45" s="228">
        <v>293.01680995999999</v>
      </c>
      <c r="O45" s="228">
        <v>300.66454869995601</v>
      </c>
      <c r="P45" s="228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P127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3.08984375" style="30" customWidth="1"/>
    <col min="4" max="4" width="10" style="30" customWidth="1"/>
    <col min="5" max="5" width="45" style="39" customWidth="1"/>
    <col min="6" max="6" width="6" style="30" customWidth="1"/>
    <col min="7" max="7" width="10.08984375" style="30" customWidth="1"/>
    <col min="8" max="8" width="12.08984375" style="30" customWidth="1"/>
    <col min="9" max="16" width="14.54296875" style="30" customWidth="1"/>
    <col min="17" max="21" width="13.54296875" style="30" customWidth="1"/>
    <col min="22" max="22" width="10.54296875" style="45" customWidth="1"/>
    <col min="23" max="24" width="9.08984375" style="30" customWidth="1"/>
    <col min="25" max="25" width="9.08984375" style="30" hidden="1" customWidth="1"/>
    <col min="26" max="27" width="13.08984375" style="30" hidden="1" customWidth="1"/>
    <col min="28" max="16384" width="9.08984375" style="30" hidden="1"/>
  </cols>
  <sheetData>
    <row r="1" spans="1:24" s="2" customFormat="1" ht="32.5">
      <c r="A1" s="1"/>
      <c r="B1" s="1"/>
      <c r="C1" s="1"/>
      <c r="D1" s="1"/>
      <c r="E1" s="1" t="s">
        <v>107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108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 ht="13">
      <c r="A5" s="13"/>
      <c r="B5" s="13"/>
      <c r="C5" s="14"/>
      <c r="D5" s="13"/>
      <c r="E5" s="7" t="s">
        <v>109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 ht="13">
      <c r="A6" s="13"/>
      <c r="B6" s="13"/>
      <c r="C6" s="14"/>
      <c r="D6" s="13"/>
      <c r="E6" s="7" t="s">
        <v>110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 ht="13">
      <c r="A7" s="13"/>
      <c r="B7" s="13"/>
      <c r="C7" s="14"/>
      <c r="D7" s="13"/>
      <c r="E7" s="3" t="s">
        <v>111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 ht="13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4">
      <c r="A9" s="18"/>
      <c r="B9" s="19"/>
      <c r="C9" s="19"/>
      <c r="D9" s="20"/>
      <c r="E9" s="21" t="s">
        <v>112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 ht="13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 ht="13">
      <c r="A11" s="13"/>
      <c r="B11" s="13"/>
      <c r="C11" s="14"/>
      <c r="D11" s="13" t="s">
        <v>113</v>
      </c>
      <c r="E11" s="17" t="s">
        <v>114</v>
      </c>
      <c r="H11" s="23" t="s">
        <v>17</v>
      </c>
      <c r="I11" s="150" t="s">
        <v>115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 ht="13">
      <c r="A12" s="13"/>
      <c r="B12" s="13"/>
      <c r="C12" s="14"/>
      <c r="D12" s="13" t="s">
        <v>113</v>
      </c>
      <c r="E12" s="17" t="s">
        <v>19</v>
      </c>
      <c r="H12" s="23" t="str">
        <f>IF(F_Inputs!P4=1,"WoC","WaSC")</f>
        <v>WoC</v>
      </c>
      <c r="I12" s="150" t="s">
        <v>116</v>
      </c>
      <c r="K12" s="24" t="b">
        <f>CompanyType="WoC"</f>
        <v>1</v>
      </c>
      <c r="M12" s="150" t="s">
        <v>117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 ht="13">
      <c r="A13" s="13"/>
      <c r="B13" s="13"/>
      <c r="C13" s="14"/>
      <c r="D13" s="13" t="s">
        <v>113</v>
      </c>
      <c r="E13" s="17" t="s">
        <v>118</v>
      </c>
      <c r="H13" s="23" t="str">
        <f>IF(CompanyName="AFW","Yes",IF(CompanyName="SWT","Yes","No"))</f>
        <v>Yes</v>
      </c>
      <c r="I13" s="150" t="s">
        <v>119</v>
      </c>
      <c r="K13" s="24" t="b">
        <f>CompanyEnhanced="Yes"</f>
        <v>1</v>
      </c>
      <c r="M13" s="150" t="s">
        <v>120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 ht="13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 ht="13">
      <c r="A15" s="13"/>
      <c r="B15" s="13"/>
      <c r="C15" s="14"/>
      <c r="D15" s="13" t="s">
        <v>121</v>
      </c>
      <c r="E15" s="17" t="s">
        <v>122</v>
      </c>
      <c r="F15" s="13"/>
      <c r="G15" s="13"/>
      <c r="H15" s="158">
        <f>IF(CompanyName="BRL","Input value",IF(CompanyEnhanced="Yes",3.7%,3.6%))</f>
        <v>3.7000000000000005E-2</v>
      </c>
      <c r="I15" s="150" t="s">
        <v>123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 ht="13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4">
      <c r="A17" s="18"/>
      <c r="B17" s="19"/>
      <c r="C17" s="19"/>
      <c r="D17" s="20"/>
      <c r="E17" s="21" t="s">
        <v>124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4">
      <c r="A19" s="18"/>
      <c r="B19" s="19"/>
      <c r="C19" s="19"/>
      <c r="D19" s="20"/>
      <c r="E19" s="21" t="s">
        <v>125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4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 ht="13">
      <c r="E21" s="90" t="s">
        <v>126</v>
      </c>
    </row>
    <row r="22" spans="1:27" s="193" customFormat="1" ht="13">
      <c r="A22" s="3"/>
      <c r="B22" s="3"/>
      <c r="C22" s="3"/>
      <c r="D22" s="3" t="s">
        <v>127</v>
      </c>
      <c r="E22" s="3" t="s">
        <v>128</v>
      </c>
      <c r="F22" s="3"/>
      <c r="G22" s="3"/>
      <c r="H22" s="35">
        <f>F_Inputs!P7</f>
        <v>94.678026929837401</v>
      </c>
      <c r="I22" s="89" t="s">
        <v>129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 ht="13">
      <c r="A23" s="3"/>
      <c r="B23" s="3"/>
      <c r="C23" s="3"/>
      <c r="D23" s="3" t="s">
        <v>127</v>
      </c>
      <c r="E23" s="3" t="s">
        <v>130</v>
      </c>
      <c r="F23" s="3"/>
      <c r="G23" s="3"/>
      <c r="H23" s="35">
        <f>F_Inputs!P8</f>
        <v>0</v>
      </c>
      <c r="I23" s="89" t="s">
        <v>131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 ht="13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 ht="13">
      <c r="A25" s="3"/>
      <c r="B25" s="3"/>
      <c r="C25" s="3"/>
      <c r="D25" s="3"/>
      <c r="E25" s="90" t="s">
        <v>132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 ht="13">
      <c r="A26" s="3"/>
      <c r="B26" s="3"/>
      <c r="C26" s="3"/>
      <c r="D26" s="3" t="s">
        <v>127</v>
      </c>
      <c r="E26" s="3" t="s">
        <v>133</v>
      </c>
      <c r="F26" s="33" t="s">
        <v>134</v>
      </c>
      <c r="G26" s="3"/>
      <c r="H26" s="89"/>
      <c r="I26" s="89"/>
      <c r="J26" s="3"/>
      <c r="K26" s="3"/>
      <c r="L26" s="35">
        <f>+F_Inputs!J5</f>
        <v>0.55000000000000004</v>
      </c>
      <c r="M26" s="35">
        <f>+F_Inputs!K5</f>
        <v>0.55000000000000004</v>
      </c>
      <c r="N26" s="35">
        <f>+F_Inputs!L5</f>
        <v>0.55000000000000004</v>
      </c>
      <c r="O26" s="35">
        <f>+F_Inputs!M5</f>
        <v>0.55000000000000004</v>
      </c>
      <c r="P26" s="35">
        <f>+F_Inputs!N5</f>
        <v>0.55000000000000004</v>
      </c>
      <c r="Q26" s="59" t="s">
        <v>135</v>
      </c>
      <c r="R26" s="3"/>
      <c r="S26" s="3"/>
      <c r="T26" s="3"/>
      <c r="U26" s="3"/>
      <c r="V26" s="3"/>
      <c r="W26" s="3"/>
      <c r="X26" s="3"/>
    </row>
    <row r="27" spans="1:27" s="193" customFormat="1" ht="13">
      <c r="A27" s="3"/>
      <c r="B27" s="3"/>
      <c r="C27" s="3"/>
      <c r="D27" s="3" t="s">
        <v>127</v>
      </c>
      <c r="E27" s="3" t="s">
        <v>136</v>
      </c>
      <c r="F27" s="33" t="s">
        <v>134</v>
      </c>
      <c r="G27" s="3"/>
      <c r="H27" s="89"/>
      <c r="I27" s="89"/>
      <c r="J27" s="3"/>
      <c r="K27" s="3"/>
      <c r="L27" s="35">
        <f>+F_Inputs!J6</f>
        <v>0</v>
      </c>
      <c r="M27" s="35">
        <f>+F_Inputs!K6</f>
        <v>0</v>
      </c>
      <c r="N27" s="35">
        <f>+F_Inputs!L6</f>
        <v>0</v>
      </c>
      <c r="O27" s="35">
        <f>+F_Inputs!M6</f>
        <v>0</v>
      </c>
      <c r="P27" s="35">
        <f>+F_Inputs!N6</f>
        <v>0</v>
      </c>
      <c r="Q27" s="59" t="s">
        <v>137</v>
      </c>
      <c r="R27" s="3"/>
      <c r="S27" s="3"/>
      <c r="T27" s="3"/>
      <c r="U27" s="3"/>
      <c r="V27" s="3"/>
      <c r="W27" s="3"/>
      <c r="X27" s="3"/>
    </row>
    <row r="28" spans="1:27" s="193" customFormat="1" ht="13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4">
      <c r="A29" s="18"/>
      <c r="B29" s="19"/>
      <c r="C29" s="19"/>
      <c r="D29" s="20"/>
      <c r="E29" s="21" t="s">
        <v>138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139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 ht="13">
      <c r="A32" s="30"/>
      <c r="B32" s="30"/>
      <c r="C32" s="31"/>
      <c r="D32" s="3" t="s">
        <v>127</v>
      </c>
      <c r="E32" s="3" t="s">
        <v>140</v>
      </c>
      <c r="F32" s="3"/>
      <c r="G32" s="3"/>
      <c r="H32" s="35">
        <f>F_Inputs!P9</f>
        <v>94.7</v>
      </c>
      <c r="I32" s="89" t="s">
        <v>141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 ht="13">
      <c r="A33" s="30"/>
      <c r="B33" s="30"/>
      <c r="C33" s="31"/>
      <c r="D33" s="3" t="s">
        <v>127</v>
      </c>
      <c r="E33" s="3" t="s">
        <v>142</v>
      </c>
      <c r="F33" s="3"/>
      <c r="G33" s="3"/>
      <c r="H33" s="35">
        <f>F_Inputs!P10</f>
        <v>0</v>
      </c>
      <c r="I33" s="89" t="s">
        <v>143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4">
      <c r="A35" s="18"/>
      <c r="B35" s="19"/>
      <c r="C35" s="19"/>
      <c r="D35" s="20"/>
      <c r="E35" s="21" t="s">
        <v>144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4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4">
      <c r="A37" s="18"/>
      <c r="B37" s="19"/>
      <c r="C37" s="19"/>
      <c r="D37" s="20"/>
      <c r="E37" s="21" t="s">
        <v>145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 ht="13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 ht="13">
      <c r="A39" s="25"/>
      <c r="B39" s="25"/>
      <c r="C39" s="26"/>
      <c r="D39" s="25"/>
      <c r="E39" s="27" t="s">
        <v>146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 ht="13">
      <c r="A40" s="30"/>
      <c r="B40" s="30"/>
      <c r="C40" s="31"/>
      <c r="D40" s="30" t="s">
        <v>147</v>
      </c>
      <c r="E40" s="32" t="s">
        <v>148</v>
      </c>
      <c r="F40" s="33" t="s">
        <v>134</v>
      </c>
      <c r="G40" s="42"/>
      <c r="H40" s="42"/>
      <c r="I40" s="34"/>
      <c r="J40" s="34"/>
      <c r="K40" s="34"/>
      <c r="L40" s="35">
        <f>+F_Inputs!J14</f>
        <v>245.099741518993</v>
      </c>
      <c r="M40" s="35">
        <f>+F_Inputs!K14</f>
        <v>247.602907327341</v>
      </c>
      <c r="N40" s="35">
        <f>+F_Inputs!L14</f>
        <v>215.152416025863</v>
      </c>
      <c r="O40" s="35">
        <f>+F_Inputs!M14</f>
        <v>192.142465547792</v>
      </c>
      <c r="P40" s="35">
        <f>+F_Inputs!N14</f>
        <v>177.39546331884401</v>
      </c>
      <c r="Q40" s="59" t="s">
        <v>149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 ht="13">
      <c r="A41" s="25"/>
      <c r="B41" s="25"/>
      <c r="C41" s="31"/>
      <c r="D41" s="30" t="s">
        <v>147</v>
      </c>
      <c r="E41" s="32" t="s">
        <v>150</v>
      </c>
      <c r="F41" s="33" t="s">
        <v>134</v>
      </c>
      <c r="G41" s="28"/>
      <c r="H41" s="28"/>
      <c r="I41" s="34"/>
      <c r="J41" s="34"/>
      <c r="K41" s="34"/>
      <c r="L41" s="35">
        <f>+F_Inputs!J15</f>
        <v>0</v>
      </c>
      <c r="M41" s="35">
        <f>+F_Inputs!K15</f>
        <v>0</v>
      </c>
      <c r="N41" s="35">
        <f>+F_Inputs!L15</f>
        <v>0</v>
      </c>
      <c r="O41" s="35">
        <f>+F_Inputs!M15</f>
        <v>0</v>
      </c>
      <c r="P41" s="35">
        <f>+F_Inputs!N15</f>
        <v>0</v>
      </c>
      <c r="Q41" s="59" t="s">
        <v>151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 ht="13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152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 ht="13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 ht="13">
      <c r="A45" s="25"/>
      <c r="B45" s="25"/>
      <c r="C45" s="44"/>
      <c r="D45" s="25"/>
      <c r="E45" s="27" t="s">
        <v>153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 ht="13">
      <c r="A46" s="25"/>
      <c r="B46" s="25"/>
      <c r="C46" s="44"/>
      <c r="D46" s="30" t="s">
        <v>147</v>
      </c>
      <c r="E46" s="32" t="s">
        <v>154</v>
      </c>
      <c r="F46" s="33" t="s">
        <v>134</v>
      </c>
      <c r="G46" s="40"/>
      <c r="H46" s="178"/>
      <c r="I46" s="40"/>
      <c r="J46" s="40"/>
      <c r="K46" s="40"/>
      <c r="L46" s="35">
        <f>+F_Inputs!J12</f>
        <v>244.183820208876</v>
      </c>
      <c r="M46" s="35">
        <f>+F_Inputs!K12</f>
        <v>246.52068156466899</v>
      </c>
      <c r="N46" s="35">
        <f>+F_Inputs!L12</f>
        <v>214.50194186524101</v>
      </c>
      <c r="O46" s="35">
        <f>+F_Inputs!M12</f>
        <v>191.79813722914599</v>
      </c>
      <c r="P46" s="35">
        <f>+F_Inputs!N12</f>
        <v>177.24734287201699</v>
      </c>
      <c r="Q46" s="59" t="s">
        <v>155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 ht="13">
      <c r="A47" s="25"/>
      <c r="B47" s="25"/>
      <c r="C47" s="44"/>
      <c r="D47" s="30" t="s">
        <v>147</v>
      </c>
      <c r="E47" s="32" t="s">
        <v>156</v>
      </c>
      <c r="F47" s="33" t="s">
        <v>134</v>
      </c>
      <c r="G47" s="40"/>
      <c r="H47" s="178"/>
      <c r="I47" s="40"/>
      <c r="J47" s="40"/>
      <c r="K47" s="40"/>
      <c r="L47" s="35">
        <f>+F_Inputs!J13</f>
        <v>0</v>
      </c>
      <c r="M47" s="35">
        <f>+F_Inputs!K13</f>
        <v>0</v>
      </c>
      <c r="N47" s="35">
        <f>+F_Inputs!L13</f>
        <v>0</v>
      </c>
      <c r="O47" s="35">
        <f>+F_Inputs!M13</f>
        <v>0</v>
      </c>
      <c r="P47" s="35">
        <f>+F_Inputs!N13</f>
        <v>0</v>
      </c>
      <c r="Q47" s="59" t="s">
        <v>157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4">
      <c r="A49" s="18"/>
      <c r="B49" s="19"/>
      <c r="C49" s="19"/>
      <c r="D49" s="20"/>
      <c r="E49" s="21" t="s">
        <v>158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 ht="13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 ht="13">
      <c r="A51" s="25"/>
      <c r="B51" s="25"/>
      <c r="C51" s="44"/>
      <c r="D51" s="25"/>
      <c r="E51" s="27" t="s">
        <v>159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 ht="13">
      <c r="A52" s="25"/>
      <c r="B52" s="25"/>
      <c r="C52" s="44"/>
      <c r="D52" s="30" t="s">
        <v>147</v>
      </c>
      <c r="E52" s="32" t="s">
        <v>47</v>
      </c>
      <c r="F52" s="33" t="s">
        <v>160</v>
      </c>
      <c r="G52" s="40"/>
      <c r="H52" s="178"/>
      <c r="I52" s="40"/>
      <c r="J52" s="40"/>
      <c r="K52" s="40"/>
      <c r="L52" s="35">
        <f>+F_Inputs!J16</f>
        <v>229.35799999999901</v>
      </c>
      <c r="M52" s="35">
        <f>+F_Inputs!K16</f>
        <v>268.72799999999899</v>
      </c>
      <c r="N52" s="35">
        <f>+F_Inputs!L16</f>
        <v>255.56899999999999</v>
      </c>
      <c r="O52" s="35">
        <f>+F_Inputs!M16</f>
        <v>247.27799999999999</v>
      </c>
      <c r="P52" s="35">
        <f>+F_Inputs!N16</f>
        <v>226.90100000000001</v>
      </c>
      <c r="Q52" s="59" t="s">
        <v>161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 ht="13">
      <c r="A53" s="25"/>
      <c r="B53" s="25"/>
      <c r="C53" s="44"/>
      <c r="D53" s="30" t="s">
        <v>147</v>
      </c>
      <c r="E53" s="32" t="s">
        <v>49</v>
      </c>
      <c r="F53" s="33" t="s">
        <v>160</v>
      </c>
      <c r="G53" s="40"/>
      <c r="H53" s="178"/>
      <c r="I53" s="40"/>
      <c r="J53" s="40"/>
      <c r="K53" s="40"/>
      <c r="L53" s="35">
        <f>+F_Inputs!J17</f>
        <v>0</v>
      </c>
      <c r="M53" s="35">
        <f>+F_Inputs!K17</f>
        <v>0</v>
      </c>
      <c r="N53" s="35">
        <f>+F_Inputs!L17</f>
        <v>0</v>
      </c>
      <c r="O53" s="35">
        <f>+F_Inputs!M17</f>
        <v>0</v>
      </c>
      <c r="P53" s="35">
        <f>+F_Inputs!N17</f>
        <v>0</v>
      </c>
      <c r="Q53" s="59" t="s">
        <v>162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 ht="13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4">
      <c r="A55" s="18"/>
      <c r="B55" s="19"/>
      <c r="C55" s="19"/>
      <c r="D55" s="20"/>
      <c r="E55" s="21" t="s">
        <v>163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4">
      <c r="A57" s="18"/>
      <c r="B57" s="19"/>
      <c r="C57" s="19"/>
      <c r="D57" s="20"/>
      <c r="E57" s="21" t="s">
        <v>164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4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 ht="13">
      <c r="A59" s="30"/>
      <c r="B59" s="30"/>
      <c r="C59" s="31"/>
      <c r="D59" s="30"/>
      <c r="E59" s="49" t="s">
        <v>165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30"/>
      <c r="B60" s="30"/>
      <c r="C60" s="31"/>
      <c r="D60" s="30" t="s">
        <v>147</v>
      </c>
      <c r="E60" s="32" t="s">
        <v>51</v>
      </c>
      <c r="F60" s="33" t="s">
        <v>160</v>
      </c>
      <c r="G60" s="30"/>
      <c r="H60" s="30"/>
      <c r="I60" s="30"/>
      <c r="J60" s="30"/>
      <c r="K60" s="50"/>
      <c r="L60" s="35">
        <f>+F_Inputs!J18</f>
        <v>2.41</v>
      </c>
      <c r="M60" s="35">
        <f>+F_Inputs!K18</f>
        <v>2.3919999999999999</v>
      </c>
      <c r="N60" s="35">
        <f>+F_Inputs!L18</f>
        <v>2.1219999999999999</v>
      </c>
      <c r="O60" s="35">
        <f>+F_Inputs!M18</f>
        <v>2.1899039999999999</v>
      </c>
      <c r="P60" s="35">
        <f>+F_Inputs!N18</f>
        <v>2.2556011200000001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 ht="13">
      <c r="A61" s="30"/>
      <c r="B61" s="30"/>
      <c r="C61" s="31"/>
      <c r="D61" s="30" t="s">
        <v>147</v>
      </c>
      <c r="E61" s="32" t="s">
        <v>53</v>
      </c>
      <c r="F61" s="33" t="s">
        <v>160</v>
      </c>
      <c r="G61" s="30"/>
      <c r="H61" s="30"/>
      <c r="I61" s="30"/>
      <c r="J61" s="30"/>
      <c r="K61" s="50"/>
      <c r="L61" s="35">
        <f>+F_Inputs!J19</f>
        <v>2.21199999999999</v>
      </c>
      <c r="M61" s="35">
        <f>+F_Inputs!K19</f>
        <v>0.16999999999999901</v>
      </c>
      <c r="N61" s="35">
        <f>+F_Inputs!L19</f>
        <v>-0.14599999999999999</v>
      </c>
      <c r="O61" s="35">
        <f>+F_Inputs!M19</f>
        <v>0.18200541400673001</v>
      </c>
      <c r="P61" s="35">
        <f>+F_Inputs!N19</f>
        <v>0.18746557642693201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 ht="13">
      <c r="A62" s="30"/>
      <c r="B62" s="30"/>
      <c r="C62" s="31"/>
      <c r="D62" s="30" t="s">
        <v>147</v>
      </c>
      <c r="E62" s="32" t="s">
        <v>166</v>
      </c>
      <c r="F62" s="33" t="s">
        <v>160</v>
      </c>
      <c r="G62" s="30"/>
      <c r="H62" s="30"/>
      <c r="I62" s="30"/>
      <c r="J62" s="30"/>
      <c r="K62" s="50"/>
      <c r="L62" s="35">
        <f>+F_Inputs!J20</f>
        <v>3.76</v>
      </c>
      <c r="M62" s="35">
        <f>+F_Inputs!K20</f>
        <v>2.1440000000000001</v>
      </c>
      <c r="N62" s="35">
        <f>+F_Inputs!L20</f>
        <v>1.798</v>
      </c>
      <c r="O62" s="35">
        <f>+F_Inputs!M20</f>
        <v>5.5</v>
      </c>
      <c r="P62" s="35">
        <f>+F_Inputs!N20</f>
        <v>4.2</v>
      </c>
      <c r="Q62" s="36" t="s">
        <v>167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30"/>
      <c r="B63" s="30"/>
      <c r="C63" s="31"/>
      <c r="D63" s="30" t="s">
        <v>147</v>
      </c>
      <c r="E63" s="32" t="s">
        <v>168</v>
      </c>
      <c r="F63" s="33" t="s">
        <v>160</v>
      </c>
      <c r="G63" s="30"/>
      <c r="H63" s="30"/>
      <c r="I63" s="30"/>
      <c r="J63" s="30"/>
      <c r="K63" s="50"/>
      <c r="L63" s="35">
        <f>+F_Inputs!J21</f>
        <v>0</v>
      </c>
      <c r="M63" s="35">
        <f>+F_Inputs!K21</f>
        <v>0</v>
      </c>
      <c r="N63" s="35">
        <f>+F_Inputs!L21</f>
        <v>0</v>
      </c>
      <c r="O63" s="35">
        <f>+F_Inputs!M21</f>
        <v>0</v>
      </c>
      <c r="P63" s="35">
        <f>+F_Inputs!N21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 ht="13">
      <c r="A64" s="30"/>
      <c r="B64" s="30"/>
      <c r="C64" s="31"/>
      <c r="D64" s="30" t="s">
        <v>147</v>
      </c>
      <c r="E64" s="32" t="s">
        <v>169</v>
      </c>
      <c r="F64" s="33" t="s">
        <v>160</v>
      </c>
      <c r="G64" s="30"/>
      <c r="H64" s="30"/>
      <c r="I64" s="30"/>
      <c r="J64" s="30"/>
      <c r="K64" s="50"/>
      <c r="L64" s="229">
        <f>+F_Inputs!J30</f>
        <v>0</v>
      </c>
      <c r="M64" s="229">
        <f>+F_Inputs!K30</f>
        <v>7.2999999999999995E-2</v>
      </c>
      <c r="N64" s="229">
        <f>+F_Inputs!L30</f>
        <v>0.42899999999999999</v>
      </c>
      <c r="O64" s="229">
        <f>+F_Inputs!M30</f>
        <v>0</v>
      </c>
      <c r="P64" s="229">
        <f>+F_Inputs!N30</f>
        <v>0</v>
      </c>
      <c r="Q64" s="36" t="s">
        <v>170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 ht="13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30"/>
      <c r="B66" s="30"/>
      <c r="C66" s="31"/>
      <c r="D66" s="30" t="s">
        <v>147</v>
      </c>
      <c r="E66" s="32" t="s">
        <v>59</v>
      </c>
      <c r="F66" s="33" t="s">
        <v>160</v>
      </c>
      <c r="G66" s="30"/>
      <c r="H66" s="30"/>
      <c r="I66" s="30"/>
      <c r="J66" s="30"/>
      <c r="K66" s="50"/>
      <c r="L66" s="35">
        <f>+F_Inputs!J22</f>
        <v>0</v>
      </c>
      <c r="M66" s="35">
        <f>+F_Inputs!K22</f>
        <v>0</v>
      </c>
      <c r="N66" s="35">
        <f>+F_Inputs!L22</f>
        <v>0</v>
      </c>
      <c r="O66" s="35">
        <f>+F_Inputs!M22</f>
        <v>0</v>
      </c>
      <c r="P66" s="35">
        <f>+F_Inputs!N22</f>
        <v>0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30"/>
      <c r="B67" s="30"/>
      <c r="C67" s="31"/>
      <c r="D67" s="30" t="s">
        <v>147</v>
      </c>
      <c r="E67" s="32" t="s">
        <v>61</v>
      </c>
      <c r="F67" s="33" t="s">
        <v>160</v>
      </c>
      <c r="G67" s="30"/>
      <c r="H67" s="30"/>
      <c r="I67" s="30"/>
      <c r="J67" s="30"/>
      <c r="K67" s="50"/>
      <c r="L67" s="35">
        <f>+F_Inputs!J23</f>
        <v>0</v>
      </c>
      <c r="M67" s="35">
        <f>+F_Inputs!K23</f>
        <v>0</v>
      </c>
      <c r="N67" s="35">
        <f>+F_Inputs!L23</f>
        <v>0</v>
      </c>
      <c r="O67" s="35">
        <f>+F_Inputs!M23</f>
        <v>0</v>
      </c>
      <c r="P67" s="35">
        <f>+F_Inputs!N23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 ht="13">
      <c r="A68" s="30"/>
      <c r="B68" s="30"/>
      <c r="C68" s="31"/>
      <c r="D68" s="30" t="s">
        <v>147</v>
      </c>
      <c r="E68" s="32" t="s">
        <v>171</v>
      </c>
      <c r="F68" s="33" t="s">
        <v>160</v>
      </c>
      <c r="G68" s="30"/>
      <c r="H68" s="30"/>
      <c r="I68" s="30"/>
      <c r="J68" s="30"/>
      <c r="K68" s="50"/>
      <c r="L68" s="35">
        <f>+F_Inputs!J24</f>
        <v>0</v>
      </c>
      <c r="M68" s="35">
        <f>+F_Inputs!K24</f>
        <v>0</v>
      </c>
      <c r="N68" s="35">
        <f>+F_Inputs!L24</f>
        <v>0</v>
      </c>
      <c r="O68" s="35">
        <f>+F_Inputs!M24</f>
        <v>0</v>
      </c>
      <c r="P68" s="35">
        <f>+F_Inputs!N24</f>
        <v>0</v>
      </c>
      <c r="Q68" s="36" t="s">
        <v>172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30"/>
      <c r="B69" s="30"/>
      <c r="C69" s="31"/>
      <c r="D69" s="30" t="s">
        <v>147</v>
      </c>
      <c r="E69" s="32" t="s">
        <v>173</v>
      </c>
      <c r="F69" s="33" t="s">
        <v>160</v>
      </c>
      <c r="G69" s="30"/>
      <c r="H69" s="30"/>
      <c r="I69" s="30"/>
      <c r="J69" s="30"/>
      <c r="K69" s="50"/>
      <c r="L69" s="35">
        <f>+F_Inputs!J25</f>
        <v>0</v>
      </c>
      <c r="M69" s="35">
        <f>+F_Inputs!K25</f>
        <v>0</v>
      </c>
      <c r="N69" s="35">
        <f>+F_Inputs!L25</f>
        <v>0</v>
      </c>
      <c r="O69" s="35">
        <f>+F_Inputs!M25</f>
        <v>0</v>
      </c>
      <c r="P69" s="35">
        <f>+F_Inputs!N25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 ht="13">
      <c r="A70" s="30"/>
      <c r="B70" s="30"/>
      <c r="C70" s="31"/>
      <c r="D70" s="30" t="s">
        <v>147</v>
      </c>
      <c r="E70" s="32" t="s">
        <v>174</v>
      </c>
      <c r="F70" s="33" t="s">
        <v>160</v>
      </c>
      <c r="G70" s="30"/>
      <c r="H70" s="30"/>
      <c r="I70" s="30"/>
      <c r="J70" s="30"/>
      <c r="K70" s="50"/>
      <c r="L70" s="229">
        <f>+F_Inputs!J31</f>
        <v>0</v>
      </c>
      <c r="M70" s="229">
        <f>+F_Inputs!K31</f>
        <v>0</v>
      </c>
      <c r="N70" s="229">
        <f>+F_Inputs!L31</f>
        <v>0</v>
      </c>
      <c r="O70" s="229">
        <f>+F_Inputs!M31</f>
        <v>0</v>
      </c>
      <c r="P70" s="229">
        <f>+F_Inputs!N31</f>
        <v>0</v>
      </c>
      <c r="Q70" s="36" t="s">
        <v>175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 ht="13">
      <c r="A71" s="30"/>
      <c r="B71" s="30"/>
      <c r="C71" s="31"/>
      <c r="D71" s="30" t="s">
        <v>147</v>
      </c>
      <c r="E71" s="32" t="s">
        <v>176</v>
      </c>
      <c r="F71" s="33" t="s">
        <v>160</v>
      </c>
      <c r="G71" s="30"/>
      <c r="H71" s="30"/>
      <c r="I71" s="30"/>
      <c r="J71" s="30"/>
      <c r="K71" s="50"/>
      <c r="L71" s="229">
        <f>+F_Inputs!J32</f>
        <v>0</v>
      </c>
      <c r="M71" s="229">
        <f>+F_Inputs!K32</f>
        <v>0</v>
      </c>
      <c r="N71" s="229">
        <f>+F_Inputs!L32</f>
        <v>0</v>
      </c>
      <c r="O71" s="229">
        <f>+F_Inputs!M32</f>
        <v>0</v>
      </c>
      <c r="P71" s="229">
        <f>+F_Inputs!N32</f>
        <v>0</v>
      </c>
      <c r="Q71" s="36" t="s">
        <v>177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 ht="13">
      <c r="A72" s="30"/>
      <c r="B72" s="30"/>
      <c r="C72" s="31"/>
      <c r="D72" s="30" t="s">
        <v>147</v>
      </c>
      <c r="E72" s="32" t="s">
        <v>178</v>
      </c>
      <c r="F72" s="33" t="s">
        <v>160</v>
      </c>
      <c r="G72" s="30"/>
      <c r="H72" s="30"/>
      <c r="I72" s="30"/>
      <c r="J72" s="30"/>
      <c r="K72" s="50"/>
      <c r="L72" s="229">
        <f>+F_Inputs!J33</f>
        <v>0</v>
      </c>
      <c r="M72" s="229">
        <f>+F_Inputs!K33</f>
        <v>0</v>
      </c>
      <c r="N72" s="229">
        <f>+F_Inputs!L33</f>
        <v>0</v>
      </c>
      <c r="O72" s="229">
        <f>+F_Inputs!M33</f>
        <v>0</v>
      </c>
      <c r="P72" s="229">
        <f>+F_Inputs!N33</f>
        <v>0</v>
      </c>
      <c r="Q72" s="36" t="s">
        <v>179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 ht="13">
      <c r="A74" s="30"/>
      <c r="B74" s="30"/>
      <c r="C74" s="31"/>
      <c r="D74" s="30"/>
      <c r="E74" s="49" t="s">
        <v>180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 ht="13">
      <c r="A75" s="30"/>
      <c r="B75" s="30"/>
      <c r="C75" s="31"/>
      <c r="D75" s="30" t="s">
        <v>147</v>
      </c>
      <c r="E75" s="32" t="s">
        <v>181</v>
      </c>
      <c r="F75" s="33" t="s">
        <v>134</v>
      </c>
      <c r="G75" s="30"/>
      <c r="H75" s="30"/>
      <c r="I75" s="30"/>
      <c r="J75" s="30"/>
      <c r="K75" s="35">
        <f>F_Inputs!I26</f>
        <v>2.1339999999999999</v>
      </c>
      <c r="L75" s="30"/>
      <c r="M75" s="30"/>
      <c r="N75" s="30"/>
      <c r="O75" s="30"/>
      <c r="P75" s="30"/>
      <c r="Q75" s="36" t="s">
        <v>182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 ht="13">
      <c r="A76" s="30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 ht="13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 ht="13">
      <c r="A78" s="30"/>
      <c r="B78" s="30"/>
      <c r="C78" s="31"/>
      <c r="D78" s="30" t="s">
        <v>147</v>
      </c>
      <c r="E78" s="32" t="s">
        <v>183</v>
      </c>
      <c r="F78" s="33" t="s">
        <v>134</v>
      </c>
      <c r="G78" s="30"/>
      <c r="H78" s="30"/>
      <c r="I78" s="30"/>
      <c r="J78" s="30"/>
      <c r="K78" s="35">
        <f>F_Inputs!I27</f>
        <v>0</v>
      </c>
      <c r="L78" s="30"/>
      <c r="M78" s="30"/>
      <c r="N78" s="30"/>
      <c r="O78" s="30"/>
      <c r="P78" s="30"/>
      <c r="Q78" s="36" t="s">
        <v>184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 ht="13">
      <c r="A79" s="30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5"/>
    <row r="81" spans="1:24" s="22" customFormat="1" ht="14">
      <c r="A81" s="18"/>
      <c r="B81" s="19"/>
      <c r="C81" s="19"/>
      <c r="D81" s="20"/>
      <c r="E81" s="21" t="s">
        <v>185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3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4">
      <c r="A83" s="18"/>
      <c r="B83" s="19"/>
      <c r="C83" s="19"/>
      <c r="D83" s="20"/>
      <c r="E83" s="21" t="s">
        <v>186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3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 ht="13">
      <c r="A85" s="25"/>
      <c r="B85" s="25"/>
      <c r="C85" s="51"/>
      <c r="D85" s="12"/>
      <c r="E85" s="49" t="s">
        <v>187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 ht="13">
      <c r="A86" s="25"/>
      <c r="B86" s="25"/>
      <c r="C86" s="51"/>
      <c r="D86" s="28" t="s">
        <v>188</v>
      </c>
      <c r="E86" s="32" t="s">
        <v>189</v>
      </c>
      <c r="F86" s="12"/>
      <c r="G86" s="12"/>
      <c r="H86" s="57">
        <v>0.55000000000000004</v>
      </c>
      <c r="I86" s="36" t="s">
        <v>190</v>
      </c>
      <c r="J86" s="25"/>
      <c r="K86" s="159"/>
      <c r="Q86" s="25"/>
      <c r="R86" s="25"/>
      <c r="S86" s="25"/>
      <c r="T86" s="25"/>
      <c r="U86" s="25"/>
      <c r="V86" s="41"/>
    </row>
    <row r="87" spans="1:24" ht="13">
      <c r="A87" s="25"/>
      <c r="B87" s="25"/>
      <c r="C87" s="51"/>
      <c r="D87" s="28" t="s">
        <v>188</v>
      </c>
      <c r="E87" s="32" t="s">
        <v>191</v>
      </c>
      <c r="F87" s="12"/>
      <c r="G87" s="12"/>
      <c r="H87" s="57">
        <v>0.5</v>
      </c>
      <c r="I87" s="36" t="s">
        <v>192</v>
      </c>
      <c r="J87" s="25"/>
      <c r="K87" s="25"/>
      <c r="Q87" s="25"/>
      <c r="R87" s="25"/>
      <c r="S87" s="25"/>
      <c r="T87" s="25"/>
      <c r="U87" s="25"/>
      <c r="V87" s="41"/>
    </row>
    <row r="88" spans="1:24" ht="13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 ht="13">
      <c r="A89" s="25"/>
      <c r="B89" s="25"/>
      <c r="C89" s="51"/>
      <c r="D89" s="25"/>
      <c r="E89" s="49" t="s">
        <v>193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 ht="13">
      <c r="A90" s="25"/>
      <c r="B90" s="25"/>
      <c r="C90" s="51"/>
      <c r="D90" s="28" t="s">
        <v>194</v>
      </c>
      <c r="E90" s="32" t="s">
        <v>195</v>
      </c>
      <c r="F90" s="25"/>
      <c r="G90" s="25"/>
      <c r="H90" s="53">
        <v>115</v>
      </c>
      <c r="I90" s="36" t="s">
        <v>196</v>
      </c>
      <c r="J90" s="25"/>
      <c r="K90" s="25"/>
      <c r="Q90" s="25"/>
      <c r="R90" s="25"/>
      <c r="S90" s="25"/>
      <c r="T90" s="25"/>
      <c r="U90" s="25"/>
      <c r="V90" s="41"/>
    </row>
    <row r="91" spans="1:24" ht="13">
      <c r="A91" s="25"/>
      <c r="B91" s="25"/>
      <c r="C91" s="51"/>
      <c r="D91" s="28" t="s">
        <v>194</v>
      </c>
      <c r="E91" s="32" t="s">
        <v>197</v>
      </c>
      <c r="H91" s="53">
        <v>130</v>
      </c>
      <c r="I91" s="36" t="s">
        <v>198</v>
      </c>
      <c r="J91" s="25"/>
      <c r="K91" s="25"/>
      <c r="Q91" s="25"/>
      <c r="R91" s="25"/>
      <c r="S91" s="25"/>
      <c r="T91" s="25"/>
      <c r="U91" s="25"/>
      <c r="V91" s="41"/>
    </row>
    <row r="92" spans="1:24" ht="13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 ht="13">
      <c r="A93" s="25"/>
      <c r="B93" s="25"/>
      <c r="C93" s="51"/>
      <c r="D93" s="28" t="s">
        <v>194</v>
      </c>
      <c r="E93" s="32" t="s">
        <v>199</v>
      </c>
      <c r="F93" s="25"/>
      <c r="G93" s="25"/>
      <c r="H93" s="53">
        <v>80</v>
      </c>
      <c r="I93" s="36" t="s">
        <v>200</v>
      </c>
      <c r="J93" s="25"/>
      <c r="K93" s="25"/>
      <c r="Q93" s="25"/>
      <c r="R93" s="25"/>
      <c r="S93" s="25"/>
      <c r="T93" s="25"/>
      <c r="U93" s="25"/>
      <c r="V93" s="41"/>
    </row>
    <row r="94" spans="1:24" ht="13">
      <c r="A94" s="25"/>
      <c r="B94" s="25"/>
      <c r="C94" s="51"/>
      <c r="D94" s="28" t="s">
        <v>194</v>
      </c>
      <c r="E94" s="32" t="s">
        <v>201</v>
      </c>
      <c r="F94" s="25"/>
      <c r="G94" s="25"/>
      <c r="H94" s="53">
        <v>80</v>
      </c>
      <c r="I94" s="36" t="s">
        <v>202</v>
      </c>
      <c r="J94" s="25"/>
      <c r="K94" s="25"/>
      <c r="Q94" s="25"/>
      <c r="R94" s="25"/>
      <c r="S94" s="25"/>
      <c r="T94" s="25"/>
      <c r="U94" s="25"/>
      <c r="V94" s="41"/>
    </row>
    <row r="95" spans="1:24" ht="13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 ht="13">
      <c r="A96" s="25"/>
      <c r="B96" s="25"/>
      <c r="C96" s="51"/>
      <c r="D96" s="28" t="s">
        <v>194</v>
      </c>
      <c r="E96" s="46" t="s">
        <v>203</v>
      </c>
      <c r="F96" s="25"/>
      <c r="G96" s="25"/>
      <c r="H96" s="53">
        <f>IF(Enhanced.Flag,UB.Enhanced,UB.NonEnhanced)</f>
        <v>115</v>
      </c>
      <c r="I96" s="36" t="s">
        <v>204</v>
      </c>
      <c r="J96" s="25"/>
      <c r="K96" s="25"/>
      <c r="Q96" s="25"/>
      <c r="R96" s="25"/>
      <c r="S96" s="25"/>
      <c r="T96" s="25"/>
      <c r="U96" s="25"/>
      <c r="V96" s="41"/>
    </row>
    <row r="97" spans="1:24" ht="13">
      <c r="A97" s="25"/>
      <c r="B97" s="25"/>
      <c r="C97" s="51"/>
      <c r="D97" s="28" t="s">
        <v>194</v>
      </c>
      <c r="E97" s="46" t="s">
        <v>205</v>
      </c>
      <c r="F97" s="25"/>
      <c r="G97" s="25"/>
      <c r="H97" s="53">
        <f>IF(Enhanced.Flag,LB.Enhanced,LB.NonEnhanced)</f>
        <v>80</v>
      </c>
      <c r="I97" s="36" t="s">
        <v>206</v>
      </c>
      <c r="J97" s="25"/>
      <c r="K97" s="25"/>
      <c r="Q97" s="25"/>
      <c r="R97" s="25"/>
      <c r="S97" s="25"/>
      <c r="T97" s="25"/>
      <c r="U97" s="25"/>
      <c r="V97" s="41"/>
    </row>
    <row r="98" spans="1:24" ht="13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 ht="13">
      <c r="A99" s="25"/>
      <c r="B99" s="25"/>
      <c r="C99" s="51"/>
      <c r="D99" s="25"/>
      <c r="E99" s="54" t="s">
        <v>207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 ht="13">
      <c r="A100" s="25"/>
      <c r="B100" s="25"/>
      <c r="C100" s="51"/>
      <c r="D100" s="28" t="s">
        <v>194</v>
      </c>
      <c r="E100" s="55" t="s">
        <v>208</v>
      </c>
      <c r="F100" s="12"/>
      <c r="G100" s="12"/>
      <c r="H100" s="53">
        <v>100</v>
      </c>
      <c r="I100" s="36" t="s">
        <v>209</v>
      </c>
      <c r="J100" s="25"/>
      <c r="K100" s="25"/>
      <c r="Q100" s="25"/>
      <c r="R100" s="25"/>
      <c r="S100" s="25"/>
      <c r="T100" s="25"/>
      <c r="U100" s="25"/>
      <c r="V100" s="41"/>
    </row>
    <row r="101" spans="1:24" ht="13">
      <c r="A101" s="25"/>
      <c r="B101" s="25"/>
      <c r="C101" s="51"/>
      <c r="D101" s="28" t="s">
        <v>194</v>
      </c>
      <c r="E101" s="55" t="s">
        <v>210</v>
      </c>
      <c r="F101" s="12"/>
      <c r="G101" s="12"/>
      <c r="H101" s="53">
        <v>100</v>
      </c>
      <c r="I101" s="36" t="s">
        <v>211</v>
      </c>
      <c r="J101" s="25"/>
      <c r="K101" s="25"/>
      <c r="Q101" s="25"/>
      <c r="R101" s="25"/>
      <c r="S101" s="25"/>
      <c r="T101" s="25"/>
      <c r="U101" s="25"/>
      <c r="V101" s="41"/>
    </row>
    <row r="102" spans="1:24" ht="13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 ht="13">
      <c r="A103" s="25"/>
      <c r="B103" s="25"/>
      <c r="C103" s="51"/>
      <c r="D103" s="12"/>
      <c r="E103" s="54" t="s">
        <v>212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 ht="13">
      <c r="A104" s="25"/>
      <c r="B104" s="25"/>
      <c r="C104" s="51"/>
      <c r="D104" s="30" t="s">
        <v>188</v>
      </c>
      <c r="E104" s="56" t="s">
        <v>213</v>
      </c>
      <c r="F104" s="12"/>
      <c r="G104" s="12"/>
      <c r="H104" s="57">
        <f>IF(Enhanced.Flag,Enhanced.Baseline,NonEnhanced.Baseline)</f>
        <v>0.55000000000000004</v>
      </c>
      <c r="I104" s="36" t="s">
        <v>214</v>
      </c>
      <c r="J104" s="25"/>
      <c r="K104" s="25"/>
      <c r="Q104" s="25"/>
      <c r="R104" s="25"/>
      <c r="S104" s="25"/>
      <c r="T104" s="25"/>
      <c r="U104" s="25"/>
      <c r="V104" s="41"/>
    </row>
    <row r="105" spans="1:24" ht="13">
      <c r="A105" s="25"/>
      <c r="B105" s="25"/>
      <c r="C105" s="51"/>
      <c r="D105" s="30" t="s">
        <v>215</v>
      </c>
      <c r="E105" s="56" t="s">
        <v>216</v>
      </c>
      <c r="F105" s="12"/>
      <c r="G105" s="12"/>
      <c r="H105" s="62">
        <f>-0.2%</f>
        <v>-2E-3</v>
      </c>
      <c r="I105" s="36" t="s">
        <v>217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 ht="13">
      <c r="E107" s="54" t="s">
        <v>218</v>
      </c>
      <c r="I107" s="58"/>
    </row>
    <row r="108" spans="1:24" s="3" customFormat="1" ht="13">
      <c r="D108" s="3" t="s">
        <v>219</v>
      </c>
      <c r="E108" s="56" t="s">
        <v>220</v>
      </c>
      <c r="F108" s="30"/>
      <c r="G108" s="30"/>
      <c r="H108" s="194">
        <v>0.75</v>
      </c>
      <c r="I108" s="59" t="s">
        <v>221</v>
      </c>
    </row>
    <row r="109" spans="1:24" s="3" customFormat="1" ht="13">
      <c r="D109" s="3" t="s">
        <v>219</v>
      </c>
      <c r="E109" s="56" t="s">
        <v>222</v>
      </c>
      <c r="F109" s="30"/>
      <c r="G109" s="30"/>
      <c r="H109" s="194">
        <v>0.25</v>
      </c>
      <c r="I109" s="59" t="s">
        <v>223</v>
      </c>
    </row>
    <row r="110" spans="1:24" s="3" customFormat="1">
      <c r="H110" s="30"/>
    </row>
    <row r="111" spans="1:24" s="3" customFormat="1"/>
    <row r="112" spans="1:24" s="22" customFormat="1" ht="14">
      <c r="A112" s="18"/>
      <c r="B112" s="19"/>
      <c r="C112" s="19"/>
      <c r="D112" s="20"/>
      <c r="E112" s="21" t="s">
        <v>224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 ht="13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 ht="13">
      <c r="A114" s="30"/>
      <c r="B114" s="30"/>
      <c r="C114" s="31"/>
      <c r="D114" s="30"/>
      <c r="E114" s="49" t="s">
        <v>225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 ht="13">
      <c r="A115" s="30"/>
      <c r="B115" s="30"/>
      <c r="C115" s="31"/>
      <c r="D115" s="30" t="s">
        <v>20</v>
      </c>
      <c r="E115" s="32" t="s">
        <v>226</v>
      </c>
      <c r="G115" s="30"/>
      <c r="H115" s="60">
        <f>Company.Baseline-(100*Company.Slope)</f>
        <v>0.75</v>
      </c>
      <c r="I115" s="61" t="s">
        <v>227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 ht="13">
      <c r="A116" s="30"/>
      <c r="B116" s="30"/>
      <c r="C116" s="31"/>
      <c r="D116" s="30" t="s">
        <v>20</v>
      </c>
      <c r="E116" s="32" t="s">
        <v>228</v>
      </c>
      <c r="F116" s="33"/>
      <c r="G116" s="30"/>
      <c r="H116" s="62">
        <f>Company.Slope</f>
        <v>-2E-3</v>
      </c>
      <c r="I116" s="61" t="s">
        <v>229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 ht="13">
      <c r="A117" s="30"/>
      <c r="B117" s="30"/>
      <c r="C117" s="31"/>
      <c r="D117" s="30" t="s">
        <v>20</v>
      </c>
      <c r="E117" s="32" t="s">
        <v>230</v>
      </c>
      <c r="F117" s="33"/>
      <c r="G117" s="30"/>
      <c r="H117" s="60">
        <f>100*OfwatBaseline.Int</f>
        <v>75</v>
      </c>
      <c r="I117" s="61" t="s">
        <v>231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 ht="13">
      <c r="A118" s="30"/>
      <c r="B118" s="30"/>
      <c r="C118" s="31"/>
      <c r="D118" s="30" t="s">
        <v>20</v>
      </c>
      <c r="E118" s="32" t="s">
        <v>232</v>
      </c>
      <c r="F118" s="33"/>
      <c r="G118" s="30"/>
      <c r="H118" s="60">
        <f>CompanyForecase.Int</f>
        <v>0.25</v>
      </c>
      <c r="I118" s="61" t="s">
        <v>233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 ht="13">
      <c r="A119" s="30"/>
      <c r="B119" s="30"/>
      <c r="C119" s="31"/>
      <c r="D119" s="30" t="s">
        <v>20</v>
      </c>
      <c r="E119" s="32" t="s">
        <v>234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8.75</v>
      </c>
      <c r="I119" s="61" t="s">
        <v>235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 ht="13">
      <c r="A120" s="30"/>
      <c r="B120" s="30"/>
      <c r="C120" s="31"/>
      <c r="D120" s="30" t="s">
        <v>20</v>
      </c>
      <c r="E120" s="32" t="s">
        <v>236</v>
      </c>
      <c r="F120" s="33"/>
      <c r="G120" s="30"/>
      <c r="H120" s="63">
        <f>0-Eff.Inc.Slope*Allowed.Exp.Constant+0-Allowed.Exp.Slope*Eff.Inc.Constant</f>
        <v>-3.7500000000000006E-2</v>
      </c>
      <c r="I120" s="61" t="s">
        <v>237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 ht="13">
      <c r="A121" s="30"/>
      <c r="B121" s="30"/>
      <c r="C121" s="31"/>
      <c r="D121" s="30" t="s">
        <v>20</v>
      </c>
      <c r="E121" s="32" t="s">
        <v>238</v>
      </c>
      <c r="F121" s="33"/>
      <c r="G121" s="30"/>
      <c r="H121" s="63">
        <f>(0-Allowed.Exp.Slope+0.5)*Eff.Inc.Slope</f>
        <v>-5.0000000000000001E-4</v>
      </c>
      <c r="I121" s="61" t="s">
        <v>239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 ht="13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4">
      <c r="A123" s="18"/>
      <c r="B123" s="19"/>
      <c r="C123" s="19"/>
      <c r="D123" s="20"/>
      <c r="E123" s="21" t="s">
        <v>240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 ht="13">
      <c r="D125" s="30" t="s">
        <v>121</v>
      </c>
      <c r="E125" s="39" t="s">
        <v>241</v>
      </c>
      <c r="F125" s="33"/>
      <c r="L125" s="179">
        <f>+F_Inputs!J28</f>
        <v>0.69113999999999998</v>
      </c>
      <c r="M125" s="179">
        <f>+F_Inputs!K28</f>
        <v>0.67435999999999996</v>
      </c>
      <c r="N125" s="179">
        <f>+F_Inputs!L28</f>
        <v>0.74736000000000002</v>
      </c>
      <c r="O125" s="179">
        <f>+F_Inputs!M28</f>
        <v>0.81936999999999705</v>
      </c>
      <c r="P125" s="179">
        <f>+F_Inputs!N28</f>
        <v>0.87666999999999995</v>
      </c>
      <c r="Q125" s="61" t="s">
        <v>242</v>
      </c>
    </row>
    <row r="126" spans="1:27" ht="13">
      <c r="D126" s="30" t="s">
        <v>121</v>
      </c>
      <c r="E126" s="39" t="s">
        <v>243</v>
      </c>
      <c r="F126" s="33"/>
      <c r="L126" s="179">
        <f>+F_Inputs!J29</f>
        <v>0</v>
      </c>
      <c r="M126" s="179">
        <f>+F_Inputs!K29</f>
        <v>0</v>
      </c>
      <c r="N126" s="179">
        <f>+F_Inputs!L29</f>
        <v>0</v>
      </c>
      <c r="O126" s="179">
        <f>+F_Inputs!M29</f>
        <v>0</v>
      </c>
      <c r="P126" s="179">
        <f>+F_Inputs!N29</f>
        <v>0</v>
      </c>
      <c r="Q126" s="61" t="s">
        <v>244</v>
      </c>
    </row>
    <row r="127" spans="1:27"/>
    <row r="128" spans="1:27" s="22" customFormat="1" ht="14">
      <c r="A128" s="18"/>
      <c r="B128" s="19"/>
      <c r="C128" s="19"/>
      <c r="D128" s="20"/>
      <c r="E128" s="21" t="s">
        <v>245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72</v>
      </c>
      <c r="E130" s="39" t="s">
        <v>246</v>
      </c>
      <c r="H130" s="179"/>
    </row>
    <row r="131" spans="1:24">
      <c r="D131" s="3" t="s">
        <v>20</v>
      </c>
      <c r="E131" s="39" t="s">
        <v>247</v>
      </c>
      <c r="H131" s="60">
        <f>EffInc.Coeff.Water</f>
        <v>0.56059999999999999</v>
      </c>
    </row>
    <row r="132" spans="1:24" ht="12" customHeight="1">
      <c r="D132" s="30" t="s">
        <v>72</v>
      </c>
      <c r="E132" s="39" t="s">
        <v>248</v>
      </c>
      <c r="H132" s="164">
        <f>AllExp.Coeff.Water/100</f>
        <v>0.98675000000000002</v>
      </c>
    </row>
    <row r="133" spans="1:24" ht="14.5">
      <c r="E133" s="177"/>
      <c r="F133"/>
    </row>
    <row r="134" spans="1:24">
      <c r="D134" s="3" t="s">
        <v>127</v>
      </c>
      <c r="E134" s="39" t="s">
        <v>249</v>
      </c>
      <c r="F134" s="33" t="s">
        <v>134</v>
      </c>
      <c r="L134" s="165"/>
      <c r="M134" s="165"/>
      <c r="N134" s="166"/>
      <c r="O134" s="166"/>
      <c r="P134" s="166"/>
      <c r="V134" s="30"/>
    </row>
    <row r="135" spans="1:24">
      <c r="D135" s="3" t="s">
        <v>127</v>
      </c>
      <c r="E135" s="39" t="s">
        <v>249</v>
      </c>
      <c r="F135" s="33" t="s">
        <v>250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5"/>
    <row r="137" spans="1:24">
      <c r="D137" s="3" t="s">
        <v>127</v>
      </c>
      <c r="E137" s="39" t="s">
        <v>251</v>
      </c>
      <c r="F137" s="33" t="s">
        <v>250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 ht="13">
      <c r="E139" s="49" t="s">
        <v>252</v>
      </c>
      <c r="V139" s="30"/>
    </row>
    <row r="140" spans="1:24" ht="13">
      <c r="D140" s="3" t="s">
        <v>127</v>
      </c>
      <c r="E140" s="32" t="s">
        <v>253</v>
      </c>
      <c r="F140" s="33" t="s">
        <v>250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254</v>
      </c>
      <c r="V140" s="30"/>
    </row>
    <row r="141" spans="1:24">
      <c r="D141" s="3"/>
      <c r="E141" s="32"/>
      <c r="F141" s="33"/>
      <c r="V141" s="30"/>
    </row>
    <row r="142" spans="1:24" s="22" customFormat="1" ht="14">
      <c r="A142" s="18"/>
      <c r="B142" s="19"/>
      <c r="C142" s="19"/>
      <c r="D142" s="20"/>
      <c r="E142" s="21" t="s">
        <v>255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3">
      <c r="D143" s="3"/>
      <c r="F143" s="33"/>
      <c r="Q143" s="61"/>
      <c r="V143" s="30"/>
    </row>
    <row r="144" spans="1:24" ht="13">
      <c r="D144" s="30" t="s">
        <v>72</v>
      </c>
      <c r="E144" s="39" t="s">
        <v>256</v>
      </c>
      <c r="F144" s="33"/>
      <c r="H144" s="188">
        <v>0.75</v>
      </c>
      <c r="Q144" s="61"/>
      <c r="V144" s="30"/>
    </row>
    <row r="145" spans="1:27" ht="13">
      <c r="D145" s="3"/>
      <c r="F145" s="33"/>
      <c r="Q145" s="61"/>
      <c r="V145" s="30"/>
    </row>
    <row r="146" spans="1:27" ht="13">
      <c r="D146" s="3" t="s">
        <v>127</v>
      </c>
      <c r="E146" s="186" t="s">
        <v>257</v>
      </c>
      <c r="F146" s="33" t="s">
        <v>250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127</v>
      </c>
      <c r="E147" s="187" t="s">
        <v>258</v>
      </c>
      <c r="F147" s="33" t="s">
        <v>250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259</v>
      </c>
      <c r="V147" s="30"/>
    </row>
    <row r="148" spans="1:27" ht="13">
      <c r="E148" s="30"/>
      <c r="F148" s="33"/>
      <c r="Q148" s="61"/>
      <c r="V148" s="30"/>
    </row>
    <row r="149" spans="1:27" s="22" customFormat="1" ht="14">
      <c r="A149" s="18"/>
      <c r="B149" s="19"/>
      <c r="C149" s="19"/>
      <c r="D149" s="20"/>
      <c r="E149" s="21" t="s">
        <v>260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 ht="13">
      <c r="D150" s="3"/>
      <c r="F150" s="33"/>
      <c r="Q150" s="61"/>
      <c r="V150" s="30"/>
    </row>
    <row r="151" spans="1:27" ht="13">
      <c r="D151" s="3" t="s">
        <v>127</v>
      </c>
      <c r="E151" s="186" t="s">
        <v>261</v>
      </c>
      <c r="F151" s="33" t="s">
        <v>134</v>
      </c>
      <c r="L151" s="35"/>
      <c r="M151" s="43"/>
      <c r="N151" s="43"/>
      <c r="O151" s="43"/>
      <c r="P151" s="43"/>
      <c r="Q151" s="61"/>
      <c r="V151" s="30"/>
    </row>
    <row r="152" spans="1:27" ht="13.5" thickBot="1">
      <c r="E152" s="30"/>
      <c r="F152" s="33"/>
      <c r="Q152" s="61"/>
      <c r="V152" s="30"/>
    </row>
    <row r="153" spans="1:27" ht="13.5" thickBot="1">
      <c r="A153" s="65" t="s">
        <v>262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X190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54296875" style="3" customWidth="1"/>
    <col min="4" max="4" width="9.36328125" style="3" bestFit="1" customWidth="1"/>
    <col min="5" max="5" width="49.7265625" style="91" customWidth="1"/>
    <col min="6" max="6" width="20.36328125" style="91" customWidth="1"/>
    <col min="7" max="7" width="14.54296875" style="91" customWidth="1"/>
    <col min="8" max="8" width="14.36328125" style="3" customWidth="1"/>
    <col min="9" max="9" width="11.36328125" style="3" customWidth="1"/>
    <col min="10" max="10" width="11.54296875" style="3" customWidth="1"/>
    <col min="11" max="17" width="11.08984375" style="3" customWidth="1"/>
    <col min="18" max="20" width="11.54296875" style="3" customWidth="1"/>
    <col min="21" max="21" width="9.54296875" style="3" customWidth="1"/>
    <col min="22" max="22" width="3.54296875" style="3" customWidth="1"/>
    <col min="23" max="23" width="106.08984375" style="3" bestFit="1" customWidth="1"/>
    <col min="24" max="24" width="3.54296875" style="74" customWidth="1"/>
    <col min="25" max="25" width="13.54296875" style="3" hidden="1" customWidth="1"/>
    <col min="26" max="38" width="9.08984375" style="3" hidden="1" customWidth="1"/>
    <col min="39" max="39" width="10.08984375" style="3" hidden="1" customWidth="1"/>
    <col min="40" max="16384" width="9.08984375" style="3" hidden="1"/>
  </cols>
  <sheetData>
    <row r="1" spans="1:29" s="2" customFormat="1" ht="32.5">
      <c r="A1" s="1"/>
      <c r="B1" s="1"/>
      <c r="C1" s="1"/>
      <c r="D1" s="181"/>
      <c r="E1" s="1" t="s">
        <v>263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0"/>
      <c r="B2" s="231"/>
      <c r="C2" s="232"/>
      <c r="D2" s="233"/>
      <c r="E2" s="234"/>
      <c r="F2" s="234"/>
      <c r="G2" s="234"/>
      <c r="H2" s="235"/>
      <c r="I2" s="236"/>
      <c r="J2" s="236"/>
      <c r="K2" s="236"/>
      <c r="L2" s="236"/>
      <c r="M2" s="236"/>
      <c r="N2" s="236"/>
      <c r="O2" s="236"/>
      <c r="P2" s="236"/>
      <c r="Q2" s="236"/>
      <c r="R2" s="237"/>
      <c r="S2" s="237"/>
      <c r="T2" s="237"/>
      <c r="U2" s="236"/>
      <c r="V2" s="236"/>
      <c r="W2" s="236"/>
      <c r="X2" s="238"/>
      <c r="Y2" s="69"/>
      <c r="Z2" s="69"/>
      <c r="AA2" s="69"/>
      <c r="AB2" s="69"/>
      <c r="AC2" s="69"/>
    </row>
    <row r="3" spans="1:29" ht="12.75" customHeight="1">
      <c r="A3" s="239"/>
      <c r="B3" s="240"/>
      <c r="C3" s="241"/>
      <c r="D3" s="242" t="s">
        <v>108</v>
      </c>
      <c r="E3" s="243" t="s">
        <v>108</v>
      </c>
      <c r="F3" s="244"/>
      <c r="G3" s="244"/>
      <c r="H3" s="237"/>
      <c r="I3" s="245" t="str">
        <f t="shared" ref="I3:U3" si="0">AMP.Years</f>
        <v>2012-13</v>
      </c>
      <c r="J3" s="245" t="str">
        <f t="shared" si="0"/>
        <v>2013-14</v>
      </c>
      <c r="K3" s="245" t="str">
        <f t="shared" si="0"/>
        <v>2014-15</v>
      </c>
      <c r="L3" s="246" t="str">
        <f t="shared" si="0"/>
        <v>2015-16</v>
      </c>
      <c r="M3" s="246" t="str">
        <f t="shared" si="0"/>
        <v>2016-17</v>
      </c>
      <c r="N3" s="246" t="str">
        <f t="shared" si="0"/>
        <v>2017-18</v>
      </c>
      <c r="O3" s="246" t="str">
        <f t="shared" si="0"/>
        <v>2018-19</v>
      </c>
      <c r="P3" s="246" t="str">
        <f t="shared" si="0"/>
        <v>2019-20</v>
      </c>
      <c r="Q3" s="245" t="str">
        <f t="shared" si="0"/>
        <v>2020-21</v>
      </c>
      <c r="R3" s="245" t="str">
        <f t="shared" si="0"/>
        <v>2021-22</v>
      </c>
      <c r="S3" s="245" t="str">
        <f t="shared" si="0"/>
        <v>2022-23</v>
      </c>
      <c r="T3" s="245" t="str">
        <f t="shared" si="0"/>
        <v>2023-24</v>
      </c>
      <c r="U3" s="245" t="str">
        <f t="shared" si="0"/>
        <v>2024-25</v>
      </c>
      <c r="V3" s="247"/>
      <c r="W3" s="247"/>
      <c r="X3" s="247"/>
      <c r="Y3" s="69"/>
      <c r="Z3" s="69"/>
      <c r="AA3" s="70"/>
      <c r="AB3" s="71"/>
      <c r="AC3" s="71"/>
    </row>
    <row r="4" spans="1:29" ht="13">
      <c r="A4" s="248"/>
      <c r="B4" s="249"/>
      <c r="C4" s="250"/>
      <c r="D4" s="251"/>
      <c r="E4" s="243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52"/>
      <c r="W4" s="252"/>
      <c r="X4" s="253"/>
      <c r="Y4" s="72"/>
      <c r="Z4" s="72"/>
      <c r="AA4" s="70"/>
      <c r="AB4" s="71"/>
      <c r="AC4" s="71"/>
    </row>
    <row r="5" spans="1:29" ht="13">
      <c r="A5" s="254"/>
      <c r="B5" s="249"/>
      <c r="C5" s="255"/>
      <c r="D5" s="251" t="s">
        <v>194</v>
      </c>
      <c r="E5" s="243" t="s">
        <v>109</v>
      </c>
      <c r="F5" s="256"/>
      <c r="G5" s="256"/>
      <c r="H5" s="237"/>
      <c r="I5" s="256">
        <f t="shared" ref="I5:U5" si="1">Calendar.Years</f>
        <v>2012</v>
      </c>
      <c r="J5" s="256">
        <f t="shared" si="1"/>
        <v>2013</v>
      </c>
      <c r="K5" s="256">
        <f t="shared" si="1"/>
        <v>2014</v>
      </c>
      <c r="L5" s="256">
        <f t="shared" si="1"/>
        <v>2015</v>
      </c>
      <c r="M5" s="256">
        <f t="shared" si="1"/>
        <v>2016</v>
      </c>
      <c r="N5" s="256">
        <f t="shared" si="1"/>
        <v>2017</v>
      </c>
      <c r="O5" s="256">
        <f t="shared" si="1"/>
        <v>2018</v>
      </c>
      <c r="P5" s="256">
        <f t="shared" si="1"/>
        <v>2019</v>
      </c>
      <c r="Q5" s="256">
        <f t="shared" si="1"/>
        <v>2020</v>
      </c>
      <c r="R5" s="256">
        <f t="shared" si="1"/>
        <v>2021</v>
      </c>
      <c r="S5" s="256">
        <f t="shared" si="1"/>
        <v>2022</v>
      </c>
      <c r="T5" s="256">
        <f t="shared" si="1"/>
        <v>2023</v>
      </c>
      <c r="U5" s="256">
        <f t="shared" si="1"/>
        <v>2024</v>
      </c>
      <c r="V5" s="249"/>
      <c r="W5" s="249"/>
      <c r="X5" s="253"/>
      <c r="Y5" s="72"/>
      <c r="Z5" s="72"/>
      <c r="AA5" s="73"/>
      <c r="AB5" s="71"/>
      <c r="AC5" s="71"/>
    </row>
    <row r="6" spans="1:29" ht="12.75" customHeight="1">
      <c r="A6" s="237"/>
      <c r="B6" s="237"/>
      <c r="C6" s="237"/>
      <c r="D6" s="237"/>
      <c r="E6" s="243" t="s">
        <v>110</v>
      </c>
      <c r="F6" s="256"/>
      <c r="G6" s="256"/>
      <c r="H6" s="237"/>
      <c r="I6" s="257">
        <v>-2</v>
      </c>
      <c r="J6" s="257">
        <v>-1</v>
      </c>
      <c r="K6" s="257">
        <v>0</v>
      </c>
      <c r="L6" s="257">
        <v>1</v>
      </c>
      <c r="M6" s="257">
        <v>2</v>
      </c>
      <c r="N6" s="257">
        <v>3</v>
      </c>
      <c r="O6" s="257">
        <v>4</v>
      </c>
      <c r="P6" s="257">
        <v>5</v>
      </c>
      <c r="Q6" s="257">
        <v>6</v>
      </c>
      <c r="R6" s="257">
        <v>7</v>
      </c>
      <c r="S6" s="257">
        <v>8</v>
      </c>
      <c r="T6" s="257">
        <v>9</v>
      </c>
      <c r="U6" s="257">
        <v>10</v>
      </c>
      <c r="V6" s="237"/>
      <c r="W6" s="258" t="s">
        <v>264</v>
      </c>
      <c r="X6" s="259"/>
    </row>
    <row r="7" spans="1:29" ht="12.75" customHeight="1">
      <c r="A7" s="237"/>
      <c r="B7" s="237"/>
      <c r="C7" s="237"/>
      <c r="D7" s="237"/>
      <c r="E7" s="237" t="s">
        <v>111</v>
      </c>
      <c r="F7" s="237"/>
      <c r="G7" s="237"/>
      <c r="H7" s="237"/>
      <c r="I7" s="237"/>
      <c r="J7" s="237"/>
      <c r="K7" s="237"/>
      <c r="L7" s="260">
        <v>4</v>
      </c>
      <c r="M7" s="260">
        <v>3</v>
      </c>
      <c r="N7" s="260">
        <v>2</v>
      </c>
      <c r="O7" s="260">
        <v>1</v>
      </c>
      <c r="P7" s="260">
        <v>0</v>
      </c>
      <c r="Q7" s="237"/>
      <c r="R7" s="237"/>
      <c r="S7" s="237"/>
      <c r="T7" s="237"/>
      <c r="U7" s="237"/>
      <c r="V7" s="237"/>
      <c r="W7" s="237"/>
      <c r="X7" s="237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4">
      <c r="A9" s="19"/>
      <c r="B9" s="19"/>
      <c r="C9" s="19"/>
      <c r="D9" s="182"/>
      <c r="E9" s="21" t="s">
        <v>265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4">
      <c r="A11" s="19"/>
      <c r="B11" s="19"/>
      <c r="C11" s="19"/>
      <c r="D11" s="182"/>
      <c r="E11" s="21" t="s">
        <v>266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 ht="13">
      <c r="D13" s="30"/>
      <c r="E13" s="78" t="s">
        <v>159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147</v>
      </c>
      <c r="E14" s="32" t="s">
        <v>267</v>
      </c>
      <c r="F14" s="33" t="s">
        <v>134</v>
      </c>
      <c r="G14" s="77"/>
      <c r="I14" s="79"/>
      <c r="J14" s="79"/>
      <c r="K14" s="79"/>
      <c r="L14" s="50">
        <f>Actual.Totex.Water/Indexation.Average</f>
        <v>216.31055627649909</v>
      </c>
      <c r="M14" s="50">
        <f>Actual.Totex.Water/Indexation.Average</f>
        <v>248.1248721028953</v>
      </c>
      <c r="N14" s="50">
        <f>Actual.Totex.Water/Indexation.Average</f>
        <v>227.46253020703867</v>
      </c>
      <c r="O14" s="50">
        <f>Actual.Totex.Water/Indexation.Average</f>
        <v>214.48520562348793</v>
      </c>
      <c r="P14" s="50">
        <f>Actual.Totex.Water/Indexation.Average</f>
        <v>191.80440826907869</v>
      </c>
      <c r="Q14" s="3"/>
      <c r="R14" s="3"/>
      <c r="S14" s="3"/>
      <c r="T14" s="3"/>
      <c r="X14" s="76"/>
    </row>
    <row r="15" spans="1:29" s="75" customFormat="1">
      <c r="D15" s="30" t="s">
        <v>147</v>
      </c>
      <c r="E15" s="32" t="s">
        <v>268</v>
      </c>
      <c r="F15" s="33" t="s">
        <v>134</v>
      </c>
      <c r="G15" s="77"/>
      <c r="I15" s="79"/>
      <c r="J15" s="79"/>
      <c r="K15" s="79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 ht="13">
      <c r="D17" s="30"/>
      <c r="E17" s="78" t="s">
        <v>269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147</v>
      </c>
      <c r="E18" s="32" t="s">
        <v>270</v>
      </c>
      <c r="F18" s="33" t="s">
        <v>134</v>
      </c>
      <c r="G18" s="77"/>
      <c r="I18" s="79"/>
      <c r="J18" s="79"/>
      <c r="K18" s="79"/>
      <c r="L18" s="50">
        <f>SUM(INDEX(Actual.Exclusions.Water,,L6))/Indexation.Average</f>
        <v>7.9051748040601213</v>
      </c>
      <c r="M18" s="50">
        <f>SUM(INDEX(Actual.Exclusions.Water,,M6))/Indexation.Average</f>
        <v>4.4125984779395564</v>
      </c>
      <c r="N18" s="50">
        <f>SUM(INDEX(Actual.Exclusions.Water,,N6))/Indexation.Average</f>
        <v>3.7407706508230012</v>
      </c>
      <c r="O18" s="50">
        <f>SUM(INDEX(Actual.Exclusions.Water,,O6))/Indexation.Average</f>
        <v>6.8279754337737444</v>
      </c>
      <c r="P18" s="50">
        <f>SUM(INDEX(Actual.Exclusions.Water,,P6))/Indexation.Average</f>
        <v>5.6155304595404658</v>
      </c>
      <c r="Q18" s="3"/>
      <c r="R18" s="3"/>
      <c r="S18" s="3"/>
      <c r="T18" s="3"/>
      <c r="X18" s="76"/>
    </row>
    <row r="19" spans="1:24" s="75" customFormat="1">
      <c r="D19" s="30" t="s">
        <v>147</v>
      </c>
      <c r="E19" s="32" t="s">
        <v>271</v>
      </c>
      <c r="F19" s="33" t="s">
        <v>134</v>
      </c>
      <c r="G19" s="77"/>
      <c r="I19" s="79"/>
      <c r="J19" s="79"/>
      <c r="K19" s="79"/>
      <c r="L19" s="221">
        <f>SUM(Inputs!L66:L72)/Indexation.Average</f>
        <v>0</v>
      </c>
      <c r="M19" s="221">
        <f>SUM(Inputs!M66:M72)/Indexation.Average</f>
        <v>0</v>
      </c>
      <c r="N19" s="221">
        <f>SUM(Inputs!N66:N72)/Indexation.Average</f>
        <v>0</v>
      </c>
      <c r="O19" s="221">
        <f>SUM(Inputs!O66:O72)/Indexation.Average</f>
        <v>0</v>
      </c>
      <c r="P19" s="221">
        <f>SUM(Inputs!P66:P72)/Indexation.Average</f>
        <v>0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 ht="13">
      <c r="D21" s="30"/>
      <c r="E21" s="78" t="s">
        <v>272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147</v>
      </c>
      <c r="E22" s="32" t="str">
        <f>Inputs!E75</f>
        <v xml:space="preserve">Water: Transition expenditure </v>
      </c>
      <c r="F22" s="33" t="s">
        <v>134</v>
      </c>
      <c r="G22" s="77"/>
      <c r="H22" s="75"/>
      <c r="I22" s="79"/>
      <c r="J22" s="79"/>
      <c r="K22" s="79"/>
      <c r="L22" s="50">
        <f>TransitionExp.Water</f>
        <v>2.1339999999999999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147</v>
      </c>
      <c r="E23" s="32" t="str">
        <f>Inputs!E78</f>
        <v xml:space="preserve">Sewerage: Transition expenditure </v>
      </c>
      <c r="F23" s="33" t="s">
        <v>134</v>
      </c>
      <c r="G23" s="77"/>
      <c r="H23" s="75"/>
      <c r="I23" s="79"/>
      <c r="J23" s="79"/>
      <c r="K23" s="79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 ht="13">
      <c r="D25" s="30"/>
      <c r="E25" s="78" t="s">
        <v>273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 ht="13">
      <c r="D29" s="30"/>
      <c r="E29" s="78" t="s">
        <v>274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 ht="13">
      <c r="D30" s="30" t="s">
        <v>147</v>
      </c>
      <c r="E30" s="32" t="s">
        <v>275</v>
      </c>
      <c r="F30" s="33" t="s">
        <v>134</v>
      </c>
      <c r="G30" s="77"/>
      <c r="I30" s="79"/>
      <c r="J30" s="79"/>
      <c r="K30" s="79"/>
      <c r="L30" s="221">
        <f>L14-L18+L22</f>
        <v>210.53938147243895</v>
      </c>
      <c r="M30" s="221">
        <f t="shared" ref="M30:P30" si="2">M14-M18+M22</f>
        <v>243.71227362495574</v>
      </c>
      <c r="N30" s="221">
        <f t="shared" si="2"/>
        <v>223.72175955621566</v>
      </c>
      <c r="O30" s="221">
        <f t="shared" si="2"/>
        <v>207.6572301897142</v>
      </c>
      <c r="P30" s="221">
        <f t="shared" si="2"/>
        <v>186.18887780953821</v>
      </c>
      <c r="Q30" s="59" t="s">
        <v>276</v>
      </c>
      <c r="R30" s="3"/>
      <c r="S30" s="3"/>
      <c r="T30" s="3"/>
      <c r="X30" s="76"/>
    </row>
    <row r="31" spans="1:24" s="75" customFormat="1" ht="13">
      <c r="D31" s="30" t="s">
        <v>147</v>
      </c>
      <c r="E31" s="32" t="s">
        <v>277</v>
      </c>
      <c r="F31" s="33" t="s">
        <v>134</v>
      </c>
      <c r="G31" s="77"/>
      <c r="I31" s="79"/>
      <c r="J31" s="79"/>
      <c r="K31" s="79"/>
      <c r="L31" s="221">
        <f>L15-L19+L23</f>
        <v>0</v>
      </c>
      <c r="M31" s="221">
        <f t="shared" ref="M31:P31" si="3">M15-M19+M23</f>
        <v>0</v>
      </c>
      <c r="N31" s="221">
        <f t="shared" si="3"/>
        <v>0</v>
      </c>
      <c r="O31" s="221">
        <f t="shared" si="3"/>
        <v>0</v>
      </c>
      <c r="P31" s="221">
        <f t="shared" si="3"/>
        <v>0</v>
      </c>
      <c r="Q31" s="59" t="s">
        <v>278</v>
      </c>
      <c r="R31" s="3"/>
      <c r="S31" s="3"/>
      <c r="T31" s="3"/>
      <c r="X31" s="76"/>
    </row>
    <row r="32" spans="1:24" s="75" customFormat="1" ht="13">
      <c r="D32" s="30" t="s">
        <v>147</v>
      </c>
      <c r="E32" s="157" t="s">
        <v>279</v>
      </c>
      <c r="F32" s="33" t="s">
        <v>134</v>
      </c>
      <c r="G32" s="77"/>
      <c r="I32" s="79"/>
      <c r="J32" s="79"/>
      <c r="K32" s="79"/>
      <c r="L32" s="81">
        <f>SUM(L30:L31)</f>
        <v>210.53938147243895</v>
      </c>
      <c r="M32" s="81">
        <f>SUM(M30:M31)</f>
        <v>243.71227362495574</v>
      </c>
      <c r="N32" s="81">
        <f t="shared" ref="N32:P32" si="4">SUM(N30:N31)</f>
        <v>223.72175955621566</v>
      </c>
      <c r="O32" s="81">
        <f t="shared" si="4"/>
        <v>207.6572301897142</v>
      </c>
      <c r="P32" s="81">
        <f t="shared" si="4"/>
        <v>186.18887780953821</v>
      </c>
      <c r="Q32" s="59" t="s">
        <v>280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4">
      <c r="A34" s="19"/>
      <c r="B34" s="19"/>
      <c r="C34" s="19"/>
      <c r="D34" s="182"/>
      <c r="E34" s="21" t="s">
        <v>281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4">
      <c r="A36" s="19"/>
      <c r="B36" s="19"/>
      <c r="C36" s="19"/>
      <c r="D36" s="182"/>
      <c r="E36" s="21" t="s">
        <v>282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 ht="13">
      <c r="A38" s="3"/>
      <c r="B38" s="3"/>
      <c r="C38" s="3"/>
      <c r="D38" s="30"/>
      <c r="E38" s="80" t="s">
        <v>283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 ht="13">
      <c r="A39" s="3"/>
      <c r="B39" s="3"/>
      <c r="C39" s="3"/>
      <c r="D39" s="183" t="s">
        <v>121</v>
      </c>
      <c r="E39" s="82" t="s">
        <v>284</v>
      </c>
      <c r="F39" s="39"/>
      <c r="G39" s="87">
        <f>Company.Baseline+Company.Slope*(UB.Chosen-100)</f>
        <v>0.52</v>
      </c>
      <c r="H39" s="89" t="s">
        <v>285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 ht="13">
      <c r="A40" s="3"/>
      <c r="B40" s="3"/>
      <c r="C40" s="3"/>
      <c r="D40" s="30" t="s">
        <v>127</v>
      </c>
      <c r="E40" s="82" t="s">
        <v>286</v>
      </c>
      <c r="F40" s="39"/>
      <c r="G40" s="88">
        <f>Allowed.Exp.Slope*UB.Chosen+Allowed.Exp.Constant</f>
        <v>103.75</v>
      </c>
      <c r="H40" s="89" t="s">
        <v>287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 ht="13">
      <c r="A41" s="3"/>
      <c r="B41" s="3"/>
      <c r="C41" s="3"/>
      <c r="D41" s="30" t="s">
        <v>127</v>
      </c>
      <c r="E41" s="82" t="s">
        <v>288</v>
      </c>
      <c r="F41" s="39"/>
      <c r="G41" s="88">
        <f>Add.Income.2ndOrder*(UB.Chosen^2)+Add.Income.1stOrder*UB.Chosen+Add.Income.Constant</f>
        <v>-2.1750000000000007</v>
      </c>
      <c r="H41" s="89" t="s">
        <v>289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 ht="13">
      <c r="A43" s="3"/>
      <c r="B43" s="3"/>
      <c r="C43" s="3"/>
      <c r="D43" s="30"/>
      <c r="E43" s="80" t="s">
        <v>290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 ht="13">
      <c r="A44" s="3"/>
      <c r="B44" s="3"/>
      <c r="C44" s="3"/>
      <c r="D44" s="183" t="s">
        <v>121</v>
      </c>
      <c r="E44" s="82" t="s">
        <v>291</v>
      </c>
      <c r="F44" s="39"/>
      <c r="G44" s="87">
        <f>Company.Baseline+Company.Slope*(LB.Chosen-100)</f>
        <v>0.59000000000000008</v>
      </c>
      <c r="H44" s="89" t="s">
        <v>292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 ht="13">
      <c r="A45" s="3"/>
      <c r="B45" s="3"/>
      <c r="C45" s="3"/>
      <c r="D45" s="30" t="s">
        <v>127</v>
      </c>
      <c r="E45" s="82" t="s">
        <v>293</v>
      </c>
      <c r="F45" s="39"/>
      <c r="G45" s="88">
        <f>Allowed.Exp.Slope*LB.Chosen+Allowed.Exp.Constant</f>
        <v>95</v>
      </c>
      <c r="H45" s="89" t="s">
        <v>294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127</v>
      </c>
      <c r="E46" s="82" t="s">
        <v>295</v>
      </c>
      <c r="F46" s="39"/>
      <c r="G46" s="88">
        <f>Add.Income.2ndOrder*(LB.Chosen^2)+Add.Income.1stOrder*LB.Chosen+Add.Income.Constant</f>
        <v>2.5499999999999989</v>
      </c>
      <c r="H46" s="89" t="s">
        <v>296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4">
      <c r="A48" s="19"/>
      <c r="B48" s="19"/>
      <c r="C48" s="19"/>
      <c r="D48" s="182"/>
      <c r="E48" s="21" t="s">
        <v>297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 ht="13">
      <c r="A50" s="3"/>
      <c r="B50" s="3"/>
      <c r="C50" s="3"/>
      <c r="D50" s="30"/>
      <c r="E50" s="49" t="s">
        <v>298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 ht="13">
      <c r="A51" s="3"/>
      <c r="B51" s="3"/>
      <c r="C51" s="3"/>
      <c r="D51" s="183" t="s">
        <v>121</v>
      </c>
      <c r="E51" s="32" t="s">
        <v>299</v>
      </c>
      <c r="F51" s="39"/>
      <c r="G51" s="87">
        <f>MIN(MAX(Eff.Inc.Constant+Eff.Inc.Slope*FD.Menu.Choice.Water,UB.EffInc),LB.EffInc)</f>
        <v>0.5606439461403252</v>
      </c>
      <c r="H51" s="89" t="s">
        <v>300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 ht="13">
      <c r="A52" s="3"/>
      <c r="B52" s="3"/>
      <c r="C52" s="3"/>
      <c r="D52" s="30" t="s">
        <v>127</v>
      </c>
      <c r="E52" s="32" t="s">
        <v>301</v>
      </c>
      <c r="F52" s="39"/>
      <c r="G52" s="88">
        <f>MIN(MAX(Allowed.Exp.Constant+Allowed.Exp.Slope*FD.Menu.Choice.Water,LB.AllExp),UB.AllExp)</f>
        <v>98.669506732459354</v>
      </c>
      <c r="H52" s="89" t="s">
        <v>302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 ht="13">
      <c r="A53" s="3"/>
      <c r="B53" s="3"/>
      <c r="C53" s="3"/>
      <c r="D53" s="30" t="s">
        <v>127</v>
      </c>
      <c r="E53" s="32" t="s">
        <v>303</v>
      </c>
      <c r="F53" s="39"/>
      <c r="G53" s="88">
        <f>MIN(MAX(Add.Income.Constant+Add.Income.1stOrder*FD.Menu.Choice.Water+Add.Income.2ndOrder*(FD.Menu.Choice.Water^2),UB.AddInc),LB.AddInc)</f>
        <v>0.71760959846758965</v>
      </c>
      <c r="H53" s="89" t="s">
        <v>304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 ht="13">
      <c r="A55" s="3"/>
      <c r="B55" s="3"/>
      <c r="C55" s="3"/>
      <c r="D55" s="30"/>
      <c r="E55" s="49" t="s">
        <v>305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 ht="13">
      <c r="A56" s="3"/>
      <c r="B56" s="3"/>
      <c r="C56" s="3"/>
      <c r="D56" s="183" t="s">
        <v>121</v>
      </c>
      <c r="E56" s="32" t="s">
        <v>306</v>
      </c>
      <c r="F56" s="39"/>
      <c r="G56" s="87">
        <f>MIN(MAX(Eff.Inc.Constant+Eff.Inc.Slope*FD.Menu.Choice.Sewerage,UB.EffInc),LB.EffInc)</f>
        <v>0.59000000000000008</v>
      </c>
      <c r="H56" s="89" t="s">
        <v>307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 ht="13">
      <c r="A57" s="3"/>
      <c r="B57" s="3"/>
      <c r="C57" s="3"/>
      <c r="D57" s="30" t="s">
        <v>127</v>
      </c>
      <c r="E57" s="32" t="s">
        <v>308</v>
      </c>
      <c r="F57" s="39"/>
      <c r="G57" s="88">
        <f>MIN(MAX(Allowed.Exp.Constant+Allowed.Exp.Slope*FD.Menu.Choice.Sewerage,LB.AllExp),UB.AllExp)</f>
        <v>95</v>
      </c>
      <c r="H57" s="89" t="s">
        <v>309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 ht="13">
      <c r="A58" s="3"/>
      <c r="B58" s="3"/>
      <c r="C58" s="3"/>
      <c r="D58" s="30" t="s">
        <v>127</v>
      </c>
      <c r="E58" s="32" t="s">
        <v>310</v>
      </c>
      <c r="F58" s="39"/>
      <c r="G58" s="88">
        <f>MIN(MAX(Add.Income.Constant+Add.Income.1stOrder*FD.Menu.Choice.Sewerage+Add.Income.2ndOrder*(FD.Menu.Choice.Sewerage^2),UB.AddInc),LB.AddInc)</f>
        <v>2.5499999999999989</v>
      </c>
      <c r="H58" s="89" t="s">
        <v>311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4">
      <c r="A60" s="19"/>
      <c r="B60" s="19"/>
      <c r="C60" s="19"/>
      <c r="D60" s="182"/>
      <c r="E60" s="21" t="s">
        <v>312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 ht="13">
      <c r="A62" s="3"/>
      <c r="B62" s="3"/>
      <c r="C62" s="3"/>
      <c r="D62" s="30"/>
      <c r="E62" s="49" t="s">
        <v>298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 ht="13">
      <c r="A63" s="3"/>
      <c r="B63" s="3"/>
      <c r="C63" s="3"/>
      <c r="D63" s="183" t="s">
        <v>121</v>
      </c>
      <c r="E63" s="32" t="s">
        <v>299</v>
      </c>
      <c r="F63" s="39"/>
      <c r="G63" s="87">
        <f>MIN(MAX(Eff.Inc.Constant+Eff.Inc.Slope*Menu.Choice.Water,UB.EffInc),LB.EffInc)</f>
        <v>0.56059999999999999</v>
      </c>
      <c r="H63" s="89" t="s">
        <v>313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 ht="13">
      <c r="A64" s="3"/>
      <c r="B64" s="3"/>
      <c r="C64" s="3"/>
      <c r="D64" s="30" t="s">
        <v>127</v>
      </c>
      <c r="E64" s="32" t="s">
        <v>301</v>
      </c>
      <c r="F64" s="39"/>
      <c r="G64" s="88">
        <f>MIN(MAX(Allowed.Exp.Constant+Allowed.Exp.Slope*Menu.Choice.Water,LB.AllExp),UB.AllExp)</f>
        <v>98.674999999999997</v>
      </c>
      <c r="H64" s="89" t="s">
        <v>314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 ht="13">
      <c r="A65" s="3"/>
      <c r="B65" s="3"/>
      <c r="C65" s="3"/>
      <c r="D65" s="30" t="s">
        <v>127</v>
      </c>
      <c r="E65" s="32" t="s">
        <v>303</v>
      </c>
      <c r="F65" s="39"/>
      <c r="G65" s="88">
        <f>MIN(MAX(Add.Income.Constant+Add.Income.1stOrder*Menu.Choice.Water+Add.Income.2ndOrder*(Menu.Choice.Water^2),UB.AddInc),LB.AddInc)</f>
        <v>0.71470499999999948</v>
      </c>
      <c r="H65" s="89" t="s">
        <v>315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 ht="13">
      <c r="A67" s="3"/>
      <c r="B67" s="3"/>
      <c r="C67" s="3"/>
      <c r="D67" s="30"/>
      <c r="E67" s="49" t="s">
        <v>305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 ht="13">
      <c r="A68" s="3"/>
      <c r="B68" s="3"/>
      <c r="C68" s="3"/>
      <c r="D68" s="183" t="s">
        <v>121</v>
      </c>
      <c r="E68" s="32" t="s">
        <v>306</v>
      </c>
      <c r="F68" s="39"/>
      <c r="G68" s="87">
        <f>MIN(MAX(Eff.Inc.Constant+Eff.Inc.Slope*Menu.Choice.Sewerage,UB.EffInc),LB.EffInc)</f>
        <v>0.59000000000000008</v>
      </c>
      <c r="H68" s="89" t="s">
        <v>316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 ht="13">
      <c r="A69" s="3"/>
      <c r="B69" s="3"/>
      <c r="C69" s="3"/>
      <c r="D69" s="30" t="s">
        <v>127</v>
      </c>
      <c r="E69" s="32" t="s">
        <v>308</v>
      </c>
      <c r="F69" s="39"/>
      <c r="G69" s="88">
        <f>MIN(MAX(Allowed.Exp.Constant+Allowed.Exp.Slope*Menu.Choice.Sewerage,LB.AllExp),UB.AllExp)</f>
        <v>95</v>
      </c>
      <c r="H69" s="89" t="s">
        <v>317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 ht="13">
      <c r="A70" s="3"/>
      <c r="B70" s="3"/>
      <c r="C70" s="3"/>
      <c r="D70" s="30" t="s">
        <v>127</v>
      </c>
      <c r="E70" s="32" t="s">
        <v>310</v>
      </c>
      <c r="F70" s="39"/>
      <c r="G70" s="88">
        <f>MIN(MAX(Add.Income.Constant+Add.Income.1stOrder*Menu.Choice.Sewerage+Add.Income.2ndOrder*(Menu.Choice.Sewerage^2),UB.AddInc),LB.AddInc)</f>
        <v>2.5499999999999989</v>
      </c>
      <c r="H70" s="89" t="s">
        <v>318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4">
      <c r="A72" s="19"/>
      <c r="B72" s="19"/>
      <c r="C72" s="19"/>
      <c r="D72" s="182"/>
      <c r="E72" s="21" t="s">
        <v>319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4">
      <c r="A74" s="19"/>
      <c r="B74" s="19"/>
      <c r="C74" s="19"/>
      <c r="D74" s="182"/>
      <c r="E74" s="21" t="s">
        <v>320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 ht="13">
      <c r="A76" s="3"/>
      <c r="B76" s="3"/>
      <c r="C76" s="3"/>
      <c r="D76" s="30"/>
      <c r="E76" s="49" t="s">
        <v>321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121</v>
      </c>
      <c r="E77" s="32" t="s">
        <v>322</v>
      </c>
      <c r="F77" s="3"/>
      <c r="G77" s="201">
        <f>IF(SUM(Baseline.Totex.Water)&lt;&gt;0,SUM(Menu.Totex.Water)/SUM(Baseline.Totex.Water),0)</f>
        <v>0.99482689128446178</v>
      </c>
      <c r="L77" s="3"/>
      <c r="M77" s="3"/>
      <c r="N77" s="3"/>
      <c r="R77" s="76"/>
    </row>
    <row r="78" spans="1:24" s="75" customFormat="1">
      <c r="B78" s="3"/>
      <c r="C78" s="3"/>
      <c r="D78" s="30" t="s">
        <v>127</v>
      </c>
      <c r="E78" s="32" t="s">
        <v>323</v>
      </c>
      <c r="F78" s="39"/>
      <c r="G78" s="88">
        <f>G77*100</f>
        <v>99.482689128446182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 ht="13">
      <c r="B80" s="3"/>
      <c r="C80" s="3"/>
      <c r="D80" s="30" t="s">
        <v>127</v>
      </c>
      <c r="E80" s="32" t="s">
        <v>324</v>
      </c>
      <c r="F80" s="161"/>
      <c r="G80" s="163">
        <f>(AllExp.Coeff.Water-G78)*EffInc.Coeff.Water+AddInc.Coeff.Water</f>
        <v>0.2619144745930681</v>
      </c>
      <c r="L80" s="3"/>
      <c r="M80" s="3"/>
      <c r="N80" s="3"/>
      <c r="R80" s="76"/>
    </row>
    <row r="81" spans="1:24" s="75" customFormat="1">
      <c r="B81" s="3"/>
      <c r="C81" s="3"/>
      <c r="D81" s="183" t="s">
        <v>121</v>
      </c>
      <c r="E81" s="32" t="s">
        <v>325</v>
      </c>
      <c r="F81" s="39"/>
      <c r="G81" s="200">
        <f>G80/100</f>
        <v>2.6191447459306808E-3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 ht="13">
      <c r="B83" s="3"/>
      <c r="C83" s="3"/>
      <c r="D83" s="30"/>
      <c r="E83" s="49" t="s">
        <v>326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121</v>
      </c>
      <c r="E84" s="32" t="s">
        <v>327</v>
      </c>
      <c r="F84" s="3"/>
      <c r="G84" s="201">
        <f>IF(SUM(Baseline.Totex.Sewerage)&lt;&gt;0,SUM(Menu.Totex.Sewerage)/SUM(Baseline.Totex.Sewerage),0)</f>
        <v>0</v>
      </c>
      <c r="L84" s="3"/>
      <c r="M84" s="3"/>
      <c r="N84" s="3"/>
      <c r="R84" s="76"/>
    </row>
    <row r="85" spans="1:24" s="75" customFormat="1">
      <c r="B85" s="3"/>
      <c r="C85" s="3"/>
      <c r="D85" s="30" t="s">
        <v>127</v>
      </c>
      <c r="E85" s="32" t="s">
        <v>328</v>
      </c>
      <c r="F85" s="39"/>
      <c r="G85" s="88">
        <f>G84*100</f>
        <v>0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127</v>
      </c>
      <c r="E87" s="32" t="s">
        <v>329</v>
      </c>
      <c r="F87" s="39"/>
      <c r="G87" s="162">
        <f>(AllExp.Coeff.Sewerage-G85)*EffInc.Coeff.Sewerage+AddInc.Coeff.Sewerage</f>
        <v>58.6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121</v>
      </c>
      <c r="E88" s="32" t="s">
        <v>330</v>
      </c>
      <c r="F88" s="39"/>
      <c r="G88" s="200">
        <f>G87/100</f>
        <v>0.58599999999999997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4">
      <c r="A90" s="19"/>
      <c r="B90" s="19"/>
      <c r="C90" s="19"/>
      <c r="D90" s="182"/>
      <c r="E90" s="21" t="s">
        <v>331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 ht="13">
      <c r="A92" s="3"/>
      <c r="B92" s="3"/>
      <c r="C92" s="3"/>
      <c r="E92" s="49" t="s">
        <v>332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147</v>
      </c>
      <c r="E93" s="32" t="s">
        <v>333</v>
      </c>
      <c r="F93" s="33" t="s">
        <v>134</v>
      </c>
      <c r="G93" s="153">
        <f>G81*SUM(Baseline.Totex.Water)</f>
        <v>2.8218481988535911</v>
      </c>
      <c r="L93" s="3"/>
      <c r="M93" s="3"/>
      <c r="N93" s="3"/>
      <c r="R93" s="76"/>
    </row>
    <row r="94" spans="1:24" s="75" customFormat="1">
      <c r="B94" s="3"/>
      <c r="C94" s="3"/>
      <c r="D94" s="30" t="s">
        <v>147</v>
      </c>
      <c r="E94" s="32" t="s">
        <v>334</v>
      </c>
      <c r="F94" s="33" t="s">
        <v>134</v>
      </c>
      <c r="G94" s="153">
        <f>G88*SUM(Baseline.Totex.Sewerage)</f>
        <v>0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 ht="13">
      <c r="A96" s="75"/>
      <c r="B96" s="3"/>
      <c r="C96" s="3"/>
      <c r="D96" s="75"/>
      <c r="E96" s="49" t="s">
        <v>335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147</v>
      </c>
      <c r="E97" s="32" t="s">
        <v>336</v>
      </c>
      <c r="F97" s="33" t="s">
        <v>134</v>
      </c>
      <c r="G97" s="75"/>
      <c r="H97" s="75"/>
      <c r="I97" s="75"/>
      <c r="J97" s="75"/>
      <c r="K97" s="75"/>
      <c r="L97" s="153">
        <f>FD.AddInc.Coeff.Water/100*Baseline.Totex.Water</f>
        <v>1.7588592709595459</v>
      </c>
      <c r="M97" s="153">
        <f>FD.AddInc.Coeff.Water/100*Baseline.Totex.Water</f>
        <v>1.77682222906581</v>
      </c>
      <c r="N97" s="153">
        <f>FD.AddInc.Coeff.Water/100*Baseline.Totex.Water</f>
        <v>1.5439543887365135</v>
      </c>
      <c r="O97" s="153">
        <f>FD.AddInc.Coeff.Water/100*Baseline.Totex.Water</f>
        <v>1.378832775503237</v>
      </c>
      <c r="P97" s="153">
        <f>FD.AddInc.Coeff.Water/100*Baseline.Totex.Water</f>
        <v>1.2730068720220769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147</v>
      </c>
      <c r="E98" s="32" t="s">
        <v>337</v>
      </c>
      <c r="F98" s="33" t="s">
        <v>134</v>
      </c>
      <c r="G98" s="75"/>
      <c r="H98" s="75"/>
      <c r="I98" s="75"/>
      <c r="J98" s="75"/>
      <c r="K98" s="75"/>
      <c r="L98" s="153">
        <f>FD.AddInc.Coeff.Sewerage/100*Baseline.Totex.Sewerage</f>
        <v>0</v>
      </c>
      <c r="M98" s="153">
        <f>FD.AddInc.Coeff.Sewerage/100*Baseline.Totex.Sewerage</f>
        <v>0</v>
      </c>
      <c r="N98" s="153">
        <f>FD.AddInc.Coeff.Sewerage/100*Baseline.Totex.Sewerage</f>
        <v>0</v>
      </c>
      <c r="O98" s="153">
        <f>FD.AddInc.Coeff.Sewerage/100*Baseline.Totex.Sewerage</f>
        <v>0</v>
      </c>
      <c r="P98" s="153">
        <f>FD.AddInc.Coeff.Sewerage/100*Baseline.Totex.Sewerage</f>
        <v>0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 ht="13">
      <c r="A100" s="75"/>
      <c r="B100" s="3"/>
      <c r="C100" s="3"/>
      <c r="D100" s="75"/>
      <c r="E100" s="49" t="s">
        <v>338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147</v>
      </c>
      <c r="E101" s="32" t="s">
        <v>339</v>
      </c>
      <c r="F101" s="33" t="s">
        <v>134</v>
      </c>
      <c r="G101" s="153">
        <f>G93-SUM(L97:P97)</f>
        <v>-4.9096273374335926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147</v>
      </c>
      <c r="E102" s="32" t="s">
        <v>340</v>
      </c>
      <c r="F102" s="33" t="s">
        <v>134</v>
      </c>
      <c r="G102" s="153">
        <f>G94-SUM(L98:P98)</f>
        <v>0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341</v>
      </c>
      <c r="L103" s="3"/>
      <c r="M103" s="3"/>
      <c r="N103" s="3"/>
      <c r="R103" s="76"/>
    </row>
    <row r="104" spans="1:24" s="75" customFormat="1" ht="13">
      <c r="B104" s="3"/>
      <c r="C104" s="3"/>
      <c r="E104" s="49" t="s">
        <v>342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147</v>
      </c>
      <c r="E105" s="32" t="s">
        <v>343</v>
      </c>
      <c r="F105" s="33" t="s">
        <v>134</v>
      </c>
      <c r="G105" s="153"/>
      <c r="L105" s="153">
        <f>IF(SUM(Baseline.Totex.Water)=0,0,$G101*(Baseline.Totex.Water/SUM(Baseline.Totex.Water)))</f>
        <v>-1.1169075707311076</v>
      </c>
      <c r="M105" s="153">
        <f>IF(SUM(Baseline.Totex.Water)=0,0,$G101*(Baseline.Totex.Water/SUM(Baseline.Totex.Water)))</f>
        <v>-1.1283143752622438</v>
      </c>
      <c r="N105" s="153">
        <f>IF(SUM(Baseline.Totex.Water)=0,0,$G101*(Baseline.Totex.Water/SUM(Baseline.Totex.Water)))</f>
        <v>-0.98043906872808262</v>
      </c>
      <c r="O105" s="153">
        <f>IF(SUM(Baseline.Totex.Water)=0,0,$G101*(Baseline.Totex.Water/SUM(Baseline.Totex.Water)))</f>
        <v>-0.87558384639357101</v>
      </c>
      <c r="P105" s="153">
        <f>IF(SUM(Baseline.Totex.Water)=0,0,$G101*(Baseline.Totex.Water/SUM(Baseline.Totex.Water)))</f>
        <v>-0.80838247631858795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147</v>
      </c>
      <c r="E106" s="32" t="s">
        <v>344</v>
      </c>
      <c r="F106" s="33" t="s">
        <v>134</v>
      </c>
      <c r="G106" s="153"/>
      <c r="L106" s="153">
        <f>IF(SUM(Baseline.Totex.Sewerage)=0,0,$G102*(Baseline.Totex.Sewerage/SUM(Baseline.Totex.Sewerage)))</f>
        <v>0</v>
      </c>
      <c r="M106" s="153">
        <f>IF(SUM(Baseline.Totex.Sewerage)=0,0,$G102*(Baseline.Totex.Sewerage/SUM(Baseline.Totex.Sewerage)))</f>
        <v>0</v>
      </c>
      <c r="N106" s="153">
        <f>IF(SUM(Baseline.Totex.Sewerage)=0,0,$G102*(Baseline.Totex.Sewerage/SUM(Baseline.Totex.Sewerage)))</f>
        <v>0</v>
      </c>
      <c r="O106" s="153">
        <f>IF(SUM(Baseline.Totex.Sewerage)=0,0,$G102*(Baseline.Totex.Sewerage/SUM(Baseline.Totex.Sewerage)))</f>
        <v>0</v>
      </c>
      <c r="P106" s="153">
        <f>IF(SUM(Baseline.Totex.Sewerage)=0,0,$G102*(Baseline.Totex.Sewerage/SUM(Baseline.Totex.Sewerage)))</f>
        <v>0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 ht="13">
      <c r="A108" s="75"/>
      <c r="B108" s="3"/>
      <c r="C108" s="3"/>
      <c r="D108" s="75"/>
      <c r="E108" s="49" t="s">
        <v>345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147</v>
      </c>
      <c r="E109" s="32" t="s">
        <v>343</v>
      </c>
      <c r="F109" s="33" t="s">
        <v>134</v>
      </c>
      <c r="G109" s="153"/>
      <c r="H109" s="75"/>
      <c r="I109" s="75"/>
      <c r="J109" s="75"/>
      <c r="K109" s="75"/>
      <c r="L109" s="153">
        <f>L105*(1+WACC)^Calcs!L7</f>
        <v>-1.291612562126627</v>
      </c>
      <c r="M109" s="153">
        <f>M105*(1+WACC)^Calcs!M7</f>
        <v>-1.2582484105636047</v>
      </c>
      <c r="N109" s="153">
        <f>N105*(1+WACC)^Calcs!N7</f>
        <v>-1.0543337808990494</v>
      </c>
      <c r="O109" s="153">
        <f>O105*(1+WACC)^Calcs!O7</f>
        <v>-0.90798044871013306</v>
      </c>
      <c r="P109" s="153">
        <f>P105*(1+WACC)^Calcs!P7</f>
        <v>-0.80838247631858795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147</v>
      </c>
      <c r="E110" s="32" t="s">
        <v>344</v>
      </c>
      <c r="F110" s="33" t="s">
        <v>134</v>
      </c>
      <c r="G110" s="153"/>
      <c r="H110" s="75"/>
      <c r="I110" s="75"/>
      <c r="J110" s="75"/>
      <c r="K110" s="75"/>
      <c r="L110" s="153">
        <f>L106*(1+WACC)^Calcs!L7</f>
        <v>0</v>
      </c>
      <c r="M110" s="153">
        <f>M106*(1+WACC)^Calcs!M7</f>
        <v>0</v>
      </c>
      <c r="N110" s="153">
        <f>N106*(1+WACC)^Calcs!N7</f>
        <v>0</v>
      </c>
      <c r="O110" s="153">
        <f>O106*(1+WACC)^Calcs!O7</f>
        <v>0</v>
      </c>
      <c r="P110" s="153">
        <f>P106*(1+WACC)^Calcs!P7</f>
        <v>0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 ht="13">
      <c r="A112" s="3"/>
      <c r="B112" s="3"/>
      <c r="C112" s="3"/>
      <c r="D112" s="75"/>
      <c r="E112" s="151" t="s">
        <v>226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147</v>
      </c>
      <c r="E113" s="152" t="s">
        <v>346</v>
      </c>
      <c r="F113" s="33" t="s">
        <v>134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-5.3205576786180027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147</v>
      </c>
      <c r="E114" s="152" t="s">
        <v>347</v>
      </c>
      <c r="F114" s="33" t="s">
        <v>134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0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4">
      <c r="A116" s="19"/>
      <c r="B116" s="19"/>
      <c r="C116" s="19"/>
      <c r="D116" s="182"/>
      <c r="E116" s="21" t="s">
        <v>348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 ht="13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 ht="13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 ht="13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 ht="13">
      <c r="A122" s="3"/>
      <c r="B122" s="3"/>
      <c r="C122" s="3"/>
      <c r="D122" s="75"/>
      <c r="E122" s="49" t="s">
        <v>349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147</v>
      </c>
      <c r="E123" s="32" t="s">
        <v>350</v>
      </c>
      <c r="F123" s="33" t="s">
        <v>134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 ht="13">
      <c r="A125" s="3"/>
      <c r="B125" s="3"/>
      <c r="C125" s="3"/>
      <c r="D125" s="75"/>
      <c r="E125" s="49" t="s">
        <v>351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147</v>
      </c>
      <c r="E126" s="32" t="s">
        <v>352</v>
      </c>
      <c r="F126" s="33" t="s">
        <v>134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 ht="13">
      <c r="A129" s="3"/>
      <c r="B129" s="3"/>
      <c r="C129" s="3"/>
      <c r="D129" s="75"/>
      <c r="E129" s="151" t="s">
        <v>353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147</v>
      </c>
      <c r="E130" s="32" t="s">
        <v>352</v>
      </c>
      <c r="F130" s="33" t="s">
        <v>134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4">
      <c r="A133" s="19"/>
      <c r="B133" s="19"/>
      <c r="C133" s="19"/>
      <c r="D133" s="182"/>
      <c r="E133" s="21" t="s">
        <v>354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 ht="13">
      <c r="A135" s="3"/>
      <c r="B135" s="3"/>
      <c r="C135" s="3"/>
      <c r="D135" s="25"/>
      <c r="E135" s="27" t="s">
        <v>355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356</v>
      </c>
      <c r="X135" s="76"/>
    </row>
    <row r="136" spans="1:24" s="206" customFormat="1">
      <c r="A136" s="75"/>
      <c r="B136" s="3"/>
      <c r="C136" s="3"/>
      <c r="D136" s="30" t="s">
        <v>147</v>
      </c>
      <c r="E136" s="32" t="s">
        <v>357</v>
      </c>
      <c r="F136" s="33" t="s">
        <v>134</v>
      </c>
      <c r="G136" s="153"/>
      <c r="H136" s="75"/>
      <c r="I136" s="75"/>
      <c r="J136" s="75"/>
      <c r="K136" s="75"/>
      <c r="L136" s="153">
        <f>Baseline.Totex.Water*(FD.AllExp.Coeff.Water/100)</f>
        <v>241.83870595932328</v>
      </c>
      <c r="M136" s="153">
        <f>Baseline.Totex.Water*(FD.AllExp.Coeff.Water/100)</f>
        <v>244.30856731511582</v>
      </c>
      <c r="N136" s="153">
        <f>Baseline.Totex.Water*(FD.AllExp.Coeff.Water/100)</f>
        <v>212.28982761568787</v>
      </c>
      <c r="O136" s="153">
        <f>Baseline.Totex.Water*(FD.AllExp.Coeff.Water/100)</f>
        <v>189.58602297959203</v>
      </c>
      <c r="P136" s="153">
        <f>Baseline.Totex.Water*(FD.AllExp.Coeff.Water/100)</f>
        <v>175.03522862246425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147</v>
      </c>
      <c r="E137" s="32" t="s">
        <v>358</v>
      </c>
      <c r="F137" s="33" t="s">
        <v>134</v>
      </c>
      <c r="G137" s="153"/>
      <c r="H137" s="75"/>
      <c r="I137" s="75"/>
      <c r="J137" s="75"/>
      <c r="K137" s="75"/>
      <c r="L137" s="153">
        <f>Baseline.Totex.Sewerage*(FD.AllExp.Coeff.Sewerage/100)</f>
        <v>0</v>
      </c>
      <c r="M137" s="153">
        <f>Baseline.Totex.Sewerage*(FD.AllExp.Coeff.Sewerage/100)</f>
        <v>0</v>
      </c>
      <c r="N137" s="153">
        <f>Baseline.Totex.Sewerage*(FD.AllExp.Coeff.Sewerage/100)</f>
        <v>0</v>
      </c>
      <c r="O137" s="153">
        <f>Baseline.Totex.Sewerage*(FD.AllExp.Coeff.Sewerage/100)</f>
        <v>0</v>
      </c>
      <c r="P137" s="153">
        <f>Baseline.Totex.Sewerage*(FD.AllExp.Coeff.Sewerage/100)</f>
        <v>0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 ht="13">
      <c r="A139" s="75"/>
      <c r="B139" s="3"/>
      <c r="C139" s="3"/>
      <c r="D139" s="30"/>
      <c r="E139" s="27" t="s">
        <v>153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359</v>
      </c>
      <c r="X139" s="76"/>
    </row>
    <row r="140" spans="1:24" s="206" customFormat="1">
      <c r="A140" s="75"/>
      <c r="B140" s="3"/>
      <c r="C140" s="3"/>
      <c r="D140" s="30" t="s">
        <v>147</v>
      </c>
      <c r="E140" s="32" t="s">
        <v>154</v>
      </c>
      <c r="F140" s="33" t="s">
        <v>134</v>
      </c>
      <c r="G140" s="210"/>
      <c r="H140" s="75"/>
      <c r="I140" s="75"/>
      <c r="J140" s="75"/>
      <c r="K140" s="75"/>
      <c r="L140" s="153">
        <f>Inputs!L46</f>
        <v>244.183820208876</v>
      </c>
      <c r="M140" s="153">
        <f>Inputs!M46</f>
        <v>246.52068156466899</v>
      </c>
      <c r="N140" s="153">
        <f>Inputs!N46</f>
        <v>214.50194186524101</v>
      </c>
      <c r="O140" s="153">
        <f>Inputs!O46</f>
        <v>191.79813722914599</v>
      </c>
      <c r="P140" s="153">
        <f>Inputs!P46</f>
        <v>177.24734287201699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147</v>
      </c>
      <c r="E141" s="32" t="s">
        <v>156</v>
      </c>
      <c r="F141" s="33" t="s">
        <v>134</v>
      </c>
      <c r="G141" s="153"/>
      <c r="H141" s="75"/>
      <c r="I141" s="75"/>
      <c r="J141" s="75"/>
      <c r="K141" s="75"/>
      <c r="L141" s="153">
        <f>Inputs!L47</f>
        <v>0</v>
      </c>
      <c r="M141" s="153">
        <f>Inputs!M47</f>
        <v>0</v>
      </c>
      <c r="N141" s="153">
        <f>Inputs!N47</f>
        <v>0</v>
      </c>
      <c r="O141" s="153">
        <f>Inputs!O47</f>
        <v>0</v>
      </c>
      <c r="P141" s="153">
        <f>Inputs!P47</f>
        <v>0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 ht="13">
      <c r="A143" s="75"/>
      <c r="B143" s="3"/>
      <c r="C143" s="3"/>
      <c r="D143" s="30"/>
      <c r="E143" s="27" t="s">
        <v>360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147</v>
      </c>
      <c r="E144" s="32" t="s">
        <v>361</v>
      </c>
      <c r="F144" s="33" t="s">
        <v>134</v>
      </c>
      <c r="G144" s="32"/>
      <c r="H144" s="75"/>
      <c r="I144" s="75"/>
      <c r="J144" s="75"/>
      <c r="K144" s="75"/>
      <c r="L144" s="153">
        <f>L140-L136</f>
        <v>2.3451142495527222</v>
      </c>
      <c r="M144" s="153">
        <f t="shared" ref="M144:P144" si="5">M140-M136</f>
        <v>2.2121142495531672</v>
      </c>
      <c r="N144" s="153">
        <f t="shared" si="5"/>
        <v>2.2121142495531387</v>
      </c>
      <c r="O144" s="153">
        <f t="shared" si="5"/>
        <v>2.212114249553963</v>
      </c>
      <c r="P144" s="153">
        <f t="shared" si="5"/>
        <v>2.2121142495527408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147</v>
      </c>
      <c r="E145" s="32" t="s">
        <v>362</v>
      </c>
      <c r="F145" s="33" t="s">
        <v>134</v>
      </c>
      <c r="G145" s="153"/>
      <c r="H145" s="75"/>
      <c r="I145" s="75"/>
      <c r="J145" s="75"/>
      <c r="K145" s="75"/>
      <c r="L145" s="153">
        <f>L141-L137</f>
        <v>0</v>
      </c>
      <c r="M145" s="153">
        <f t="shared" ref="M145:P145" si="6">M141-M137</f>
        <v>0</v>
      </c>
      <c r="N145" s="153">
        <f t="shared" si="6"/>
        <v>0</v>
      </c>
      <c r="O145" s="153">
        <f t="shared" si="6"/>
        <v>0</v>
      </c>
      <c r="P145" s="153">
        <f t="shared" si="6"/>
        <v>0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 ht="13">
      <c r="A147" s="75"/>
      <c r="B147" s="3"/>
      <c r="C147" s="3"/>
      <c r="D147" s="30"/>
      <c r="E147" s="27" t="s">
        <v>363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 ht="13">
      <c r="A148" s="75"/>
      <c r="B148" s="3"/>
      <c r="C148" s="3"/>
      <c r="D148" s="30" t="s">
        <v>147</v>
      </c>
      <c r="E148" s="32" t="s">
        <v>364</v>
      </c>
      <c r="F148" s="33" t="s">
        <v>134</v>
      </c>
      <c r="G148" s="153"/>
      <c r="H148" s="75"/>
      <c r="I148" s="75"/>
      <c r="J148" s="75"/>
      <c r="K148" s="75"/>
      <c r="L148" s="153">
        <f>Baseline.Totex.Water*(AllExp.Coeff.Water/100)</f>
        <v>241.85216994386636</v>
      </c>
      <c r="M148" s="153">
        <f>Baseline.Totex.Water*(AllExp.Coeff.Water/100)</f>
        <v>244.32216880525374</v>
      </c>
      <c r="N148" s="153">
        <f>Baseline.Totex.Water*(AllExp.Coeff.Water/100)</f>
        <v>212.30164651352032</v>
      </c>
      <c r="O148" s="153">
        <f>Baseline.Totex.Water*(AllExp.Coeff.Water/100)</f>
        <v>189.59657787928376</v>
      </c>
      <c r="P148" s="153">
        <f>Baseline.Totex.Water*(AllExp.Coeff.Water/100)</f>
        <v>175.04497342986932</v>
      </c>
      <c r="Q148" s="89" t="s">
        <v>365</v>
      </c>
      <c r="R148" s="3"/>
      <c r="S148" s="3"/>
      <c r="T148" s="3"/>
      <c r="U148" s="75"/>
      <c r="V148" s="75"/>
      <c r="W148" s="75"/>
      <c r="X148" s="76"/>
    </row>
    <row r="149" spans="1:24" s="192" customFormat="1" ht="13">
      <c r="A149" s="75"/>
      <c r="B149" s="3"/>
      <c r="C149" s="3"/>
      <c r="D149" s="30" t="s">
        <v>147</v>
      </c>
      <c r="E149" s="32" t="s">
        <v>366</v>
      </c>
      <c r="F149" s="33" t="s">
        <v>134</v>
      </c>
      <c r="G149" s="153"/>
      <c r="H149" s="75"/>
      <c r="I149" s="75"/>
      <c r="J149" s="75"/>
      <c r="K149" s="75"/>
      <c r="L149" s="153">
        <f>Baseline.Totex.Sewerage*(AllExp.Coeff.Sewerage/100)</f>
        <v>0</v>
      </c>
      <c r="M149" s="153">
        <f>Baseline.Totex.Sewerage*(AllExp.Coeff.Sewerage/100)</f>
        <v>0</v>
      </c>
      <c r="N149" s="153">
        <f>Baseline.Totex.Sewerage*(AllExp.Coeff.Sewerage/100)</f>
        <v>0</v>
      </c>
      <c r="O149" s="153">
        <f>Baseline.Totex.Sewerage*(AllExp.Coeff.Sewerage/100)</f>
        <v>0</v>
      </c>
      <c r="P149" s="153">
        <f>Baseline.Totex.Sewerage*(AllExp.Coeff.Sewerage/100)</f>
        <v>0</v>
      </c>
      <c r="Q149" s="89" t="s">
        <v>367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 ht="13">
      <c r="A151" s="75"/>
      <c r="B151" s="3"/>
      <c r="C151" s="3"/>
      <c r="D151" s="30"/>
      <c r="E151" s="27" t="s">
        <v>368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147</v>
      </c>
      <c r="E152" s="32" t="s">
        <v>369</v>
      </c>
      <c r="F152" s="33" t="s">
        <v>134</v>
      </c>
      <c r="G152" s="153"/>
      <c r="H152" s="75"/>
      <c r="I152" s="75"/>
      <c r="J152" s="75"/>
      <c r="K152" s="75"/>
      <c r="L152" s="153">
        <f>L148+L144</f>
        <v>244.19728419341908</v>
      </c>
      <c r="M152" s="153">
        <f t="shared" ref="M152:P152" si="7">M148+M144</f>
        <v>246.53428305480691</v>
      </c>
      <c r="N152" s="153">
        <f t="shared" si="7"/>
        <v>214.51376076307346</v>
      </c>
      <c r="O152" s="153">
        <f t="shared" si="7"/>
        <v>191.80869212883772</v>
      </c>
      <c r="P152" s="153">
        <f t="shared" si="7"/>
        <v>177.25708767942206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147</v>
      </c>
      <c r="E153" s="32" t="s">
        <v>370</v>
      </c>
      <c r="F153" s="33" t="s">
        <v>134</v>
      </c>
      <c r="G153" s="153"/>
      <c r="H153" s="75"/>
      <c r="I153" s="75"/>
      <c r="J153" s="75"/>
      <c r="K153" s="75"/>
      <c r="L153" s="153">
        <f>L149+L145</f>
        <v>0</v>
      </c>
      <c r="M153" s="153">
        <f t="shared" ref="M153:P153" si="8">M149+M145</f>
        <v>0</v>
      </c>
      <c r="N153" s="153">
        <f t="shared" si="8"/>
        <v>0</v>
      </c>
      <c r="O153" s="153">
        <f t="shared" si="8"/>
        <v>0</v>
      </c>
      <c r="P153" s="153">
        <f t="shared" si="8"/>
        <v>0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 ht="13">
      <c r="A155" s="75"/>
      <c r="B155" s="3"/>
      <c r="C155" s="3"/>
      <c r="D155" s="30"/>
      <c r="E155" s="27" t="s">
        <v>371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147</v>
      </c>
      <c r="E156" s="32" t="s">
        <v>372</v>
      </c>
      <c r="F156" s="33" t="s">
        <v>134</v>
      </c>
      <c r="G156" s="153"/>
      <c r="H156" s="75"/>
      <c r="I156" s="75"/>
      <c r="J156" s="75"/>
      <c r="K156" s="75"/>
      <c r="L156" s="153">
        <f t="shared" ref="L156:P157" si="9">L148-L136</f>
        <v>1.3463984543079732E-2</v>
      </c>
      <c r="M156" s="153">
        <f t="shared" si="9"/>
        <v>1.3601490137915562E-2</v>
      </c>
      <c r="N156" s="153">
        <f t="shared" si="9"/>
        <v>1.1818897832455377E-2</v>
      </c>
      <c r="O156" s="153">
        <f t="shared" si="9"/>
        <v>1.0554899691726405E-2</v>
      </c>
      <c r="P156" s="153">
        <f t="shared" si="9"/>
        <v>9.7448074050703326E-3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147</v>
      </c>
      <c r="E157" s="32" t="s">
        <v>373</v>
      </c>
      <c r="F157" s="33" t="s">
        <v>134</v>
      </c>
      <c r="G157" s="153"/>
      <c r="H157" s="75"/>
      <c r="I157" s="75"/>
      <c r="J157" s="75"/>
      <c r="K157" s="75"/>
      <c r="L157" s="153">
        <f t="shared" si="9"/>
        <v>0</v>
      </c>
      <c r="M157" s="153">
        <f t="shared" si="9"/>
        <v>0</v>
      </c>
      <c r="N157" s="153">
        <f t="shared" si="9"/>
        <v>0</v>
      </c>
      <c r="O157" s="153">
        <f t="shared" si="9"/>
        <v>0</v>
      </c>
      <c r="P157" s="153">
        <f t="shared" si="9"/>
        <v>0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4">
      <c r="A159" s="19"/>
      <c r="B159" s="19"/>
      <c r="C159" s="19"/>
      <c r="D159" s="182"/>
      <c r="E159" s="21" t="s">
        <v>374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 ht="13">
      <c r="B161" s="3"/>
      <c r="C161" s="3"/>
      <c r="E161" s="49" t="s">
        <v>375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 ht="13">
      <c r="B162" s="3"/>
      <c r="C162" s="3"/>
      <c r="D162" s="30" t="s">
        <v>147</v>
      </c>
      <c r="E162" s="32" t="s">
        <v>376</v>
      </c>
      <c r="F162" s="33" t="s">
        <v>134</v>
      </c>
      <c r="L162" s="218">
        <f>(Actual.Totex.Water-SUM(Inputs!L60:L64))/Indexation.Average+TransitionExp.Water-L148</f>
        <v>-31.312788471427382</v>
      </c>
      <c r="M162" s="218">
        <f>(Actual.Totex.Water-SUM(Inputs!M60:M64))/Indexation.Average-M148</f>
        <v>-0.60989518029799683</v>
      </c>
      <c r="N162" s="218">
        <f>(Actual.Totex.Water-SUM(Inputs!N60:N64))/Indexation.Average-N148</f>
        <v>11.420113042695334</v>
      </c>
      <c r="O162" s="218">
        <f>(Actual.Totex.Water-SUM(Inputs!O60:O64))/Indexation.Average-O148</f>
        <v>18.060652310430442</v>
      </c>
      <c r="P162" s="218">
        <f>(Actual.Totex.Water-SUM(Inputs!P60:P64))/Indexation.Average-P148</f>
        <v>11.143904379668925</v>
      </c>
      <c r="Q162" s="161"/>
      <c r="R162" s="3"/>
      <c r="S162" s="3"/>
      <c r="T162" s="3"/>
      <c r="W162" s="211" t="s">
        <v>377</v>
      </c>
      <c r="X162" s="76"/>
    </row>
    <row r="163" spans="1:24" s="75" customFormat="1" ht="13">
      <c r="B163" s="3"/>
      <c r="C163" s="3"/>
      <c r="D163" s="30" t="s">
        <v>147</v>
      </c>
      <c r="E163" s="32" t="s">
        <v>378</v>
      </c>
      <c r="F163" s="33" t="s">
        <v>134</v>
      </c>
      <c r="K163" s="153"/>
      <c r="L163" s="218">
        <f>(Actual.Totex.Sewerage-SUM(Inputs!L66:L72))/Indexation.Average+TransitionExp.Sewerage-L149</f>
        <v>0</v>
      </c>
      <c r="M163" s="218">
        <f>(Actual.Totex.Sewerage-SUM(Inputs!M66:M72))/Indexation.Average-M149</f>
        <v>0</v>
      </c>
      <c r="N163" s="218">
        <f>(Actual.Totex.Sewerage-SUM(Inputs!N66:N72))/Indexation.Average-N149</f>
        <v>0</v>
      </c>
      <c r="O163" s="218">
        <f>(Actual.Totex.Sewerage-SUM(Inputs!O66:O72))/Indexation.Average-O149</f>
        <v>0</v>
      </c>
      <c r="P163" s="218">
        <f>(Actual.Totex.Sewerage-SUM(Inputs!P66:P72))/Indexation.Average-P149</f>
        <v>0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 ht="13">
      <c r="B165" s="3"/>
      <c r="C165" s="3"/>
      <c r="E165" s="49" t="s">
        <v>379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 ht="13">
      <c r="B166" s="3"/>
      <c r="C166" s="3"/>
      <c r="D166" s="30" t="s">
        <v>147</v>
      </c>
      <c r="E166" s="32" t="s">
        <v>380</v>
      </c>
      <c r="F166" s="33" t="s">
        <v>134</v>
      </c>
      <c r="G166" s="153"/>
      <c r="L166" s="153">
        <f>L162+L156</f>
        <v>-31.299324486884302</v>
      </c>
      <c r="M166" s="153">
        <f t="shared" ref="L166:P167" si="10">M162+M156</f>
        <v>-0.59629369016008127</v>
      </c>
      <c r="N166" s="153">
        <f t="shared" si="10"/>
        <v>11.431931940527789</v>
      </c>
      <c r="O166" s="153">
        <f t="shared" si="10"/>
        <v>18.071207210122168</v>
      </c>
      <c r="P166" s="153">
        <f t="shared" si="10"/>
        <v>11.153649187073995</v>
      </c>
      <c r="Q166" s="89" t="s">
        <v>381</v>
      </c>
      <c r="R166" s="3"/>
      <c r="S166" s="3"/>
      <c r="T166" s="3"/>
      <c r="X166" s="76"/>
    </row>
    <row r="167" spans="1:24" s="75" customFormat="1" ht="13">
      <c r="B167" s="3"/>
      <c r="C167" s="3"/>
      <c r="D167" s="30" t="s">
        <v>147</v>
      </c>
      <c r="E167" s="32" t="s">
        <v>382</v>
      </c>
      <c r="F167" s="33" t="s">
        <v>134</v>
      </c>
      <c r="G167" s="153"/>
      <c r="L167" s="153">
        <f t="shared" si="10"/>
        <v>0</v>
      </c>
      <c r="M167" s="153">
        <f t="shared" si="10"/>
        <v>0</v>
      </c>
      <c r="N167" s="153">
        <f t="shared" si="10"/>
        <v>0</v>
      </c>
      <c r="O167" s="153">
        <f t="shared" si="10"/>
        <v>0</v>
      </c>
      <c r="P167" s="153">
        <f t="shared" si="10"/>
        <v>0</v>
      </c>
      <c r="Q167" s="89" t="s">
        <v>383</v>
      </c>
      <c r="R167" s="3"/>
      <c r="S167" s="3"/>
      <c r="T167" s="3"/>
      <c r="X167" s="76"/>
    </row>
    <row r="168" spans="1:24" s="75" customFormat="1" ht="13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 ht="13">
      <c r="B169" s="3"/>
      <c r="C169" s="3"/>
      <c r="E169" s="49" t="s">
        <v>384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147</v>
      </c>
      <c r="E170" s="32" t="s">
        <v>385</v>
      </c>
      <c r="F170" s="33" t="s">
        <v>134</v>
      </c>
      <c r="J170" s="153"/>
      <c r="K170" s="153"/>
      <c r="L170" s="153">
        <f>L166*(1+WACC)^Calcs!L7</f>
        <v>-36.195117440984653</v>
      </c>
      <c r="M170" s="153">
        <f>M166*(1+WACC)^Calcs!M7</f>
        <v>-0.66496147201762534</v>
      </c>
      <c r="N170" s="153">
        <f>N166*(1+WACC)^Calcs!N7</f>
        <v>12.293545218953426</v>
      </c>
      <c r="O170" s="153">
        <f>O166*(1+WACC)^Calcs!O7</f>
        <v>18.739841876896687</v>
      </c>
      <c r="P170" s="153">
        <f>P166*(1+WACC)^Calcs!P7</f>
        <v>11.153649187073995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147</v>
      </c>
      <c r="E171" s="32" t="s">
        <v>386</v>
      </c>
      <c r="F171" s="33" t="s">
        <v>134</v>
      </c>
      <c r="J171" s="153"/>
      <c r="K171" s="153"/>
      <c r="L171" s="153">
        <f>L167*(1+WACC)^Calcs!L7</f>
        <v>0</v>
      </c>
      <c r="M171" s="153">
        <f>M167*(1+WACC)^Calcs!M7</f>
        <v>0</v>
      </c>
      <c r="N171" s="153">
        <f>N167*(1+WACC)^Calcs!N7</f>
        <v>0</v>
      </c>
      <c r="O171" s="153">
        <f>O167*(1+WACC)^Calcs!O7</f>
        <v>0</v>
      </c>
      <c r="P171" s="153">
        <f>P167*(1+WACC)^Calcs!P7</f>
        <v>0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 ht="13">
      <c r="B173" s="3"/>
      <c r="C173" s="3"/>
      <c r="E173" s="151" t="s">
        <v>387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 ht="13">
      <c r="B174" s="3"/>
      <c r="C174" s="3"/>
      <c r="D174" s="184" t="s">
        <v>147</v>
      </c>
      <c r="E174" s="152" t="s">
        <v>388</v>
      </c>
      <c r="F174" s="33" t="s">
        <v>134</v>
      </c>
      <c r="L174" s="77"/>
      <c r="P174" s="88">
        <f>SUM(L170:P170)</f>
        <v>5.326957369921832</v>
      </c>
      <c r="Q174" s="89"/>
      <c r="R174" s="3"/>
      <c r="S174" s="3"/>
      <c r="T174" s="3"/>
      <c r="X174" s="76"/>
    </row>
    <row r="175" spans="1:24" s="75" customFormat="1" ht="13">
      <c r="B175" s="3"/>
      <c r="C175" s="3"/>
      <c r="D175" s="184" t="s">
        <v>147</v>
      </c>
      <c r="E175" s="152" t="s">
        <v>389</v>
      </c>
      <c r="F175" s="33" t="s">
        <v>134</v>
      </c>
      <c r="L175" s="77"/>
      <c r="P175" s="88">
        <f>SUM(L171:P171)</f>
        <v>0</v>
      </c>
      <c r="Q175" s="89"/>
      <c r="R175" s="3"/>
      <c r="S175" s="3"/>
      <c r="T175" s="3"/>
      <c r="X175" s="76"/>
    </row>
    <row r="176" spans="1:24" s="75" customFormat="1" ht="13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4">
      <c r="A177" s="19"/>
      <c r="B177" s="19"/>
      <c r="C177" s="19"/>
      <c r="D177" s="182"/>
      <c r="E177" s="21" t="s">
        <v>390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 ht="13">
      <c r="A179" s="3"/>
      <c r="B179" s="3"/>
      <c r="C179" s="3"/>
      <c r="E179" s="49" t="s">
        <v>391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 ht="13">
      <c r="A180" s="3"/>
      <c r="B180" s="3"/>
      <c r="C180" s="3"/>
      <c r="D180" s="30" t="s">
        <v>147</v>
      </c>
      <c r="E180" s="32" t="s">
        <v>392</v>
      </c>
      <c r="F180" s="33" t="s">
        <v>134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 ht="13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 ht="13">
      <c r="A182" s="3"/>
      <c r="B182" s="3"/>
      <c r="C182" s="3"/>
      <c r="E182" s="49" t="s">
        <v>393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147</v>
      </c>
      <c r="E183" s="32" t="s">
        <v>394</v>
      </c>
      <c r="F183" s="33" t="s">
        <v>134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 ht="13">
      <c r="A185" s="3"/>
      <c r="B185" s="3"/>
      <c r="C185" s="3"/>
      <c r="E185" s="151" t="s">
        <v>395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 ht="13">
      <c r="A186" s="3"/>
      <c r="B186" s="3"/>
      <c r="C186" s="3"/>
      <c r="D186" s="184" t="s">
        <v>147</v>
      </c>
      <c r="E186" s="152" t="s">
        <v>396</v>
      </c>
      <c r="F186" s="33" t="s">
        <v>134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 ht="13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4">
      <c r="A188" s="19"/>
      <c r="B188" s="19"/>
      <c r="C188" s="19"/>
      <c r="D188" s="182"/>
      <c r="E188" s="21" t="s">
        <v>397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4">
      <c r="A190" s="19"/>
      <c r="B190" s="19"/>
      <c r="C190" s="19"/>
      <c r="D190" s="182"/>
      <c r="E190" s="21" t="s">
        <v>398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 ht="13">
      <c r="A192" s="75"/>
      <c r="D192" s="28" t="s">
        <v>188</v>
      </c>
      <c r="E192" s="91" t="s">
        <v>399</v>
      </c>
      <c r="F192" s="33"/>
      <c r="G192" s="180">
        <f>IF(SUM(Baseline.Totex.Water)&lt;&gt;0,SUMPRODUCT(PAYG.Water,Baseline.Totex.Water)/SUM(Baseline.Totex.Water),0)</f>
        <v>0.75192719751414572</v>
      </c>
      <c r="H192" s="89" t="s">
        <v>400</v>
      </c>
    </row>
    <row r="193" spans="1:24" ht="13">
      <c r="A193" s="75"/>
      <c r="D193" s="28" t="s">
        <v>188</v>
      </c>
      <c r="E193" s="91" t="s">
        <v>401</v>
      </c>
      <c r="F193" s="33"/>
      <c r="G193" s="204">
        <f>IF(SUM(Baseline.Totex.Sewerage)&lt;&gt;0,SUMPRODUCT(PAYG.Sewerage,Baseline.Totex.Sewerage)/SUM(Baseline.Totex.Sewerage),0)</f>
        <v>0</v>
      </c>
      <c r="H193" s="89" t="s">
        <v>402</v>
      </c>
    </row>
    <row r="194" spans="1:24"/>
    <row r="195" spans="1:24" s="22" customFormat="1" ht="14">
      <c r="A195" s="19"/>
      <c r="B195" s="19"/>
      <c r="C195" s="19"/>
      <c r="D195" s="182"/>
      <c r="E195" s="21" t="s">
        <v>403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147</v>
      </c>
      <c r="E197" s="91" t="s">
        <v>404</v>
      </c>
      <c r="F197" s="33" t="s">
        <v>134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-1.3150735521753552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147</v>
      </c>
      <c r="E198" s="91" t="s">
        <v>405</v>
      </c>
      <c r="F198" s="33" t="s">
        <v>134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4">
      <c r="A200" s="19"/>
      <c r="B200" s="19"/>
      <c r="C200" s="19"/>
      <c r="D200" s="182"/>
      <c r="E200" s="21" t="s">
        <v>406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147</v>
      </c>
      <c r="E202" s="91" t="s">
        <v>407</v>
      </c>
      <c r="F202" s="33" t="s">
        <v>134</v>
      </c>
      <c r="P202" s="88">
        <f>Total.Adj.Water*(1-WeightedPAYG.Water)</f>
        <v>1.3214732434791845</v>
      </c>
    </row>
    <row r="203" spans="1:24">
      <c r="A203" s="75"/>
      <c r="D203" s="184" t="s">
        <v>147</v>
      </c>
      <c r="E203" s="91" t="s">
        <v>408</v>
      </c>
      <c r="F203" s="33" t="s">
        <v>134</v>
      </c>
      <c r="P203" s="88">
        <f>Total.Adj.Sewerage*(1-WeightedPAYG.Sewerage)+P186</f>
        <v>0</v>
      </c>
    </row>
    <row r="204" spans="1:24"/>
    <row r="205" spans="1:24" ht="13" thickBot="1"/>
    <row r="206" spans="1:24" ht="13.5" thickBot="1">
      <c r="A206" s="92" t="s">
        <v>409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O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17.90625" style="7" customWidth="1"/>
    <col min="7" max="7" width="11.54296875" style="7" customWidth="1"/>
    <col min="8" max="8" width="4.08984375" style="7" customWidth="1"/>
    <col min="9" max="21" width="13.08984375" style="7" customWidth="1"/>
    <col min="22" max="22" width="15.90625" style="7" bestFit="1" customWidth="1"/>
    <col min="23" max="16384" width="9.08984375" style="7" hidden="1"/>
  </cols>
  <sheetData>
    <row r="1" spans="1:24" ht="32.5">
      <c r="A1" s="94"/>
      <c r="B1" s="94"/>
      <c r="C1" s="94"/>
      <c r="D1" s="1" t="s">
        <v>420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3">
      <c r="E3" s="7" t="s">
        <v>108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421</v>
      </c>
    </row>
    <row r="4" spans="1:24" ht="13">
      <c r="V4" s="96"/>
    </row>
    <row r="5" spans="1:24" ht="13">
      <c r="E5" s="7" t="s">
        <v>109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422</v>
      </c>
    </row>
    <row r="6" spans="1:24" ht="13">
      <c r="E6" s="7" t="s">
        <v>110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5"/>
    <row r="8" spans="1:24" ht="12.5"/>
    <row r="9" spans="1:24" s="22" customFormat="1" ht="14">
      <c r="A9" s="18"/>
      <c r="B9" s="19"/>
      <c r="C9" s="19"/>
      <c r="D9" s="20"/>
      <c r="E9" s="21" t="s">
        <v>423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5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5">
      <c r="A11" s="72"/>
      <c r="D11" s="30" t="s">
        <v>147</v>
      </c>
      <c r="E11" s="91" t="s">
        <v>404</v>
      </c>
      <c r="F11" s="33" t="s">
        <v>134</v>
      </c>
      <c r="P11" s="88">
        <f>Calcs!P197</f>
        <v>-1.3150735521753552</v>
      </c>
      <c r="X11" s="74"/>
    </row>
    <row r="12" spans="1:24" s="3" customFormat="1" ht="12.5">
      <c r="A12" s="72"/>
      <c r="D12" s="30" t="s">
        <v>147</v>
      </c>
      <c r="E12" s="91" t="s">
        <v>405</v>
      </c>
      <c r="F12" s="33" t="s">
        <v>134</v>
      </c>
      <c r="P12" s="88">
        <f>Calcs!P198</f>
        <v>0</v>
      </c>
      <c r="X12" s="74"/>
    </row>
    <row r="13" spans="1:24" s="3" customFormat="1" ht="12.5">
      <c r="E13" s="91"/>
      <c r="F13" s="33"/>
      <c r="P13" s="153"/>
      <c r="X13" s="74"/>
    </row>
    <row r="14" spans="1:24" s="3" customFormat="1" ht="13">
      <c r="A14" s="72"/>
      <c r="D14" s="30" t="s">
        <v>147</v>
      </c>
      <c r="E14" s="78" t="s">
        <v>424</v>
      </c>
      <c r="F14" s="33" t="s">
        <v>134</v>
      </c>
      <c r="P14" s="156">
        <f>SUM(P11:P12)</f>
        <v>-1.3150735521753552</v>
      </c>
      <c r="X14" s="74"/>
    </row>
    <row r="15" spans="1:24" s="3" customFormat="1" ht="12.5">
      <c r="E15" s="91"/>
      <c r="F15" s="91"/>
      <c r="G15" s="91"/>
      <c r="X15" s="74"/>
    </row>
    <row r="16" spans="1:24" s="22" customFormat="1" ht="14">
      <c r="A16" s="18"/>
      <c r="B16" s="19"/>
      <c r="C16" s="19"/>
      <c r="D16" s="20"/>
      <c r="E16" s="21" t="s">
        <v>425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5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5">
      <c r="A18" s="72"/>
      <c r="D18" s="30" t="s">
        <v>147</v>
      </c>
      <c r="E18" s="91" t="s">
        <v>407</v>
      </c>
      <c r="F18" s="33" t="s">
        <v>134</v>
      </c>
      <c r="P18" s="88">
        <f>Calcs!P202</f>
        <v>1.3214732434791845</v>
      </c>
      <c r="X18" s="74"/>
    </row>
    <row r="19" spans="1:24" s="3" customFormat="1" ht="12.5">
      <c r="A19" s="72"/>
      <c r="D19" s="30" t="s">
        <v>147</v>
      </c>
      <c r="E19" s="91" t="s">
        <v>408</v>
      </c>
      <c r="F19" s="33" t="s">
        <v>134</v>
      </c>
      <c r="P19" s="88">
        <f>Calcs!P203</f>
        <v>0</v>
      </c>
      <c r="X19" s="74"/>
    </row>
    <row r="20" spans="1:24" customFormat="1" ht="14.5">
      <c r="G20" s="7"/>
    </row>
    <row r="21" spans="1:24" s="3" customFormat="1" ht="13">
      <c r="A21" s="72"/>
      <c r="D21" s="30" t="s">
        <v>147</v>
      </c>
      <c r="E21" s="78" t="s">
        <v>426</v>
      </c>
      <c r="F21" s="33" t="s">
        <v>134</v>
      </c>
      <c r="P21" s="156">
        <f>SUM(P18:P19)</f>
        <v>1.3214732434791845</v>
      </c>
      <c r="X21" s="74"/>
    </row>
    <row r="22" spans="1:24" ht="13" thickBot="1"/>
    <row r="23" spans="1:24" ht="13.5" thickBot="1">
      <c r="A23" s="104" t="s">
        <v>409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5"/>
    <row r="25" spans="1:24" ht="12.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426</v>
      </c>
      <c r="F41" s="33" t="s">
        <v>134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1.3214732434791845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427</v>
      </c>
    </row>
    <row r="47" spans="4:16" ht="0" hidden="1" customHeight="1">
      <c r="E47" s="7" t="s">
        <v>428</v>
      </c>
    </row>
    <row r="48" spans="4:16" ht="0" hidden="1" customHeight="1">
      <c r="E48" s="7" t="s">
        <v>429</v>
      </c>
    </row>
    <row r="51" spans="5:5" ht="0" hidden="1" customHeight="1">
      <c r="E51" s="7" t="s">
        <v>430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90625" defaultRowHeight="14.5"/>
  <cols>
    <col min="1" max="1" width="3.90625" style="261" customWidth="1"/>
    <col min="2" max="2" width="23.08984375" style="261" bestFit="1" customWidth="1"/>
    <col min="3" max="3" width="19.90625" style="261" customWidth="1"/>
    <col min="4" max="4" width="3.36328125" style="261" customWidth="1"/>
    <col min="5" max="5" width="15.7265625" style="261" customWidth="1"/>
    <col min="6" max="6" width="15.90625" style="261" customWidth="1"/>
    <col min="7" max="7" width="14.54296875" style="261" bestFit="1" customWidth="1"/>
    <col min="8" max="16384" width="8.90625" style="261"/>
  </cols>
  <sheetData>
    <row r="1" spans="1:7">
      <c r="C1" s="261" t="s">
        <v>410</v>
      </c>
    </row>
    <row r="2" spans="1:7">
      <c r="A2" s="261" t="s">
        <v>1</v>
      </c>
      <c r="B2" s="261" t="s">
        <v>2</v>
      </c>
      <c r="C2" s="261" t="s">
        <v>3</v>
      </c>
      <c r="D2" s="261" t="s">
        <v>4</v>
      </c>
      <c r="E2" s="261" t="s">
        <v>5</v>
      </c>
      <c r="F2" s="262" t="s">
        <v>14</v>
      </c>
      <c r="G2" s="262" t="s">
        <v>411</v>
      </c>
    </row>
    <row r="4" spans="1:7">
      <c r="B4" s="261" t="s">
        <v>412</v>
      </c>
      <c r="C4" s="91" t="s">
        <v>404</v>
      </c>
      <c r="D4" s="261" t="s">
        <v>24</v>
      </c>
      <c r="E4" s="261" t="s">
        <v>21</v>
      </c>
      <c r="F4" s="263"/>
      <c r="G4" s="264">
        <f>'Totex menu adjustments'!P11</f>
        <v>-1.3150735521753552</v>
      </c>
    </row>
    <row r="5" spans="1:7">
      <c r="B5" s="261" t="s">
        <v>413</v>
      </c>
      <c r="C5" s="91" t="s">
        <v>405</v>
      </c>
      <c r="D5" s="261" t="s">
        <v>24</v>
      </c>
      <c r="E5" s="261" t="s">
        <v>21</v>
      </c>
      <c r="F5" s="264"/>
      <c r="G5" s="264">
        <f>'Totex menu adjustments'!P12</f>
        <v>0</v>
      </c>
    </row>
    <row r="6" spans="1:7">
      <c r="B6" s="261" t="s">
        <v>414</v>
      </c>
      <c r="C6" s="265" t="s">
        <v>415</v>
      </c>
      <c r="D6" s="261" t="s">
        <v>24</v>
      </c>
      <c r="E6" s="261" t="s">
        <v>21</v>
      </c>
      <c r="F6" s="264"/>
      <c r="G6" s="264">
        <f>'Totex menu adjustments'!P14</f>
        <v>-1.3150735521753552</v>
      </c>
    </row>
    <row r="7" spans="1:7">
      <c r="B7" s="261" t="s">
        <v>416</v>
      </c>
      <c r="C7" s="91" t="s">
        <v>407</v>
      </c>
      <c r="D7" s="261" t="s">
        <v>24</v>
      </c>
      <c r="E7" s="261" t="s">
        <v>21</v>
      </c>
      <c r="F7" s="264">
        <f>'Totex menu adjustments'!P18</f>
        <v>1.3214732434791845</v>
      </c>
      <c r="G7" s="264"/>
    </row>
    <row r="8" spans="1:7">
      <c r="B8" s="261" t="s">
        <v>417</v>
      </c>
      <c r="C8" s="91" t="s">
        <v>408</v>
      </c>
      <c r="D8" s="261" t="s">
        <v>24</v>
      </c>
      <c r="E8" s="261" t="s">
        <v>21</v>
      </c>
      <c r="F8" s="264">
        <f>'Totex menu adjustments'!P19</f>
        <v>0</v>
      </c>
      <c r="G8" s="264"/>
    </row>
    <row r="9" spans="1:7">
      <c r="B9" s="261" t="s">
        <v>418</v>
      </c>
      <c r="C9" s="265" t="s">
        <v>419</v>
      </c>
      <c r="D9" s="261" t="s">
        <v>24</v>
      </c>
      <c r="E9" s="261" t="s">
        <v>21</v>
      </c>
      <c r="F9" s="264">
        <f>'Totex menu adjustments'!P21</f>
        <v>1.3214732434791845</v>
      </c>
      <c r="G9" s="264"/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N41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4296875" style="3" customWidth="1"/>
    <col min="4" max="4" width="11.54296875" style="3" customWidth="1"/>
    <col min="5" max="5" width="53.08984375" style="3" customWidth="1"/>
    <col min="6" max="7" width="2.54296875" style="3" customWidth="1"/>
    <col min="8" max="21" width="11" style="3" customWidth="1"/>
    <col min="22" max="22" width="22.36328125" style="134" bestFit="1" customWidth="1"/>
    <col min="23" max="26" width="8.90625" style="3" hidden="1" customWidth="1"/>
    <col min="27" max="259" width="0" style="3" hidden="1" customWidth="1"/>
    <col min="260" max="16384" width="0" style="3" hidden="1"/>
  </cols>
  <sheetData>
    <row r="1" spans="1:24" s="72" customFormat="1" ht="32.5">
      <c r="A1" s="106"/>
      <c r="B1" s="106"/>
      <c r="C1" s="107"/>
      <c r="D1" s="1" t="s">
        <v>431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5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4">
      <c r="A3" s="115"/>
      <c r="B3" s="115"/>
      <c r="C3" s="116"/>
      <c r="D3" s="115"/>
      <c r="E3" s="117" t="s">
        <v>108</v>
      </c>
      <c r="F3" s="117"/>
      <c r="G3" s="117"/>
      <c r="H3" s="95" t="s">
        <v>6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3">
      <c r="C5" s="116"/>
      <c r="E5" s="115" t="s">
        <v>432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3">
      <c r="C6" s="114"/>
      <c r="E6" s="7" t="s">
        <v>110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433</v>
      </c>
      <c r="J7" s="126" t="s">
        <v>433</v>
      </c>
      <c r="K7" s="126" t="s">
        <v>433</v>
      </c>
      <c r="L7" s="126" t="s">
        <v>433</v>
      </c>
      <c r="M7" s="126" t="s">
        <v>433</v>
      </c>
      <c r="N7" s="126" t="s">
        <v>433</v>
      </c>
      <c r="O7" s="126" t="s">
        <v>433</v>
      </c>
      <c r="P7" s="126" t="s">
        <v>433</v>
      </c>
      <c r="Q7" s="126" t="s">
        <v>433</v>
      </c>
      <c r="R7" s="126" t="s">
        <v>433</v>
      </c>
      <c r="S7" s="126" t="s">
        <v>433</v>
      </c>
      <c r="T7" s="126" t="s">
        <v>433</v>
      </c>
      <c r="U7" s="126" t="s">
        <v>433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434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435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3">
      <c r="B11" s="16">
        <v>1</v>
      </c>
      <c r="C11" s="114"/>
      <c r="D11" s="72" t="s">
        <v>436</v>
      </c>
      <c r="E11" s="127" t="s">
        <v>437</v>
      </c>
      <c r="F11" s="127"/>
      <c r="G11" s="127"/>
      <c r="I11" s="128">
        <f>F_Inputs!G34</f>
        <v>242.5</v>
      </c>
      <c r="J11" s="128">
        <f>F_Inputs!H34</f>
        <v>249.5</v>
      </c>
      <c r="K11" s="128">
        <f>F_Inputs!I34</f>
        <v>255.7</v>
      </c>
      <c r="L11" s="128">
        <f>F_Inputs!J34</f>
        <v>258</v>
      </c>
      <c r="M11" s="128">
        <f>F_Inputs!K34</f>
        <v>261.39999999999998</v>
      </c>
      <c r="N11" s="128">
        <f>F_Inputs!L34</f>
        <v>270.60000000000002</v>
      </c>
      <c r="O11" s="128">
        <f>F_Inputs!M34</f>
        <v>279.7</v>
      </c>
      <c r="P11" s="128">
        <f>F_Inputs!N34</f>
        <v>287.00017000000003</v>
      </c>
      <c r="Q11" s="128">
        <f>F_Inputs!O34</f>
        <v>294.490874437</v>
      </c>
      <c r="R11" s="128"/>
      <c r="S11" s="128"/>
      <c r="T11" s="128"/>
      <c r="U11" s="128"/>
      <c r="V11" s="125"/>
    </row>
    <row r="12" spans="1:24" s="72" customFormat="1" ht="13">
      <c r="B12" s="16">
        <v>2</v>
      </c>
      <c r="C12" s="114"/>
      <c r="D12" s="72" t="s">
        <v>436</v>
      </c>
      <c r="E12" s="127" t="s">
        <v>438</v>
      </c>
      <c r="F12" s="127"/>
      <c r="G12" s="127"/>
      <c r="I12" s="128">
        <f>F_Inputs!G35</f>
        <v>242.4</v>
      </c>
      <c r="J12" s="128">
        <f>F_Inputs!H35</f>
        <v>250</v>
      </c>
      <c r="K12" s="128">
        <f>F_Inputs!I35</f>
        <v>255.9</v>
      </c>
      <c r="L12" s="128">
        <f>F_Inputs!J35</f>
        <v>258.5</v>
      </c>
      <c r="M12" s="128">
        <f>F_Inputs!K35</f>
        <v>262.10000000000002</v>
      </c>
      <c r="N12" s="128">
        <f>F_Inputs!L35</f>
        <v>271.7</v>
      </c>
      <c r="O12" s="128">
        <f>F_Inputs!M35</f>
        <v>280.7</v>
      </c>
      <c r="P12" s="128">
        <f>F_Inputs!N35</f>
        <v>288.02627000000001</v>
      </c>
      <c r="Q12" s="128">
        <f>F_Inputs!O35</f>
        <v>295.54375564700001</v>
      </c>
      <c r="R12" s="128"/>
      <c r="S12" s="128"/>
      <c r="T12" s="128"/>
      <c r="U12" s="128"/>
      <c r="V12" s="125"/>
    </row>
    <row r="13" spans="1:24" s="72" customFormat="1" ht="13">
      <c r="B13" s="16">
        <v>3</v>
      </c>
      <c r="C13" s="114"/>
      <c r="D13" s="72" t="s">
        <v>436</v>
      </c>
      <c r="E13" s="127" t="s">
        <v>439</v>
      </c>
      <c r="F13" s="127"/>
      <c r="G13" s="127"/>
      <c r="I13" s="128">
        <f>F_Inputs!G36</f>
        <v>241.8</v>
      </c>
      <c r="J13" s="128">
        <f>F_Inputs!H36</f>
        <v>249.7</v>
      </c>
      <c r="K13" s="128">
        <f>F_Inputs!I36</f>
        <v>256.3</v>
      </c>
      <c r="L13" s="128">
        <f>F_Inputs!J36</f>
        <v>258.89999999999998</v>
      </c>
      <c r="M13" s="128">
        <f>F_Inputs!K36</f>
        <v>263.10000000000002</v>
      </c>
      <c r="N13" s="128">
        <f>F_Inputs!L36</f>
        <v>272.3</v>
      </c>
      <c r="O13" s="128">
        <f>F_Inputs!M36</f>
        <v>281.5</v>
      </c>
      <c r="P13" s="128">
        <f>F_Inputs!N36</f>
        <v>288.84715</v>
      </c>
      <c r="Q13" s="128">
        <f>F_Inputs!O36</f>
        <v>296.38606061500002</v>
      </c>
      <c r="R13" s="128"/>
      <c r="S13" s="128"/>
      <c r="T13" s="128"/>
      <c r="U13" s="128"/>
      <c r="V13" s="125"/>
    </row>
    <row r="14" spans="1:24" s="72" customFormat="1" ht="13">
      <c r="B14" s="16">
        <v>4</v>
      </c>
      <c r="C14" s="114"/>
      <c r="D14" s="72" t="s">
        <v>436</v>
      </c>
      <c r="E14" s="127" t="s">
        <v>440</v>
      </c>
      <c r="F14" s="127"/>
      <c r="G14" s="127"/>
      <c r="I14" s="128">
        <f>F_Inputs!G37</f>
        <v>242.1</v>
      </c>
      <c r="J14" s="128">
        <f>F_Inputs!H37</f>
        <v>249.7</v>
      </c>
      <c r="K14" s="128">
        <f>F_Inputs!I37</f>
        <v>256</v>
      </c>
      <c r="L14" s="128">
        <f>F_Inputs!J37</f>
        <v>258.60000000000002</v>
      </c>
      <c r="M14" s="128">
        <f>F_Inputs!K37</f>
        <v>263.39999999999998</v>
      </c>
      <c r="N14" s="128">
        <f>F_Inputs!L37</f>
        <v>272.89999999999998</v>
      </c>
      <c r="O14" s="128">
        <f>F_Inputs!M37</f>
        <v>281.7</v>
      </c>
      <c r="P14" s="128">
        <f>F_Inputs!N37</f>
        <v>289.05237</v>
      </c>
      <c r="Q14" s="128">
        <f>F_Inputs!O37</f>
        <v>296.59663685700002</v>
      </c>
      <c r="R14" s="128"/>
      <c r="S14" s="128"/>
      <c r="T14" s="128"/>
      <c r="U14" s="128"/>
      <c r="V14" s="125"/>
    </row>
    <row r="15" spans="1:24" s="72" customFormat="1" ht="13">
      <c r="B15" s="16">
        <v>5</v>
      </c>
      <c r="C15" s="114"/>
      <c r="D15" s="72" t="s">
        <v>436</v>
      </c>
      <c r="E15" s="127" t="s">
        <v>441</v>
      </c>
      <c r="F15" s="127"/>
      <c r="G15" s="127"/>
      <c r="I15" s="128">
        <f>F_Inputs!G38</f>
        <v>243</v>
      </c>
      <c r="J15" s="128">
        <f>F_Inputs!H38</f>
        <v>251</v>
      </c>
      <c r="K15" s="128">
        <f>F_Inputs!I38</f>
        <v>257</v>
      </c>
      <c r="L15" s="128">
        <f>F_Inputs!J38</f>
        <v>259.8</v>
      </c>
      <c r="M15" s="128">
        <f>F_Inputs!K38</f>
        <v>264.39999999999998</v>
      </c>
      <c r="N15" s="128">
        <f>F_Inputs!L38</f>
        <v>274.7</v>
      </c>
      <c r="O15" s="128">
        <f>F_Inputs!M38</f>
        <v>279.64</v>
      </c>
      <c r="P15" s="128">
        <f>F_Inputs!N38</f>
        <v>286.938604</v>
      </c>
      <c r="Q15" s="128">
        <f>F_Inputs!O38</f>
        <v>294.42770156440002</v>
      </c>
      <c r="R15" s="128"/>
      <c r="S15" s="128"/>
      <c r="T15" s="128"/>
      <c r="U15" s="128"/>
      <c r="V15" s="125"/>
    </row>
    <row r="16" spans="1:24" s="72" customFormat="1" ht="13">
      <c r="B16" s="16">
        <v>6</v>
      </c>
      <c r="C16" s="114"/>
      <c r="D16" s="72" t="s">
        <v>436</v>
      </c>
      <c r="E16" s="127" t="s">
        <v>442</v>
      </c>
      <c r="F16" s="127"/>
      <c r="G16" s="127"/>
      <c r="I16" s="128">
        <f>F_Inputs!G39</f>
        <v>244.2</v>
      </c>
      <c r="J16" s="128">
        <f>F_Inputs!H39</f>
        <v>251.9</v>
      </c>
      <c r="K16" s="128">
        <f>F_Inputs!I39</f>
        <v>257.60000000000002</v>
      </c>
      <c r="L16" s="128">
        <f>F_Inputs!J39</f>
        <v>259.60000000000002</v>
      </c>
      <c r="M16" s="128">
        <f>F_Inputs!K39</f>
        <v>264.89999999999998</v>
      </c>
      <c r="N16" s="128">
        <f>F_Inputs!L39</f>
        <v>275.10000000000002</v>
      </c>
      <c r="O16" s="128">
        <f>F_Inputs!M39</f>
        <v>279.64</v>
      </c>
      <c r="P16" s="128">
        <f>F_Inputs!N39</f>
        <v>286.938604</v>
      </c>
      <c r="Q16" s="128">
        <f>F_Inputs!O39</f>
        <v>294.42770156440002</v>
      </c>
      <c r="R16" s="128"/>
      <c r="S16" s="128"/>
      <c r="T16" s="128"/>
      <c r="U16" s="128"/>
      <c r="V16" s="125"/>
    </row>
    <row r="17" spans="2:22" s="72" customFormat="1" ht="13">
      <c r="B17" s="16">
        <v>7</v>
      </c>
      <c r="C17" s="114"/>
      <c r="D17" s="72" t="s">
        <v>436</v>
      </c>
      <c r="E17" s="127" t="s">
        <v>443</v>
      </c>
      <c r="F17" s="127"/>
      <c r="G17" s="127"/>
      <c r="I17" s="128">
        <f>F_Inputs!G40</f>
        <v>245.6</v>
      </c>
      <c r="J17" s="128">
        <f>F_Inputs!H40</f>
        <v>251.9</v>
      </c>
      <c r="K17" s="128">
        <f>F_Inputs!I40</f>
        <v>257.7</v>
      </c>
      <c r="L17" s="128">
        <f>F_Inputs!J40</f>
        <v>259.5</v>
      </c>
      <c r="M17" s="128">
        <f>F_Inputs!K40</f>
        <v>264.8</v>
      </c>
      <c r="N17" s="128">
        <f>F_Inputs!L40</f>
        <v>275.3</v>
      </c>
      <c r="O17" s="128">
        <f>F_Inputs!M40</f>
        <v>279.64</v>
      </c>
      <c r="P17" s="128">
        <f>F_Inputs!N40</f>
        <v>286.938604</v>
      </c>
      <c r="Q17" s="128">
        <f>F_Inputs!O40</f>
        <v>294.42770156440002</v>
      </c>
      <c r="R17" s="128"/>
      <c r="S17" s="128"/>
      <c r="T17" s="128"/>
      <c r="U17" s="128"/>
      <c r="V17" s="125"/>
    </row>
    <row r="18" spans="2:22" s="72" customFormat="1" ht="13">
      <c r="B18" s="16">
        <v>8</v>
      </c>
      <c r="C18" s="114"/>
      <c r="D18" s="72" t="s">
        <v>436</v>
      </c>
      <c r="E18" s="127" t="s">
        <v>444</v>
      </c>
      <c r="F18" s="127"/>
      <c r="G18" s="127"/>
      <c r="H18" s="128">
        <f>F_Inputs!F41</f>
        <v>238.5</v>
      </c>
      <c r="I18" s="128">
        <f>F_Inputs!G41</f>
        <v>245.6</v>
      </c>
      <c r="J18" s="128">
        <f>F_Inputs!H41</f>
        <v>252.1</v>
      </c>
      <c r="K18" s="128">
        <f>F_Inputs!I41</f>
        <v>257.10000000000002</v>
      </c>
      <c r="L18" s="128">
        <f>F_Inputs!J41</f>
        <v>259.8</v>
      </c>
      <c r="M18" s="128">
        <f>F_Inputs!K41</f>
        <v>265.5</v>
      </c>
      <c r="N18" s="128">
        <f>F_Inputs!L41</f>
        <v>275.8</v>
      </c>
      <c r="O18" s="128">
        <f>F_Inputs!M41</f>
        <v>282.9984</v>
      </c>
      <c r="P18" s="128">
        <f>F_Inputs!N41</f>
        <v>290.38465824000002</v>
      </c>
      <c r="Q18" s="128">
        <f>F_Inputs!O41</f>
        <v>297.963697820064</v>
      </c>
      <c r="R18" s="128"/>
      <c r="S18" s="128"/>
      <c r="T18" s="128"/>
      <c r="U18" s="128"/>
      <c r="V18" s="125"/>
    </row>
    <row r="19" spans="2:22" s="72" customFormat="1" ht="13">
      <c r="B19" s="16">
        <v>9</v>
      </c>
      <c r="C19" s="114"/>
      <c r="D19" s="72" t="s">
        <v>436</v>
      </c>
      <c r="E19" s="127" t="s">
        <v>445</v>
      </c>
      <c r="F19" s="127"/>
      <c r="G19" s="127"/>
      <c r="I19" s="128">
        <f>F_Inputs!G42</f>
        <v>246.8</v>
      </c>
      <c r="J19" s="128">
        <f>F_Inputs!H42</f>
        <v>253.4</v>
      </c>
      <c r="K19" s="128">
        <f>F_Inputs!I42</f>
        <v>257.5</v>
      </c>
      <c r="L19" s="128">
        <f>F_Inputs!J42</f>
        <v>260.60000000000002</v>
      </c>
      <c r="M19" s="128">
        <f>F_Inputs!K42</f>
        <v>267.10000000000002</v>
      </c>
      <c r="N19" s="128">
        <f>F_Inputs!L42</f>
        <v>278.10000000000002</v>
      </c>
      <c r="O19" s="128">
        <f>F_Inputs!M42</f>
        <v>285.35840000000002</v>
      </c>
      <c r="P19" s="128">
        <f>F_Inputs!N42</f>
        <v>292.80625423999999</v>
      </c>
      <c r="Q19" s="128">
        <f>F_Inputs!O42</f>
        <v>300.448497475664</v>
      </c>
      <c r="R19" s="128"/>
      <c r="S19" s="128"/>
      <c r="T19" s="128"/>
      <c r="U19" s="128"/>
      <c r="V19" s="125"/>
    </row>
    <row r="20" spans="2:22" s="72" customFormat="1" ht="13">
      <c r="B20" s="16">
        <v>10</v>
      </c>
      <c r="C20" s="114"/>
      <c r="D20" s="72" t="s">
        <v>436</v>
      </c>
      <c r="E20" s="127" t="s">
        <v>446</v>
      </c>
      <c r="F20" s="127"/>
      <c r="G20" s="127"/>
      <c r="I20" s="128">
        <f>F_Inputs!G43</f>
        <v>245.8</v>
      </c>
      <c r="J20" s="128">
        <f>F_Inputs!H43</f>
        <v>252.6</v>
      </c>
      <c r="K20" s="128">
        <f>F_Inputs!I43</f>
        <v>255.4</v>
      </c>
      <c r="L20" s="128">
        <f>F_Inputs!J43</f>
        <v>258.8</v>
      </c>
      <c r="M20" s="128">
        <f>F_Inputs!K43</f>
        <v>265.5</v>
      </c>
      <c r="N20" s="128">
        <f>F_Inputs!L43</f>
        <v>276</v>
      </c>
      <c r="O20" s="128">
        <f>F_Inputs!M43</f>
        <v>283.20359999999999</v>
      </c>
      <c r="P20" s="128">
        <f>F_Inputs!N43</f>
        <v>290.59521396000002</v>
      </c>
      <c r="Q20" s="128">
        <f>F_Inputs!O43</f>
        <v>298.17974904435602</v>
      </c>
      <c r="R20" s="128"/>
      <c r="S20" s="128"/>
      <c r="T20" s="128"/>
      <c r="U20" s="128"/>
      <c r="V20" s="125"/>
    </row>
    <row r="21" spans="2:22" s="72" customFormat="1" ht="13">
      <c r="B21" s="16">
        <v>11</v>
      </c>
      <c r="C21" s="114"/>
      <c r="D21" s="72" t="s">
        <v>436</v>
      </c>
      <c r="E21" s="127" t="s">
        <v>447</v>
      </c>
      <c r="F21" s="127"/>
      <c r="G21" s="127"/>
      <c r="I21" s="128">
        <f>F_Inputs!G44</f>
        <v>247.6</v>
      </c>
      <c r="J21" s="128">
        <f>F_Inputs!H44</f>
        <v>254.2</v>
      </c>
      <c r="K21" s="128">
        <f>F_Inputs!I44</f>
        <v>256.7</v>
      </c>
      <c r="L21" s="128">
        <f>F_Inputs!J44</f>
        <v>260</v>
      </c>
      <c r="M21" s="128">
        <f>F_Inputs!K44</f>
        <v>268.39999999999998</v>
      </c>
      <c r="N21" s="128">
        <f>F_Inputs!L44</f>
        <v>278.10000000000002</v>
      </c>
      <c r="O21" s="128">
        <f>F_Inputs!M44</f>
        <v>285.35840000000002</v>
      </c>
      <c r="P21" s="128">
        <f>F_Inputs!N44</f>
        <v>292.80625423999999</v>
      </c>
      <c r="Q21" s="128">
        <f>F_Inputs!O44</f>
        <v>300.448497475664</v>
      </c>
      <c r="R21" s="128"/>
      <c r="S21" s="128"/>
      <c r="T21" s="128"/>
      <c r="U21" s="128"/>
      <c r="V21" s="125"/>
    </row>
    <row r="22" spans="2:22" s="72" customFormat="1" ht="13">
      <c r="B22" s="16">
        <v>12</v>
      </c>
      <c r="C22" s="114"/>
      <c r="D22" s="72" t="s">
        <v>436</v>
      </c>
      <c r="E22" s="127" t="s">
        <v>448</v>
      </c>
      <c r="F22" s="127"/>
      <c r="G22" s="127"/>
      <c r="I22" s="128">
        <f>F_Inputs!G45</f>
        <v>248.7</v>
      </c>
      <c r="J22" s="128">
        <f>F_Inputs!H45</f>
        <v>254.8</v>
      </c>
      <c r="K22" s="128">
        <f>F_Inputs!I45</f>
        <v>257.10000000000002</v>
      </c>
      <c r="L22" s="128">
        <f>F_Inputs!J45</f>
        <v>261.10000000000002</v>
      </c>
      <c r="M22" s="128">
        <f>F_Inputs!K45</f>
        <v>269.3</v>
      </c>
      <c r="N22" s="128">
        <f>F_Inputs!L45</f>
        <v>278.3</v>
      </c>
      <c r="O22" s="128">
        <f>F_Inputs!M45</f>
        <v>285.56360000000001</v>
      </c>
      <c r="P22" s="128">
        <f>F_Inputs!N45</f>
        <v>293.01680995999999</v>
      </c>
      <c r="Q22" s="128">
        <f>F_Inputs!O45</f>
        <v>300.66454869995601</v>
      </c>
      <c r="R22" s="128"/>
      <c r="S22" s="128"/>
      <c r="T22" s="128"/>
      <c r="U22" s="128"/>
      <c r="V22" s="125"/>
    </row>
    <row r="23" spans="2:22" s="72" customFormat="1" ht="13">
      <c r="B23" s="114"/>
      <c r="C23" s="114"/>
      <c r="D23" s="91"/>
      <c r="E23" s="127" t="s">
        <v>449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3">
      <c r="C24" s="131"/>
      <c r="D24" s="130" t="s">
        <v>450</v>
      </c>
      <c r="E24" s="130" t="s">
        <v>451</v>
      </c>
      <c r="I24" s="146" t="s">
        <v>433</v>
      </c>
      <c r="J24" s="146" t="s">
        <v>433</v>
      </c>
      <c r="K24" s="146" t="s">
        <v>433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3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3">
      <c r="C26" s="131" t="s">
        <v>452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453</v>
      </c>
    </row>
    <row r="27" spans="2:22" s="72" customFormat="1" ht="12.75" customHeight="1">
      <c r="C27" s="114"/>
      <c r="I27" s="126" t="s">
        <v>433</v>
      </c>
      <c r="J27" s="126" t="s">
        <v>433</v>
      </c>
      <c r="K27" s="126" t="s">
        <v>433</v>
      </c>
      <c r="L27" s="126" t="s">
        <v>433</v>
      </c>
      <c r="M27" s="126" t="s">
        <v>433</v>
      </c>
      <c r="N27" s="126" t="s">
        <v>433</v>
      </c>
      <c r="O27" s="126" t="s">
        <v>433</v>
      </c>
      <c r="P27" s="126" t="s">
        <v>433</v>
      </c>
      <c r="Q27" s="126" t="s">
        <v>433</v>
      </c>
      <c r="R27" s="126" t="s">
        <v>433</v>
      </c>
      <c r="S27" s="126" t="s">
        <v>433</v>
      </c>
      <c r="T27" s="126" t="s">
        <v>433</v>
      </c>
      <c r="U27" s="126" t="s">
        <v>433</v>
      </c>
      <c r="V27" s="125"/>
    </row>
    <row r="28" spans="2:22" s="72" customFormat="1" ht="12.75" customHeight="1">
      <c r="E28" s="120" t="s">
        <v>454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436</v>
      </c>
      <c r="E29" s="127" t="s">
        <v>437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287.00017000000003</v>
      </c>
      <c r="Q29" s="133">
        <f t="shared" si="2"/>
        <v>294.490874437</v>
      </c>
      <c r="R29" s="133">
        <f t="shared" si="2"/>
        <v>294.490874437</v>
      </c>
      <c r="S29" s="133">
        <f t="shared" si="2"/>
        <v>294.490874437</v>
      </c>
      <c r="T29" s="133">
        <f t="shared" si="2"/>
        <v>294.490874437</v>
      </c>
      <c r="U29" s="133">
        <f t="shared" si="2"/>
        <v>294.490874437</v>
      </c>
    </row>
    <row r="30" spans="2:22" ht="12.75" customHeight="1">
      <c r="B30" s="16">
        <v>2</v>
      </c>
      <c r="C30" s="114"/>
      <c r="D30" s="91" t="s">
        <v>436</v>
      </c>
      <c r="E30" s="127" t="s">
        <v>438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288.02627000000001</v>
      </c>
      <c r="Q30" s="133">
        <f t="shared" si="3"/>
        <v>295.54375564700001</v>
      </c>
      <c r="R30" s="133">
        <f t="shared" si="3"/>
        <v>295.54375564700001</v>
      </c>
      <c r="S30" s="133">
        <f t="shared" si="3"/>
        <v>295.54375564700001</v>
      </c>
      <c r="T30" s="133">
        <f t="shared" si="3"/>
        <v>295.54375564700001</v>
      </c>
      <c r="U30" s="133">
        <f t="shared" si="3"/>
        <v>295.54375564700001</v>
      </c>
    </row>
    <row r="31" spans="2:22" ht="12.75" customHeight="1">
      <c r="B31" s="16">
        <v>3</v>
      </c>
      <c r="C31" s="114"/>
      <c r="D31" s="91" t="s">
        <v>436</v>
      </c>
      <c r="E31" s="127" t="s">
        <v>439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288.84715</v>
      </c>
      <c r="Q31" s="133">
        <f t="shared" si="3"/>
        <v>296.38606061500002</v>
      </c>
      <c r="R31" s="133">
        <f t="shared" si="3"/>
        <v>296.38606061500002</v>
      </c>
      <c r="S31" s="133">
        <f t="shared" si="3"/>
        <v>296.38606061500002</v>
      </c>
      <c r="T31" s="133">
        <f t="shared" si="3"/>
        <v>296.38606061500002</v>
      </c>
      <c r="U31" s="133">
        <f t="shared" si="3"/>
        <v>296.38606061500002</v>
      </c>
    </row>
    <row r="32" spans="2:22" ht="12.75" customHeight="1">
      <c r="B32" s="16">
        <v>4</v>
      </c>
      <c r="C32" s="114"/>
      <c r="D32" s="91" t="s">
        <v>436</v>
      </c>
      <c r="E32" s="127" t="s">
        <v>440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281.7</v>
      </c>
      <c r="P32" s="133">
        <f t="shared" si="3"/>
        <v>289.05237</v>
      </c>
      <c r="Q32" s="133">
        <f t="shared" si="3"/>
        <v>296.59663685700002</v>
      </c>
      <c r="R32" s="133">
        <f t="shared" si="3"/>
        <v>296.59663685700002</v>
      </c>
      <c r="S32" s="133">
        <f t="shared" si="3"/>
        <v>296.59663685700002</v>
      </c>
      <c r="T32" s="133">
        <f t="shared" si="3"/>
        <v>296.59663685700002</v>
      </c>
      <c r="U32" s="133">
        <f t="shared" si="3"/>
        <v>296.59663685700002</v>
      </c>
    </row>
    <row r="33" spans="2:22" ht="12.75" customHeight="1">
      <c r="B33" s="16">
        <v>5</v>
      </c>
      <c r="C33" s="114"/>
      <c r="D33" s="91" t="s">
        <v>436</v>
      </c>
      <c r="E33" s="127" t="s">
        <v>441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279.64</v>
      </c>
      <c r="P33" s="133">
        <f t="shared" si="3"/>
        <v>286.938604</v>
      </c>
      <c r="Q33" s="133">
        <f t="shared" si="3"/>
        <v>294.42770156440002</v>
      </c>
      <c r="R33" s="133">
        <f t="shared" si="3"/>
        <v>294.42770156440002</v>
      </c>
      <c r="S33" s="133">
        <f t="shared" si="3"/>
        <v>294.42770156440002</v>
      </c>
      <c r="T33" s="133">
        <f t="shared" si="3"/>
        <v>294.42770156440002</v>
      </c>
      <c r="U33" s="133">
        <f t="shared" si="3"/>
        <v>294.42770156440002</v>
      </c>
    </row>
    <row r="34" spans="2:22" ht="12.75" customHeight="1">
      <c r="B34" s="16">
        <v>6</v>
      </c>
      <c r="C34" s="114"/>
      <c r="D34" s="91" t="s">
        <v>436</v>
      </c>
      <c r="E34" s="127" t="s">
        <v>442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279.64</v>
      </c>
      <c r="P34" s="133">
        <f t="shared" si="3"/>
        <v>286.938604</v>
      </c>
      <c r="Q34" s="133">
        <f t="shared" si="3"/>
        <v>294.42770156440002</v>
      </c>
      <c r="R34" s="133">
        <f t="shared" si="3"/>
        <v>294.42770156440002</v>
      </c>
      <c r="S34" s="133">
        <f t="shared" si="3"/>
        <v>294.42770156440002</v>
      </c>
      <c r="T34" s="133">
        <f t="shared" si="3"/>
        <v>294.42770156440002</v>
      </c>
      <c r="U34" s="133">
        <f t="shared" si="3"/>
        <v>294.42770156440002</v>
      </c>
    </row>
    <row r="35" spans="2:22" ht="12.75" customHeight="1">
      <c r="B35" s="16">
        <v>7</v>
      </c>
      <c r="C35" s="114"/>
      <c r="D35" s="91" t="s">
        <v>436</v>
      </c>
      <c r="E35" s="127" t="s">
        <v>443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279.64</v>
      </c>
      <c r="P35" s="133">
        <f t="shared" si="3"/>
        <v>286.938604</v>
      </c>
      <c r="Q35" s="133">
        <f t="shared" si="3"/>
        <v>294.42770156440002</v>
      </c>
      <c r="R35" s="133">
        <f t="shared" si="3"/>
        <v>294.42770156440002</v>
      </c>
      <c r="S35" s="133">
        <f t="shared" si="3"/>
        <v>294.42770156440002</v>
      </c>
      <c r="T35" s="133">
        <f t="shared" si="3"/>
        <v>294.42770156440002</v>
      </c>
      <c r="U35" s="133">
        <f t="shared" si="3"/>
        <v>294.42770156440002</v>
      </c>
    </row>
    <row r="36" spans="2:22" ht="12.75" customHeight="1">
      <c r="B36" s="16">
        <v>8</v>
      </c>
      <c r="C36" s="114"/>
      <c r="D36" s="91" t="s">
        <v>436</v>
      </c>
      <c r="E36" s="127" t="s">
        <v>444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282.9984</v>
      </c>
      <c r="P36" s="133">
        <f t="shared" si="3"/>
        <v>290.38465824000002</v>
      </c>
      <c r="Q36" s="133">
        <f t="shared" si="3"/>
        <v>297.963697820064</v>
      </c>
      <c r="R36" s="133">
        <f t="shared" si="3"/>
        <v>297.963697820064</v>
      </c>
      <c r="S36" s="133">
        <f t="shared" si="3"/>
        <v>297.963697820064</v>
      </c>
      <c r="T36" s="133">
        <f t="shared" si="3"/>
        <v>297.963697820064</v>
      </c>
      <c r="U36" s="133">
        <f t="shared" si="3"/>
        <v>297.963697820064</v>
      </c>
    </row>
    <row r="37" spans="2:22" ht="12.75" customHeight="1">
      <c r="B37" s="16">
        <v>9</v>
      </c>
      <c r="C37" s="114"/>
      <c r="D37" s="91" t="s">
        <v>436</v>
      </c>
      <c r="E37" s="127" t="s">
        <v>445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285.35840000000002</v>
      </c>
      <c r="P37" s="133">
        <f t="shared" si="3"/>
        <v>292.80625423999999</v>
      </c>
      <c r="Q37" s="133">
        <f t="shared" si="3"/>
        <v>300.448497475664</v>
      </c>
      <c r="R37" s="133">
        <f t="shared" si="3"/>
        <v>300.448497475664</v>
      </c>
      <c r="S37" s="133">
        <f t="shared" si="3"/>
        <v>300.448497475664</v>
      </c>
      <c r="T37" s="133">
        <f t="shared" si="3"/>
        <v>300.448497475664</v>
      </c>
      <c r="U37" s="133">
        <f t="shared" si="3"/>
        <v>300.448497475664</v>
      </c>
    </row>
    <row r="38" spans="2:22" ht="12.75" customHeight="1">
      <c r="B38" s="16">
        <v>10</v>
      </c>
      <c r="C38" s="114"/>
      <c r="D38" s="91" t="s">
        <v>436</v>
      </c>
      <c r="E38" s="127" t="s">
        <v>446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283.20359999999999</v>
      </c>
      <c r="P38" s="133">
        <f t="shared" si="3"/>
        <v>290.59521396000002</v>
      </c>
      <c r="Q38" s="133">
        <f t="shared" si="3"/>
        <v>298.17974904435602</v>
      </c>
      <c r="R38" s="133">
        <f t="shared" si="3"/>
        <v>298.17974904435602</v>
      </c>
      <c r="S38" s="133">
        <f t="shared" si="3"/>
        <v>298.17974904435602</v>
      </c>
      <c r="T38" s="133">
        <f t="shared" si="3"/>
        <v>298.17974904435602</v>
      </c>
      <c r="U38" s="133">
        <f t="shared" si="3"/>
        <v>298.17974904435602</v>
      </c>
    </row>
    <row r="39" spans="2:22" ht="12.75" customHeight="1">
      <c r="B39" s="16">
        <v>11</v>
      </c>
      <c r="C39" s="114"/>
      <c r="D39" s="91" t="s">
        <v>436</v>
      </c>
      <c r="E39" s="127" t="s">
        <v>447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285.35840000000002</v>
      </c>
      <c r="P39" s="133">
        <f t="shared" si="3"/>
        <v>292.80625423999999</v>
      </c>
      <c r="Q39" s="133">
        <f t="shared" si="3"/>
        <v>300.448497475664</v>
      </c>
      <c r="R39" s="133">
        <f t="shared" si="3"/>
        <v>300.448497475664</v>
      </c>
      <c r="S39" s="133">
        <f t="shared" si="3"/>
        <v>300.448497475664</v>
      </c>
      <c r="T39" s="133">
        <f t="shared" si="3"/>
        <v>300.448497475664</v>
      </c>
      <c r="U39" s="133">
        <f t="shared" si="3"/>
        <v>300.448497475664</v>
      </c>
    </row>
    <row r="40" spans="2:22" ht="12.75" customHeight="1">
      <c r="B40" s="16">
        <v>12</v>
      </c>
      <c r="C40" s="114"/>
      <c r="D40" s="91" t="s">
        <v>436</v>
      </c>
      <c r="E40" s="127" t="s">
        <v>448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285.56360000000001</v>
      </c>
      <c r="P40" s="133">
        <f t="shared" si="3"/>
        <v>293.01680995999999</v>
      </c>
      <c r="Q40" s="133">
        <f t="shared" si="3"/>
        <v>300.66454869995601</v>
      </c>
      <c r="R40" s="133">
        <f t="shared" si="3"/>
        <v>300.66454869995601</v>
      </c>
      <c r="S40" s="133">
        <f t="shared" si="3"/>
        <v>300.66454869995601</v>
      </c>
      <c r="T40" s="133">
        <f t="shared" si="3"/>
        <v>300.66454869995601</v>
      </c>
      <c r="U40" s="133">
        <f t="shared" si="3"/>
        <v>300.66454869995601</v>
      </c>
    </row>
    <row r="41" spans="2:22" ht="12.75" customHeight="1">
      <c r="B41" s="114"/>
      <c r="C41" s="114"/>
      <c r="D41" s="91" t="s">
        <v>436</v>
      </c>
      <c r="E41" s="127" t="s">
        <v>449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282.08353333333326</v>
      </c>
      <c r="P41" s="129">
        <f t="shared" si="4"/>
        <v>289.4459135533333</v>
      </c>
      <c r="Q41" s="129">
        <f t="shared" si="4"/>
        <v>297.00045189707538</v>
      </c>
      <c r="R41" s="129">
        <f t="shared" si="4"/>
        <v>297.00045189707538</v>
      </c>
      <c r="S41" s="129">
        <f t="shared" si="4"/>
        <v>297.00045189707538</v>
      </c>
      <c r="T41" s="129">
        <f t="shared" si="4"/>
        <v>297.00045189707538</v>
      </c>
      <c r="U41" s="129">
        <f t="shared" si="4"/>
        <v>297.00045189707538</v>
      </c>
    </row>
    <row r="42" spans="2:22" s="72" customFormat="1" ht="12.75" customHeight="1">
      <c r="V42" s="125"/>
    </row>
    <row r="43" spans="2:22" s="72" customFormat="1" ht="12.75" customHeight="1">
      <c r="E43" s="98" t="s">
        <v>455</v>
      </c>
      <c r="F43" s="98"/>
      <c r="G43" s="98"/>
      <c r="V43" s="125"/>
    </row>
    <row r="44" spans="2:22" s="72" customFormat="1" ht="12.75" customHeight="1">
      <c r="E44" s="136" t="s">
        <v>456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457</v>
      </c>
    </row>
    <row r="45" spans="2:22" s="72" customFormat="1" ht="12.75" customHeight="1">
      <c r="C45" s="138"/>
      <c r="D45" s="130" t="s">
        <v>450</v>
      </c>
      <c r="E45" s="127" t="s">
        <v>458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1.1865761006289308</v>
      </c>
      <c r="Q45" s="185">
        <f t="shared" si="5"/>
        <v>1.217545736855346</v>
      </c>
      <c r="R45" s="185">
        <f t="shared" si="5"/>
        <v>1.2493236805872705</v>
      </c>
      <c r="S45" s="185">
        <f t="shared" si="5"/>
        <v>1.2493236805872705</v>
      </c>
      <c r="T45" s="185">
        <f t="shared" si="5"/>
        <v>1.2493236805872705</v>
      </c>
      <c r="U45" s="185">
        <f t="shared" si="5"/>
        <v>1.2493236805872705</v>
      </c>
      <c r="V45" s="125" t="s">
        <v>459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460</v>
      </c>
      <c r="F47" s="140"/>
      <c r="G47" s="140"/>
    </row>
    <row r="48" spans="2:22" s="72" customFormat="1" ht="12.75" customHeight="1">
      <c r="E48" s="136" t="s">
        <v>456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461</v>
      </c>
    </row>
    <row r="49" spans="1:22" s="72" customFormat="1" ht="12.75" customHeight="1">
      <c r="C49" s="138"/>
      <c r="D49" s="130" t="s">
        <v>450</v>
      </c>
      <c r="E49" s="127" t="s">
        <v>458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1.1528907053574466</v>
      </c>
      <c r="P49" s="185">
        <f t="shared" si="6"/>
        <v>1.1829811527672762</v>
      </c>
      <c r="Q49" s="185">
        <f t="shared" si="6"/>
        <v>1.2138569608545025</v>
      </c>
      <c r="R49" s="185">
        <f t="shared" si="6"/>
        <v>1.2138569608545025</v>
      </c>
      <c r="S49" s="185">
        <f t="shared" si="6"/>
        <v>1.2138569608545025</v>
      </c>
      <c r="T49" s="185">
        <f t="shared" si="6"/>
        <v>1.2138569608545025</v>
      </c>
      <c r="U49" s="185">
        <f t="shared" si="6"/>
        <v>1.2138569608545025</v>
      </c>
      <c r="V49" s="125" t="s">
        <v>462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450</v>
      </c>
      <c r="E51" s="142" t="s">
        <v>463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2.6100336475794572E-2</v>
      </c>
      <c r="P51" s="139">
        <f t="shared" si="7"/>
        <v>2.6100000000000234E-2</v>
      </c>
      <c r="Q51" s="139">
        <f t="shared" si="7"/>
        <v>2.6100000000000234E-2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464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409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K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4296875" style="7" customWidth="1"/>
    <col min="4" max="4" width="9.54296875" style="7" customWidth="1"/>
    <col min="5" max="5" width="29.36328125" style="7" customWidth="1"/>
    <col min="6" max="6" width="4.08984375" style="7" customWidth="1"/>
    <col min="7" max="7" width="11.54296875" style="7" customWidth="1"/>
    <col min="8" max="8" width="4.08984375" style="7" customWidth="1"/>
    <col min="9" max="21" width="9.54296875" style="7" customWidth="1"/>
    <col min="22" max="22" width="15.90625" style="7" bestFit="1" customWidth="1"/>
    <col min="23" max="16384" width="9.08984375" style="7" hidden="1"/>
  </cols>
  <sheetData>
    <row r="1" spans="1:22" ht="32.5">
      <c r="A1" s="94"/>
      <c r="B1" s="94"/>
      <c r="C1" s="94"/>
      <c r="D1" s="1" t="s">
        <v>465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3">
      <c r="E3" s="7" t="s">
        <v>108</v>
      </c>
      <c r="I3" s="95" t="s">
        <v>7</v>
      </c>
      <c r="J3" s="95" t="s">
        <v>8</v>
      </c>
      <c r="K3" s="95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95" t="s">
        <v>15</v>
      </c>
      <c r="R3" s="95" t="s">
        <v>466</v>
      </c>
      <c r="S3" s="95" t="s">
        <v>467</v>
      </c>
      <c r="T3" s="95" t="s">
        <v>468</v>
      </c>
      <c r="U3" s="95" t="s">
        <v>469</v>
      </c>
      <c r="V3" s="96" t="s">
        <v>421</v>
      </c>
    </row>
    <row r="4" spans="1:22" ht="13">
      <c r="V4" s="96"/>
    </row>
    <row r="5" spans="1:22" ht="13">
      <c r="E5" s="7" t="s">
        <v>109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422</v>
      </c>
    </row>
    <row r="6" spans="1:22" ht="13">
      <c r="E6" s="7" t="s">
        <v>110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5"/>
    <row r="8" spans="1:22" ht="13" thickBot="1"/>
    <row r="9" spans="1:22" ht="13.5" thickBot="1">
      <c r="A9" s="104" t="s">
        <v>409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5"/>
    <row r="11" spans="1:22" ht="12.5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98</vt:i4>
      </vt:variant>
    </vt:vector>
  </HeadingPairs>
  <TitlesOfParts>
    <vt:vector size="105" baseType="lpstr">
      <vt:lpstr>F_Inputs</vt:lpstr>
      <vt:lpstr>Inputs</vt:lpstr>
      <vt:lpstr>Calcs</vt:lpstr>
      <vt:lpstr>Totex menu adjustments</vt:lpstr>
      <vt:lpstr>F_Outputs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2019-01-22T09:35:20Z</dcterms:created>
  <dcterms:modified xsi:type="dcterms:W3CDTF">2019-01-22T09:46:04Z</dcterms:modified>
  <cp:category/>
  <cp:contentStatus/>
</cp:coreProperties>
</file>