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3" windowHeight="7693"/>
  </bookViews>
  <sheets>
    <sheet name="F_Inputs" sheetId="14" r:id="rId1"/>
    <sheet name="WS15_CMA" sheetId="17" r:id="rId2"/>
    <sheet name="Inputs" sheetId="4" r:id="rId3"/>
    <sheet name="Calcs" sheetId="5" r:id="rId4"/>
    <sheet name="Totex menu adjustments" sheetId="8" r:id="rId5"/>
    <sheet name="F_Outputs" sheetId="15" r:id="rId6"/>
    <sheet name="RPI" sheetId="7" r:id="rId7"/>
    <sheet name="Timeline" sheetId="6" r:id="rId8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_Sort" localSheetId="1">#REF!</definedName>
    <definedName name="_Sort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3">Calcs!$A$1:$AM$333</definedName>
    <definedName name="_xlnm.Print_Area" localSheetId="0">F_Inputs!$A$1:$P$45</definedName>
    <definedName name="_xlnm.Print_Area" localSheetId="5">F_Outputs!$A$1:$G$9</definedName>
    <definedName name="_xlnm.Print_Area" localSheetId="2">Inputs!$A$1:$AA$165</definedName>
    <definedName name="_xlnm.Print_Area" localSheetId="6">RPI!$A$1:$IY$59</definedName>
    <definedName name="_xlnm.Print_Area" localSheetId="7">Timeline!$A$1:$V$11</definedName>
    <definedName name="_xlnm.Print_Area" localSheetId="4">'Totex menu adjustments'!$A$1:$X$51</definedName>
    <definedName name="_xlnm.Print_Area" localSheetId="1">WS15_CMA!$A$1:$P$45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 calcOnSave="0"/>
</workbook>
</file>

<file path=xl/calcChain.xml><?xml version="1.0" encoding="utf-8"?>
<calcChain xmlns="http://schemas.openxmlformats.org/spreadsheetml/2006/main">
  <c r="P46" i="4" l="1"/>
  <c r="O46" i="4"/>
  <c r="N46" i="4"/>
  <c r="M46" i="4"/>
  <c r="P40" i="4"/>
  <c r="O40" i="4"/>
  <c r="N40" i="4"/>
  <c r="M40" i="4"/>
  <c r="L40" i="4"/>
  <c r="L46" i="4"/>
  <c r="P125" i="4"/>
  <c r="O125" i="4"/>
  <c r="N125" i="4"/>
  <c r="M125" i="4"/>
  <c r="L125" i="4"/>
  <c r="H32" i="4" l="1"/>
  <c r="H22" i="4"/>
  <c r="H33" i="4" l="1"/>
  <c r="H23" i="4"/>
  <c r="H13" i="4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6" i="4" l="1"/>
  <c r="N126" i="4"/>
  <c r="O126" i="4"/>
  <c r="P126" i="4"/>
  <c r="L126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1" i="4"/>
  <c r="O41" i="4"/>
  <c r="N41" i="4"/>
  <c r="M41" i="4"/>
  <c r="L41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L97" i="5" s="1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<sst xmlns="http://schemas.openxmlformats.org/spreadsheetml/2006/main" count="1200" uniqueCount="473">
  <si>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</si>
  <si>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</si>
  <si>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</si>
  <si>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</si>
  <si>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</si>
  <si>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</si>
  <si>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</si>
  <si>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</si>
  <si>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</si>
  <si>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</si>
  <si>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</si>
  <si>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</si>
  <si>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</si>
  <si>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</si>
  <si>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</si>
  <si>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</si>
  <si>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</si>
  <si>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</si>
  <si>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</si>
  <si>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</si>
  <si>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</si>
  <si>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</si>
  <si>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</si>
  <si>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</si>
  <si>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</si>
  <si>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</si>
  <si>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</si>
  <si>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</si>
  <si>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</si>
  <si>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</si>
  <si>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</si>
  <si>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</si>
  <si>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</si>
  <si>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</si>
  <si>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</si>
  <si>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</si>
  <si>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</si>
  <si>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</si>
  <si>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</si>
  <si>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</si>
  <si>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</si>
  <si>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</si>
  <si>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</si>
  <si>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</si>
  <si>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</si>
  <si>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</si>
  <si>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</si>
  <si>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</si>
  <si>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</si>
  <si>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</si>
  <si>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</si>
  <si>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</si>
  <si>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</si>
  <si>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</si>
  <si>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</si>
  <si>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</si>
  <si>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</si>
  <si>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</si>
  <si>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</si>
  <si>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</si>
  <si>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</si>
  <si>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</si>
  <si>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</si>
  <si>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</si>
  <si>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</si>
  <si>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</si>
  <si>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</si>
  <si>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</si>
  <si>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</si>
  <si>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</si>
  <si>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</si>
  <si>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</si>
  <si>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</si>
  <si>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</si>
  <si>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</si>
  <si>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</si>
  <si>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</si>
  <si>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</si>
  <si>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</si>
  <si>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</si>
  <si>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</si>
  <si>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</si>
  <si>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</si>
  <si>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</si>
  <si>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</si>
  <si>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</si>
  <si>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</si>
  <si>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</si>
  <si>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</si>
  <si>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</si>
  <si>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</si>
  <si>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</si>
  <si>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</si>
  <si>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</si>
  <si>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</si>
  <si>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</si>
  <si>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</si>
  <si>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</si>
  <si>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</si>
  <si>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</si>
  <si>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</si>
  <si>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</si>
  <si>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</si>
  <si>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</si>
  <si>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</si>
  <si>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</si>
  <si>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</si>
  <si>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</si>
  <si>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</si>
  <si>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</si>
  <si>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</si>
  <si>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</si>
  <si>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</si>
  <si>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</si>
  <si>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</si>
  <si>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</si>
  <si>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</si>
  <si>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</si>
  <si>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</si>
  <si>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</si>
  <si>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</si>
  <si>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</si>
  <si>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</si>
  <si>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</si>
  <si>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</si>
  <si>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</si>
  <si>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</si>
  <si>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</si>
  <si>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</si>
  <si>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</si>
  <si>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</si>
  <si>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</si>
  <si>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</si>
  <si>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</si>
  <si>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</si>
  <si>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</si>
  <si>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</si>
  <si>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</si>
  <si>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</si>
  <si>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</si>
  <si>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</si>
  <si>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</si>
  <si>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</si>
  <si>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</si>
  <si>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</si>
  <si>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</si>
  <si>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</si>
  <si>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</si>
  <si>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</si>
  <si>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</si>
  <si>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</si>
  <si>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</si>
  <si>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</si>
  <si>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</si>
  <si>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</si>
  <si>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</si>
  <si>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</si>
  <si>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</si>
  <si>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</si>
  <si>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</si>
  <si>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</si>
  <si>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</si>
  <si>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</si>
  <si>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</si>
  <si>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</si>
  <si>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</si>
  <si>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</si>
  <si>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</si>
  <si>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</si>
  <si>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</si>
  <si>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</si>
  <si>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</si>
  <si>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</si>
  <si>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</si>
  <si>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</si>
  <si>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</si>
  <si>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</si>
  <si>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</si>
  <si>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</si>
  <si>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</si>
  <si>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</si>
  <si>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</si>
  <si>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</si>
  <si>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</si>
  <si>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</si>
  <si>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</si>
  <si>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</si>
  <si>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</si>
  <si>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</si>
  <si>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</si>
  <si>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</si>
  <si>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</si>
  <si>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</si>
  <si>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</si>
  <si>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</si>
  <si>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</si>
  <si>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</si>
  <si>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</si>
  <si>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</si>
  <si>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</si>
  <si>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</si>
  <si>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</si>
  <si>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</si>
  <si>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</si>
  <si>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</si>
  <si>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</si>
  <si>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</si>
  <si>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</si>
  <si>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</si>
  <si>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</si>
  <si>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</si>
  <si>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</si>
  <si>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</si>
  <si>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</si>
  <si>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</si>
  <si>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</si>
  <si>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</si>
  <si>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</si>
  <si>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</si>
  <si>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</si>
  <si>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</si>
  <si>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</si>
  <si>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</si>
  <si>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</si>
  <si>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</si>
  <si>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</si>
  <si>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</si>
  <si>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</si>
  <si>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</si>
  <si>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</si>
  <si>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</si>
  <si>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</si>
  <si>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</si>
  <si>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</si>
  <si>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</si>
  <si>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</si>
  <si>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</si>
  <si>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</si>
  <si>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</si>
  <si>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</si>
  <si>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</si>
  <si>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</si>
  <si>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</si>
  <si>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</si>
  <si>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</si>
  <si>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</si>
  <si>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</si>
  <si>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</si>
  <si>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</si>
  <si>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</si>
  <si>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</si>
  <si>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</si>
  <si>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</si>
  <si>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</si>
  <si>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</si>
  <si>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</si>
  <si>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</si>
  <si>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</si>
  <si>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</si>
  <si>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</si>
  <si>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</si>
  <si>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</si>
  <si>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</si>
  <si>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</si>
  <si>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</si>
  <si>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</si>
  <si>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</si>
  <si>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</si>
  <si>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</si>
  <si>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</si>
  <si>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</si>
  <si>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</si>
  <si>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</si>
  <si>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</si>
  <si>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</si>
  <si>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</si>
  <si>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</si>
  <si>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</si>
  <si>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</si>
  <si>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</si>
  <si>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</si>
  <si>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</si>
  <si>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</si>
  <si>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</si>
  <si>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</si>
  <si>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</si>
  <si>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</si>
  <si>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</si>
  <si>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</si>
  <si>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</si>
  <si>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</si>
  <si>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</si>
  <si>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</si>
  <si>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</si>
  <si>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</si>
  <si>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</si>
  <si>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</si>
  <si>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</si>
  <si>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</si>
  <si>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</si>
  <si>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</si>
  <si>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</si>
  <si>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</si>
  <si>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</si>
  <si>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</si>
  <si>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</si>
  <si>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</si>
  <si>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</si>
  <si>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</si>
  <si>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</si>
  <si>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</si>
  <si>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</si>
  <si>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</si>
  <si>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</si>
  <si>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</si>
  <si>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</si>
  <si>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</si>
  <si>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</si>
  <si>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</si>
  <si>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</si>
  <si>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</si>
  <si>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</si>
  <si>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</si>
  <si>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</si>
  <si>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</si>
  <si>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</si>
  <si>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</si>
  <si>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</si>
  <si>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</si>
  <si>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</si>
  <si>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</si>
  <si>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</si>
  <si>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</si>
  <si>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</si>
  <si>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</si>
  <si>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</si>
  <si>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</si>
  <si>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</si>
  <si>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</si>
  <si>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</si>
  <si>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</si>
  <si>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</si>
  <si>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</si>
  <si>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</si>
  <si>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</si>
  <si>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</si>
  <si>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</si>
  <si>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</si>
  <si>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</si>
  <si>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</si>
  <si>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</si>
  <si>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</si>
  <si>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</si>
  <si>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</si>
  <si>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</si>
  <si>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</si>
  <si>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</si>
  <si>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</si>
  <si>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</si>
  <si>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</si>
  <si>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</si>
  <si>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</si>
  <si>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</si>
  <si>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</si>
  <si>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</si>
  <si>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</si>
  <si>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</si>
  <si>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</si>
  <si>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</si>
  <si>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</si>
  <si>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</si>
  <si>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</si>
  <si>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</si>
  <si>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</si>
  <si>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</si>
  <si>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</si>
  <si>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</si>
  <si>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</si>
  <si>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</si>
  <si>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</si>
  <si>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</si>
  <si>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</si>
  <si>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</si>
  <si>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</si>
  <si>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</si>
  <si>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</si>
  <si>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</si>
  <si>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</si>
  <si>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</si>
  <si>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</si>
  <si>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</si>
  <si>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</si>
  <si>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</si>
  <si>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</si>
  <si>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</si>
  <si>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</si>
  <si>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</si>
  <si>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</si>
  <si>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</si>
  <si>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</si>
  <si>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</si>
  <si>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</si>
  <si>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</si>
  <si>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</si>
  <si>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</si>
  <si>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</si>
  <si>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</si>
  <si>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</si>
  <si>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</si>
  <si>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</si>
  <si>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</si>
  <si>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</si>
  <si>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</si>
  <si>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</si>
  <si>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</si>
  <si>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</si>
  <si>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</si>
  <si>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</si>
  <si>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</si>
  <si>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</si>
  <si>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</si>
  <si>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</si>
  <si>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</si>
  <si>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</si>
  <si>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</si>
  <si>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</si>
  <si>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</si>
  <si>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</si>
  <si>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</si>
  <si>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</si>
  <si>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</si>
  <si>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</si>
  <si>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</si>
  <si>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</si>
  <si>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</si>
  <si>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</si>
  <si>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</si>
  <si>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</si>
  <si>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</si>
  <si>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</si>
  <si>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</si>
  <si>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</si>
  <si>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</si>
  <si>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</si>
  <si>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</si>
  <si>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</si>
  <si>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</si>
  <si>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</si>
  <si>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</si>
  <si>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</si>
  <si>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</si>
  <si>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</si>
  <si>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</si>
  <si>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</si>
  <si>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</si>
  <si>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</si>
  <si>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</si>
  <si>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</si>
  <si>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</si>
  <si>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</si>
  <si>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</si>
  <si>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</si>
  <si>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</si>
  <si>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</si>
  <si>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</si>
  <si>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</si>
  <si>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</si>
  <si>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</si>
  <si>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</si>
  <si>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BRL</t>
  </si>
  <si>
    <t>-</t>
  </si>
  <si>
    <t xml:space="preserve">The company has reflected the CMA determination values and its restated APR data correctly in its Totex model. But due to misunderstanding the process for updating the pre-populated data table sections of the business plan table had submitted the table without updating the business plan F_Inputs sheet. </t>
  </si>
  <si>
    <t>WS15_CMA' contains the values that would have come through on the F_Inputs sheet if the process for updating the pre-populated values had been carried out. The simulated values are highlighted by the green cells and relate only to those that feed into the green cells on 'Data'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</si>
</sst>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80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  <xf numFmtId="0" fontId="8" fillId="0" borderId="0" xfId="4"/>
    <xf numFmtId="0" fontId="8" fillId="0" borderId="0" xfId="4" quotePrefix="1"/>
    <xf numFmtId="181" fontId="0" fillId="0" borderId="0" xfId="0" applyNumberFormat="1" applyFill="1"/>
    <xf numFmtId="0" fontId="78" fillId="0" borderId="0" xfId="0" applyFont="1"/>
    <xf numFmtId="181" fontId="0" fillId="23" borderId="0" xfId="0" applyNumberFormat="1" applyFill="1"/>
    <xf numFmtId="171" fontId="0" fillId="23" borderId="0" xfId="0" applyNumberFormat="1" applyFill="1"/>
    <xf numFmtId="181" fontId="0" fillId="23" borderId="0" xfId="0" applyNumberFormat="1" applyFill="1" applyAlignment="1">
      <alignment horizontal="right"/>
    </xf>
    <xf numFmtId="165" fontId="3" fillId="23" borderId="5" xfId="7" applyNumberFormat="1" applyFont="1" applyFill="1" applyAlignment="1">
      <alignment horizontal="right"/>
    </xf>
    <xf numFmtId="165" fontId="3" fillId="23" borderId="5" xfId="7" applyNumberFormat="1" applyFont="1" applyFill="1" applyAlignment="1" applyProtection="1">
      <alignment horizontal="right"/>
    </xf>
    <xf numFmtId="175" fontId="3" fillId="23" borderId="5" xfId="7" applyNumberFormat="1" applyFont="1" applyFill="1" applyAlignment="1" applyProtection="1">
      <alignment vertical="center"/>
      <protection locked="0"/>
    </xf>
    <xf numFmtId="1" fontId="3" fillId="23" borderId="5" xfId="7" applyNumberFormat="1" applyFont="1" applyFill="1" applyAlignment="1" applyProtection="1">
      <alignment horizontal="center" vertical="center"/>
      <protection locked="0"/>
    </xf>
    <xf numFmtId="10" fontId="0" fillId="0" borderId="0" xfId="0" applyNumberFormat="1" applyFill="1"/>
    <xf numFmtId="10" fontId="0" fillId="23" borderId="0" xfId="0" applyNumberFormat="1" applyFill="1"/>
    <xf numFmtId="180" fontId="9" fillId="23" borderId="5" xfId="7" applyNumberFormat="1" applyFont="1" applyFill="1" applyProtection="1">
      <protection locked="0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3 9" xfId="131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4.35"/>
  <cols>
    <col min="1" max="1" width="3.52734375" customWidth="1"/>
    <col min="2" max="2" width="14.29296875" bestFit="1" customWidth="1"/>
    <col min="3" max="3" width="43.29296875" customWidth="1"/>
    <col min="4" max="4" width="2.52734375" customWidth="1"/>
    <col min="5" max="5" width="15.29296875" customWidth="1"/>
    <col min="6" max="16" width="7.35156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>
        <v>1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5"/>
      <c r="G5" s="225"/>
      <c r="H5" s="225"/>
      <c r="I5" s="225"/>
      <c r="J5" s="225">
        <v>0.31960511677452302</v>
      </c>
      <c r="K5" s="225">
        <v>0.31960511677452302</v>
      </c>
      <c r="L5" s="225">
        <v>0.31960511677452302</v>
      </c>
      <c r="M5" s="225">
        <v>0.31960511677452302</v>
      </c>
      <c r="N5" s="225">
        <v>0.31960511677452302</v>
      </c>
      <c r="O5" s="225"/>
      <c r="P5" s="225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5"/>
      <c r="G6" s="225"/>
      <c r="H6" s="225"/>
      <c r="I6" s="225"/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/>
      <c r="P6" s="225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68">
        <v>0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>
        <v>0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>
        <v>0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>
        <v>0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5"/>
      <c r="G12" s="225"/>
      <c r="H12" s="225"/>
      <c r="I12" s="225"/>
      <c r="J12" s="225">
        <v>87.825059457561395</v>
      </c>
      <c r="K12" s="225">
        <v>87.556752845772394</v>
      </c>
      <c r="L12" s="225">
        <v>87.927145568431996</v>
      </c>
      <c r="M12" s="225">
        <v>87.136047732395099</v>
      </c>
      <c r="N12" s="225">
        <v>87.318439358968106</v>
      </c>
      <c r="O12" s="225"/>
      <c r="P12" s="225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5"/>
      <c r="G13" s="225"/>
      <c r="H13" s="225"/>
      <c r="I13" s="225"/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/>
      <c r="P13" s="225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5"/>
      <c r="G14" s="225"/>
      <c r="H14" s="225"/>
      <c r="I14" s="225"/>
      <c r="J14" s="268">
        <v>0</v>
      </c>
      <c r="K14" s="225">
        <v>0</v>
      </c>
      <c r="L14" s="225">
        <v>0</v>
      </c>
      <c r="M14" s="225">
        <v>0</v>
      </c>
      <c r="N14" s="225">
        <v>0</v>
      </c>
      <c r="O14" s="225"/>
      <c r="P14" s="225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5"/>
      <c r="G15" s="225"/>
      <c r="H15" s="225"/>
      <c r="I15" s="225"/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/>
      <c r="P15" s="225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5"/>
      <c r="G16" s="225"/>
      <c r="H16" s="225"/>
      <c r="I16" s="225"/>
      <c r="J16" s="225">
        <v>69.890999999999906</v>
      </c>
      <c r="K16" s="225">
        <v>82.936999999999898</v>
      </c>
      <c r="L16" s="225">
        <v>104.04300000000001</v>
      </c>
      <c r="M16" s="225">
        <v>112.828</v>
      </c>
      <c r="N16" s="225">
        <v>104.48399999999999</v>
      </c>
      <c r="O16" s="225"/>
      <c r="P16" s="225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5"/>
      <c r="G17" s="225"/>
      <c r="H17" s="225"/>
      <c r="I17" s="225"/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/>
      <c r="P17" s="225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5"/>
      <c r="G18" s="225"/>
      <c r="H18" s="225"/>
      <c r="I18" s="225"/>
      <c r="J18" s="268">
        <v>1.2170000000000001</v>
      </c>
      <c r="K18" s="225">
        <v>1.2329999999999901</v>
      </c>
      <c r="L18" s="225">
        <v>1.552</v>
      </c>
      <c r="M18" s="225">
        <v>1.3340000000000001</v>
      </c>
      <c r="N18" s="225">
        <v>1.3340000000000001</v>
      </c>
      <c r="O18" s="225"/>
      <c r="P18" s="225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5"/>
      <c r="G19" s="225"/>
      <c r="H19" s="225"/>
      <c r="I19" s="225"/>
      <c r="J19" s="225">
        <v>1.6E-2</v>
      </c>
      <c r="K19" s="225">
        <v>3.3000000000000002E-2</v>
      </c>
      <c r="L19" s="225">
        <v>0.159</v>
      </c>
      <c r="M19" s="225">
        <v>6.9000000000000006E-2</v>
      </c>
      <c r="N19" s="225">
        <v>6.9000000000000006E-2</v>
      </c>
      <c r="O19" s="225"/>
      <c r="P19" s="225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5"/>
      <c r="G20" s="225"/>
      <c r="H20" s="225"/>
      <c r="I20" s="225"/>
      <c r="J20" s="225">
        <v>0.33700000000000002</v>
      </c>
      <c r="K20" s="225">
        <v>9.8000000000000004E-2</v>
      </c>
      <c r="L20" s="225">
        <v>0</v>
      </c>
      <c r="M20" s="225" t="s">
        <v>470</v>
      </c>
      <c r="N20" s="225" t="s">
        <v>470</v>
      </c>
      <c r="O20" s="225"/>
      <c r="P20" s="225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5"/>
      <c r="G21" s="225"/>
      <c r="H21" s="225"/>
      <c r="I21" s="225"/>
      <c r="J21" s="225">
        <v>0.10199999999999999</v>
      </c>
      <c r="K21" s="225" t="s">
        <v>470</v>
      </c>
      <c r="L21" s="225" t="s">
        <v>470</v>
      </c>
      <c r="M21" s="225" t="s">
        <v>470</v>
      </c>
      <c r="N21" s="225" t="s">
        <v>470</v>
      </c>
      <c r="O21" s="225"/>
      <c r="P21" s="225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5"/>
      <c r="G22" s="225"/>
      <c r="H22" s="225"/>
      <c r="I22" s="225"/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/>
      <c r="P22" s="225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5"/>
      <c r="G23" s="225"/>
      <c r="H23" s="225"/>
      <c r="I23" s="225"/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/>
      <c r="P23" s="225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5"/>
      <c r="G24" s="225"/>
      <c r="H24" s="225"/>
      <c r="I24" s="225"/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/>
      <c r="P24" s="225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5"/>
      <c r="G25" s="225"/>
      <c r="H25" s="225"/>
      <c r="I25" s="225"/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/>
      <c r="P25" s="225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5"/>
      <c r="G26" s="225"/>
      <c r="H26" s="225"/>
      <c r="I26" s="225">
        <v>1.32</v>
      </c>
      <c r="J26" s="225"/>
      <c r="K26" s="225"/>
      <c r="L26" s="225"/>
      <c r="M26" s="225"/>
      <c r="N26" s="225"/>
      <c r="O26" s="225"/>
      <c r="P26" s="225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5"/>
      <c r="G27" s="225"/>
      <c r="H27" s="225"/>
      <c r="I27" s="225">
        <v>0</v>
      </c>
      <c r="J27" s="225"/>
      <c r="K27" s="225"/>
      <c r="L27" s="225"/>
      <c r="M27" s="225"/>
      <c r="N27" s="225"/>
      <c r="O27" s="225"/>
      <c r="P27" s="225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6"/>
      <c r="G28" s="226"/>
      <c r="H28" s="226"/>
      <c r="I28" s="226"/>
      <c r="J28" s="277">
        <v>0.59943999999999997</v>
      </c>
      <c r="K28" s="277">
        <v>0.54032000000000002</v>
      </c>
      <c r="L28" s="277">
        <v>0.54051000000000005</v>
      </c>
      <c r="M28" s="277">
        <v>0.54073000000000004</v>
      </c>
      <c r="N28" s="277">
        <v>0.54162999999999994</v>
      </c>
      <c r="O28" s="226"/>
      <c r="P28" s="226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6"/>
      <c r="G29" s="226"/>
      <c r="H29" s="226"/>
      <c r="I29" s="226"/>
      <c r="J29" s="226">
        <v>0</v>
      </c>
      <c r="K29" s="226">
        <v>0</v>
      </c>
      <c r="L29" s="226">
        <v>0</v>
      </c>
      <c r="M29" s="226">
        <v>0</v>
      </c>
      <c r="N29" s="226">
        <v>0</v>
      </c>
      <c r="O29" s="226"/>
      <c r="P29" s="226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5"/>
      <c r="G30" s="225"/>
      <c r="H30" s="225"/>
      <c r="I30" s="225"/>
      <c r="J30" s="225" t="s">
        <v>470</v>
      </c>
      <c r="K30" s="225" t="s">
        <v>470</v>
      </c>
      <c r="L30" s="225" t="s">
        <v>470</v>
      </c>
      <c r="M30" s="225" t="s">
        <v>470</v>
      </c>
      <c r="N30" s="225" t="s">
        <v>470</v>
      </c>
      <c r="O30" s="225"/>
      <c r="P30" s="225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5"/>
      <c r="G31" s="225"/>
      <c r="H31" s="225"/>
      <c r="I31" s="225"/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/>
      <c r="P31" s="225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5"/>
      <c r="G32" s="225"/>
      <c r="H32" s="225"/>
      <c r="I32" s="225"/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/>
      <c r="P32" s="225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5"/>
      <c r="G33" s="225"/>
      <c r="H33" s="225"/>
      <c r="I33" s="225"/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/>
      <c r="P33" s="225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8">
        <v>234.4</v>
      </c>
      <c r="G34" s="228">
        <v>242.5</v>
      </c>
      <c r="H34" s="228">
        <v>249.5</v>
      </c>
      <c r="I34" s="228">
        <v>255.7</v>
      </c>
      <c r="J34" s="228">
        <v>258</v>
      </c>
      <c r="K34" s="228">
        <v>261.39999999999998</v>
      </c>
      <c r="L34" s="228">
        <v>270.60000000000002</v>
      </c>
      <c r="M34" s="228">
        <v>279.89999999999998</v>
      </c>
      <c r="N34" s="228">
        <v>288.2</v>
      </c>
      <c r="O34" s="228">
        <v>296.60000000000002</v>
      </c>
      <c r="P34" s="228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8">
        <v>235.2</v>
      </c>
      <c r="G35" s="228">
        <v>242.4</v>
      </c>
      <c r="H35" s="228">
        <v>250</v>
      </c>
      <c r="I35" s="228">
        <v>255.9</v>
      </c>
      <c r="J35" s="228">
        <v>258.5</v>
      </c>
      <c r="K35" s="228">
        <v>262.10000000000002</v>
      </c>
      <c r="L35" s="228">
        <v>271.7</v>
      </c>
      <c r="M35" s="228">
        <v>281</v>
      </c>
      <c r="N35" s="228">
        <v>289.3</v>
      </c>
      <c r="O35" s="228">
        <v>297.8</v>
      </c>
      <c r="P35" s="228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8">
        <v>235.2</v>
      </c>
      <c r="G36" s="228">
        <v>241.8</v>
      </c>
      <c r="H36" s="228">
        <v>249.7</v>
      </c>
      <c r="I36" s="228">
        <v>256.3</v>
      </c>
      <c r="J36" s="228">
        <v>258.89999999999998</v>
      </c>
      <c r="K36" s="228">
        <v>263.10000000000002</v>
      </c>
      <c r="L36" s="228">
        <v>272.3</v>
      </c>
      <c r="M36" s="228">
        <v>281.60000000000002</v>
      </c>
      <c r="N36" s="228">
        <v>290</v>
      </c>
      <c r="O36" s="228">
        <v>298.39999999999998</v>
      </c>
      <c r="P36" s="228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8">
        <v>234.7</v>
      </c>
      <c r="G37" s="228">
        <v>242.1</v>
      </c>
      <c r="H37" s="228">
        <v>249.7</v>
      </c>
      <c r="I37" s="228">
        <v>256</v>
      </c>
      <c r="J37" s="228">
        <v>258.60000000000002</v>
      </c>
      <c r="K37" s="228">
        <v>263.39999999999998</v>
      </c>
      <c r="L37" s="228">
        <v>272.89999999999998</v>
      </c>
      <c r="M37" s="228">
        <v>282.3</v>
      </c>
      <c r="N37" s="228">
        <v>290.60000000000002</v>
      </c>
      <c r="O37" s="228">
        <v>299.10000000000002</v>
      </c>
      <c r="P37" s="228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8">
        <v>236.1</v>
      </c>
      <c r="G38" s="228">
        <v>243</v>
      </c>
      <c r="H38" s="228">
        <v>251</v>
      </c>
      <c r="I38" s="228">
        <v>257</v>
      </c>
      <c r="J38" s="228">
        <v>259.8</v>
      </c>
      <c r="K38" s="228">
        <v>264.39999999999998</v>
      </c>
      <c r="L38" s="228">
        <v>274.7</v>
      </c>
      <c r="M38" s="228">
        <v>284.10000000000002</v>
      </c>
      <c r="N38" s="228">
        <v>292.5</v>
      </c>
      <c r="O38" s="228">
        <v>301.10000000000002</v>
      </c>
      <c r="P38" s="228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8">
        <v>237.9</v>
      </c>
      <c r="G39" s="228">
        <v>244.2</v>
      </c>
      <c r="H39" s="228">
        <v>251.9</v>
      </c>
      <c r="I39" s="228">
        <v>257.60000000000002</v>
      </c>
      <c r="J39" s="228">
        <v>259.60000000000002</v>
      </c>
      <c r="K39" s="228">
        <v>264.89999999999998</v>
      </c>
      <c r="L39" s="228">
        <v>275.10000000000002</v>
      </c>
      <c r="M39" s="228">
        <v>284.5</v>
      </c>
      <c r="N39" s="228">
        <v>292.89999999999998</v>
      </c>
      <c r="O39" s="228">
        <v>301.5</v>
      </c>
      <c r="P39" s="228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8">
        <v>238</v>
      </c>
      <c r="G40" s="228">
        <v>245.6</v>
      </c>
      <c r="H40" s="228">
        <v>251.9</v>
      </c>
      <c r="I40" s="228">
        <v>257.7</v>
      </c>
      <c r="J40" s="228">
        <v>259.5</v>
      </c>
      <c r="K40" s="228">
        <v>264.8</v>
      </c>
      <c r="L40" s="228">
        <v>275.3</v>
      </c>
      <c r="M40" s="228">
        <v>284.8</v>
      </c>
      <c r="N40" s="228">
        <v>293.2</v>
      </c>
      <c r="O40" s="228">
        <v>301.7</v>
      </c>
      <c r="P40" s="228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8">
        <v>238.5</v>
      </c>
      <c r="G41" s="228">
        <v>245.6</v>
      </c>
      <c r="H41" s="228">
        <v>252.1</v>
      </c>
      <c r="I41" s="228">
        <v>257.10000000000002</v>
      </c>
      <c r="J41" s="228">
        <v>259.8</v>
      </c>
      <c r="K41" s="228">
        <v>265.5</v>
      </c>
      <c r="L41" s="228">
        <v>275.8</v>
      </c>
      <c r="M41" s="228">
        <v>285.3</v>
      </c>
      <c r="N41" s="228">
        <v>293.7</v>
      </c>
      <c r="O41" s="228">
        <v>302.3</v>
      </c>
      <c r="P41" s="228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8">
        <v>239.4</v>
      </c>
      <c r="G42" s="228">
        <v>246.8</v>
      </c>
      <c r="H42" s="228">
        <v>253.4</v>
      </c>
      <c r="I42" s="228">
        <v>257.5</v>
      </c>
      <c r="J42" s="228">
        <v>260.60000000000002</v>
      </c>
      <c r="K42" s="228">
        <v>267.10000000000002</v>
      </c>
      <c r="L42" s="228">
        <v>278.10000000000002</v>
      </c>
      <c r="M42" s="228">
        <v>287.60000000000002</v>
      </c>
      <c r="N42" s="228">
        <v>296.10000000000002</v>
      </c>
      <c r="O42" s="228">
        <v>304.8</v>
      </c>
      <c r="P42" s="228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8">
        <v>238</v>
      </c>
      <c r="G43" s="228">
        <v>245.8</v>
      </c>
      <c r="H43" s="228">
        <v>252.6</v>
      </c>
      <c r="I43" s="228">
        <v>255.4</v>
      </c>
      <c r="J43" s="228">
        <v>258.8</v>
      </c>
      <c r="K43" s="228">
        <v>265.5</v>
      </c>
      <c r="L43" s="228">
        <v>276</v>
      </c>
      <c r="M43" s="228">
        <v>285.5</v>
      </c>
      <c r="N43" s="228">
        <v>293.89999999999998</v>
      </c>
      <c r="O43" s="228">
        <v>302.5</v>
      </c>
      <c r="P43" s="228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8">
        <v>239.9</v>
      </c>
      <c r="G44" s="228">
        <v>247.6</v>
      </c>
      <c r="H44" s="228">
        <v>254.2</v>
      </c>
      <c r="I44" s="228">
        <v>256.7</v>
      </c>
      <c r="J44" s="228">
        <v>260</v>
      </c>
      <c r="K44" s="228">
        <v>268.39999999999998</v>
      </c>
      <c r="L44" s="228">
        <v>278.10000000000002</v>
      </c>
      <c r="M44" s="228">
        <v>287.60000000000002</v>
      </c>
      <c r="N44" s="228">
        <v>296.10000000000002</v>
      </c>
      <c r="O44" s="228">
        <v>304.8</v>
      </c>
      <c r="P44" s="228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8">
        <v>240.8</v>
      </c>
      <c r="G45" s="228">
        <v>248.7</v>
      </c>
      <c r="H45" s="228">
        <v>254.8</v>
      </c>
      <c r="I45" s="228">
        <v>257.10000000000002</v>
      </c>
      <c r="J45" s="228">
        <v>261.10000000000002</v>
      </c>
      <c r="K45" s="228">
        <v>269.3</v>
      </c>
      <c r="L45" s="228">
        <v>278.3</v>
      </c>
      <c r="M45" s="228">
        <v>287.89999999999998</v>
      </c>
      <c r="N45" s="228">
        <v>296.39999999999998</v>
      </c>
      <c r="O45" s="228">
        <v>305</v>
      </c>
      <c r="P45" s="228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5"/>
  <sheetViews>
    <sheetView workbookViewId="0"/>
  </sheetViews>
  <sheetFormatPr defaultColWidth="9.05859375" defaultRowHeight="13"/>
  <cols>
    <col min="1" max="1" width="9.05859375" style="266"/>
    <col min="2" max="2" width="14.29296875" style="266" bestFit="1" customWidth="1"/>
    <col min="3" max="3" width="60.3515625" style="266" customWidth="1"/>
    <col min="4" max="16384" width="9.05859375" style="266"/>
  </cols>
  <sheetData>
    <row r="1" spans="1:16">
      <c r="A1" s="266" t="s">
        <v>471</v>
      </c>
    </row>
    <row r="2" spans="1:16">
      <c r="A2" s="267" t="s">
        <v>472</v>
      </c>
    </row>
    <row r="4" spans="1:16" customFormat="1" ht="14.35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>
        <v>1</v>
      </c>
    </row>
    <row r="5" spans="1:16" customFormat="1" ht="14.35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5"/>
      <c r="G5" s="225"/>
      <c r="H5" s="225"/>
      <c r="I5" s="225"/>
      <c r="J5" s="225">
        <v>0.31960511677452302</v>
      </c>
      <c r="K5" s="225">
        <v>0.31960511677452302</v>
      </c>
      <c r="L5" s="225">
        <v>0.31960511677452302</v>
      </c>
      <c r="M5" s="225">
        <v>0.31960511677452302</v>
      </c>
      <c r="N5" s="225">
        <v>0.31960511677452302</v>
      </c>
      <c r="O5" s="225"/>
      <c r="P5" s="225"/>
    </row>
    <row r="6" spans="1:16" customFormat="1" ht="14.35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5"/>
      <c r="G6" s="225"/>
      <c r="H6" s="225"/>
      <c r="I6" s="225"/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/>
      <c r="P6" s="225"/>
    </row>
    <row r="7" spans="1:16" customFormat="1" ht="14.35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70">
        <v>100</v>
      </c>
    </row>
    <row r="8" spans="1:16" customFormat="1" ht="14.35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>
        <v>0</v>
      </c>
    </row>
    <row r="9" spans="1:16" customFormat="1" ht="14.35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71">
        <v>100</v>
      </c>
    </row>
    <row r="10" spans="1:16" customFormat="1" ht="14.35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>
        <v>0</v>
      </c>
    </row>
    <row r="11" spans="1:16" customFormat="1" ht="14.35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</row>
    <row r="12" spans="1:16" customFormat="1" ht="14.35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5"/>
      <c r="G12" s="225"/>
      <c r="H12" s="225"/>
      <c r="I12" s="225"/>
      <c r="J12" s="270">
        <v>88.15</v>
      </c>
      <c r="K12" s="270">
        <v>85.343999999999994</v>
      </c>
      <c r="L12" s="272">
        <v>85.013000000000005</v>
      </c>
      <c r="M12" s="270">
        <v>84.405000000000001</v>
      </c>
      <c r="N12" s="270">
        <v>85.674999999999997</v>
      </c>
      <c r="O12" s="225"/>
      <c r="P12" s="269"/>
    </row>
    <row r="13" spans="1:16" customFormat="1" ht="14.35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5"/>
      <c r="G13" s="225"/>
      <c r="H13" s="225"/>
      <c r="I13" s="225"/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/>
      <c r="P13" s="225"/>
    </row>
    <row r="14" spans="1:16" customFormat="1" ht="14.35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5"/>
      <c r="G14" s="225"/>
      <c r="H14" s="225"/>
      <c r="I14" s="225"/>
      <c r="J14" s="272">
        <v>87.83</v>
      </c>
      <c r="K14" s="270">
        <v>85.025000000000006</v>
      </c>
      <c r="L14" s="270">
        <v>84.692999999999998</v>
      </c>
      <c r="M14" s="270">
        <v>84.084999999999994</v>
      </c>
      <c r="N14" s="270">
        <v>85.355000000000004</v>
      </c>
      <c r="O14" s="225"/>
      <c r="P14" s="269"/>
    </row>
    <row r="15" spans="1:16" customFormat="1" ht="14.35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5"/>
      <c r="G15" s="225"/>
      <c r="H15" s="225"/>
      <c r="I15" s="225"/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/>
      <c r="P15" s="225"/>
    </row>
    <row r="16" spans="1:16" customFormat="1" ht="14.35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5"/>
      <c r="G16" s="225"/>
      <c r="H16" s="225"/>
      <c r="I16" s="225"/>
      <c r="J16" s="225">
        <v>69.890999999999906</v>
      </c>
      <c r="K16" s="225">
        <v>82.936999999999898</v>
      </c>
      <c r="L16" s="225">
        <v>104.04300000000001</v>
      </c>
      <c r="M16" s="225">
        <v>112.828</v>
      </c>
      <c r="N16" s="225">
        <v>104.48399999999999</v>
      </c>
      <c r="O16" s="225"/>
      <c r="P16" s="225"/>
    </row>
    <row r="17" spans="1:16" customFormat="1" ht="14.35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5"/>
      <c r="G17" s="225"/>
      <c r="H17" s="225"/>
      <c r="I17" s="225"/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/>
      <c r="P17" s="225"/>
    </row>
    <row r="18" spans="1:16" customFormat="1" ht="14.35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5"/>
      <c r="G18" s="225"/>
      <c r="H18" s="225"/>
      <c r="I18" s="225"/>
      <c r="J18" s="225">
        <v>1.2170000000000001</v>
      </c>
      <c r="K18" s="225">
        <v>1.2329999999999901</v>
      </c>
      <c r="L18" s="225">
        <v>1.552</v>
      </c>
      <c r="M18" s="225">
        <v>1.3340000000000001</v>
      </c>
      <c r="N18" s="225">
        <v>1.3340000000000001</v>
      </c>
      <c r="O18" s="225"/>
      <c r="P18" s="225"/>
    </row>
    <row r="19" spans="1:16" customFormat="1" ht="14.35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5"/>
      <c r="G19" s="225"/>
      <c r="H19" s="225"/>
      <c r="I19" s="225"/>
      <c r="J19" s="225">
        <v>1.6E-2</v>
      </c>
      <c r="K19" s="225">
        <v>3.3000000000000002E-2</v>
      </c>
      <c r="L19" s="225">
        <v>0.159</v>
      </c>
      <c r="M19" s="225">
        <v>6.9000000000000006E-2</v>
      </c>
      <c r="N19" s="225">
        <v>6.9000000000000006E-2</v>
      </c>
      <c r="O19" s="225"/>
      <c r="P19" s="225"/>
    </row>
    <row r="20" spans="1:16" customFormat="1" ht="14.35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5"/>
      <c r="G20" s="225"/>
      <c r="H20" s="225"/>
      <c r="I20" s="225"/>
      <c r="J20" s="225">
        <v>0.33700000000000002</v>
      </c>
      <c r="K20" s="225">
        <v>9.8000000000000004E-2</v>
      </c>
      <c r="L20" s="225">
        <v>0</v>
      </c>
      <c r="M20" s="225" t="s">
        <v>470</v>
      </c>
      <c r="N20" s="225" t="s">
        <v>470</v>
      </c>
      <c r="O20" s="225"/>
      <c r="P20" s="225"/>
    </row>
    <row r="21" spans="1:16" customFormat="1" ht="14.35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5"/>
      <c r="G21" s="225"/>
      <c r="H21" s="225"/>
      <c r="I21" s="225"/>
      <c r="J21" s="225">
        <v>0.10199999999999999</v>
      </c>
      <c r="K21" s="225" t="s">
        <v>470</v>
      </c>
      <c r="L21" s="225" t="s">
        <v>470</v>
      </c>
      <c r="M21" s="225" t="s">
        <v>470</v>
      </c>
      <c r="N21" s="225" t="s">
        <v>470</v>
      </c>
      <c r="O21" s="225"/>
      <c r="P21" s="225"/>
    </row>
    <row r="22" spans="1:16" customFormat="1" ht="14.35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5"/>
      <c r="G22" s="225"/>
      <c r="H22" s="225"/>
      <c r="I22" s="225"/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/>
      <c r="P22" s="225"/>
    </row>
    <row r="23" spans="1:16" customFormat="1" ht="14.35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5"/>
      <c r="G23" s="225"/>
      <c r="H23" s="225"/>
      <c r="I23" s="225"/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/>
      <c r="P23" s="225"/>
    </row>
    <row r="24" spans="1:16" customFormat="1" ht="14.35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5"/>
      <c r="G24" s="225"/>
      <c r="H24" s="225"/>
      <c r="I24" s="225"/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/>
      <c r="P24" s="225"/>
    </row>
    <row r="25" spans="1:16" customFormat="1" ht="14.35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5"/>
      <c r="G25" s="225"/>
      <c r="H25" s="225"/>
      <c r="I25" s="225"/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/>
      <c r="P25" s="225"/>
    </row>
    <row r="26" spans="1:16" customFormat="1" ht="14.35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5"/>
      <c r="G26" s="225"/>
      <c r="H26" s="225"/>
      <c r="I26" s="225">
        <v>1.32</v>
      </c>
      <c r="J26" s="225"/>
      <c r="K26" s="225"/>
      <c r="L26" s="225"/>
      <c r="M26" s="225"/>
      <c r="N26" s="225"/>
      <c r="O26" s="225"/>
      <c r="P26" s="225"/>
    </row>
    <row r="27" spans="1:16" customFormat="1" ht="14.35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5"/>
      <c r="G27" s="225"/>
      <c r="H27" s="225"/>
      <c r="I27" s="225">
        <v>0</v>
      </c>
      <c r="J27" s="225"/>
      <c r="K27" s="225"/>
      <c r="L27" s="225"/>
      <c r="M27" s="225"/>
      <c r="N27" s="225"/>
      <c r="O27" s="225"/>
      <c r="P27" s="225"/>
    </row>
    <row r="28" spans="1:16" customFormat="1" ht="14.35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6"/>
      <c r="G28" s="226"/>
      <c r="H28" s="226"/>
      <c r="I28" s="226"/>
      <c r="J28" s="278">
        <v>0.59943999999999997</v>
      </c>
      <c r="K28" s="278">
        <v>0.54200000000000004</v>
      </c>
      <c r="L28" s="278">
        <v>0.54200000000000004</v>
      </c>
      <c r="M28" s="278">
        <v>0.54200000000000004</v>
      </c>
      <c r="N28" s="278">
        <v>0.54200000000000004</v>
      </c>
      <c r="O28" s="226"/>
      <c r="P28" s="226"/>
    </row>
    <row r="29" spans="1:16" customFormat="1" ht="14.35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6"/>
      <c r="G29" s="226"/>
      <c r="H29" s="226"/>
      <c r="I29" s="226"/>
      <c r="J29" s="226">
        <v>0</v>
      </c>
      <c r="K29" s="226">
        <v>0</v>
      </c>
      <c r="L29" s="226">
        <v>0</v>
      </c>
      <c r="M29" s="226">
        <v>0</v>
      </c>
      <c r="N29" s="226">
        <v>0</v>
      </c>
      <c r="O29" s="226"/>
      <c r="P29" s="226"/>
    </row>
    <row r="30" spans="1:16" customFormat="1" ht="14.35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5"/>
      <c r="G30" s="225"/>
      <c r="H30" s="225"/>
      <c r="I30" s="225"/>
      <c r="J30" s="225" t="s">
        <v>470</v>
      </c>
      <c r="K30" s="225" t="s">
        <v>470</v>
      </c>
      <c r="L30" s="225" t="s">
        <v>470</v>
      </c>
      <c r="M30" s="225" t="s">
        <v>470</v>
      </c>
      <c r="N30" s="225" t="s">
        <v>470</v>
      </c>
      <c r="O30" s="225"/>
      <c r="P30" s="225"/>
    </row>
    <row r="31" spans="1:16" customFormat="1" ht="14.35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5"/>
      <c r="G31" s="225"/>
      <c r="H31" s="225"/>
      <c r="I31" s="225"/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/>
      <c r="P31" s="225"/>
    </row>
    <row r="32" spans="1:16" customFormat="1" ht="14.35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5"/>
      <c r="G32" s="225"/>
      <c r="H32" s="225"/>
      <c r="I32" s="225"/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/>
      <c r="P32" s="225"/>
    </row>
    <row r="33" spans="1:16" customFormat="1" ht="14.35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5"/>
      <c r="G33" s="225"/>
      <c r="H33" s="225"/>
      <c r="I33" s="225"/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/>
      <c r="P33" s="225"/>
    </row>
    <row r="34" spans="1:16" customFormat="1" ht="14.35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8">
        <v>234.4</v>
      </c>
      <c r="G34" s="228">
        <v>242.5</v>
      </c>
      <c r="H34" s="228">
        <v>249.5</v>
      </c>
      <c r="I34" s="228">
        <v>255.7</v>
      </c>
      <c r="J34" s="228">
        <v>258</v>
      </c>
      <c r="K34" s="228">
        <v>261.39999999999998</v>
      </c>
      <c r="L34" s="228">
        <v>270.60000000000002</v>
      </c>
      <c r="M34" s="228">
        <v>279.89999999999998</v>
      </c>
      <c r="N34" s="228">
        <v>288.2</v>
      </c>
      <c r="O34" s="228">
        <v>296.60000000000002</v>
      </c>
      <c r="P34" s="228"/>
    </row>
    <row r="35" spans="1:16" customFormat="1" ht="14.35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8">
        <v>235.2</v>
      </c>
      <c r="G35" s="228">
        <v>242.4</v>
      </c>
      <c r="H35" s="228">
        <v>250</v>
      </c>
      <c r="I35" s="228">
        <v>255.9</v>
      </c>
      <c r="J35" s="228">
        <v>258.5</v>
      </c>
      <c r="K35" s="228">
        <v>262.10000000000002</v>
      </c>
      <c r="L35" s="228">
        <v>271.7</v>
      </c>
      <c r="M35" s="228">
        <v>281</v>
      </c>
      <c r="N35" s="228">
        <v>289.3</v>
      </c>
      <c r="O35" s="228">
        <v>297.8</v>
      </c>
      <c r="P35" s="228"/>
    </row>
    <row r="36" spans="1:16" customFormat="1" ht="14.35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8">
        <v>235.2</v>
      </c>
      <c r="G36" s="228">
        <v>241.8</v>
      </c>
      <c r="H36" s="228">
        <v>249.7</v>
      </c>
      <c r="I36" s="228">
        <v>256.3</v>
      </c>
      <c r="J36" s="228">
        <v>258.89999999999998</v>
      </c>
      <c r="K36" s="228">
        <v>263.10000000000002</v>
      </c>
      <c r="L36" s="228">
        <v>272.3</v>
      </c>
      <c r="M36" s="228">
        <v>281.60000000000002</v>
      </c>
      <c r="N36" s="228">
        <v>290</v>
      </c>
      <c r="O36" s="228">
        <v>298.39999999999998</v>
      </c>
      <c r="P36" s="228"/>
    </row>
    <row r="37" spans="1:16" customFormat="1" ht="14.35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8">
        <v>234.7</v>
      </c>
      <c r="G37" s="228">
        <v>242.1</v>
      </c>
      <c r="H37" s="228">
        <v>249.7</v>
      </c>
      <c r="I37" s="228">
        <v>256</v>
      </c>
      <c r="J37" s="228">
        <v>258.60000000000002</v>
      </c>
      <c r="K37" s="228">
        <v>263.39999999999998</v>
      </c>
      <c r="L37" s="228">
        <v>272.89999999999998</v>
      </c>
      <c r="M37" s="228">
        <v>282.3</v>
      </c>
      <c r="N37" s="228">
        <v>290.60000000000002</v>
      </c>
      <c r="O37" s="228">
        <v>299.10000000000002</v>
      </c>
      <c r="P37" s="228"/>
    </row>
    <row r="38" spans="1:16" customFormat="1" ht="14.35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8">
        <v>236.1</v>
      </c>
      <c r="G38" s="228">
        <v>243</v>
      </c>
      <c r="H38" s="228">
        <v>251</v>
      </c>
      <c r="I38" s="228">
        <v>257</v>
      </c>
      <c r="J38" s="228">
        <v>259.8</v>
      </c>
      <c r="K38" s="228">
        <v>264.39999999999998</v>
      </c>
      <c r="L38" s="228">
        <v>274.7</v>
      </c>
      <c r="M38" s="228">
        <v>284.10000000000002</v>
      </c>
      <c r="N38" s="228">
        <v>292.5</v>
      </c>
      <c r="O38" s="228">
        <v>301.10000000000002</v>
      </c>
      <c r="P38" s="228"/>
    </row>
    <row r="39" spans="1:16" customFormat="1" ht="14.35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8">
        <v>237.9</v>
      </c>
      <c r="G39" s="228">
        <v>244.2</v>
      </c>
      <c r="H39" s="228">
        <v>251.9</v>
      </c>
      <c r="I39" s="228">
        <v>257.60000000000002</v>
      </c>
      <c r="J39" s="228">
        <v>259.60000000000002</v>
      </c>
      <c r="K39" s="228">
        <v>264.89999999999998</v>
      </c>
      <c r="L39" s="228">
        <v>275.10000000000002</v>
      </c>
      <c r="M39" s="228">
        <v>284.5</v>
      </c>
      <c r="N39" s="228">
        <v>292.89999999999998</v>
      </c>
      <c r="O39" s="228">
        <v>301.5</v>
      </c>
      <c r="P39" s="228"/>
    </row>
    <row r="40" spans="1:16" customFormat="1" ht="14.35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8">
        <v>238</v>
      </c>
      <c r="G40" s="228">
        <v>245.6</v>
      </c>
      <c r="H40" s="228">
        <v>251.9</v>
      </c>
      <c r="I40" s="228">
        <v>257.7</v>
      </c>
      <c r="J40" s="228">
        <v>259.5</v>
      </c>
      <c r="K40" s="228">
        <v>264.8</v>
      </c>
      <c r="L40" s="228">
        <v>275.3</v>
      </c>
      <c r="M40" s="228">
        <v>284.8</v>
      </c>
      <c r="N40" s="228">
        <v>293.2</v>
      </c>
      <c r="O40" s="228">
        <v>301.7</v>
      </c>
      <c r="P40" s="228"/>
    </row>
    <row r="41" spans="1:16" customFormat="1" ht="14.35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8">
        <v>238.5</v>
      </c>
      <c r="G41" s="228">
        <v>245.6</v>
      </c>
      <c r="H41" s="228">
        <v>252.1</v>
      </c>
      <c r="I41" s="228">
        <v>257.10000000000002</v>
      </c>
      <c r="J41" s="228">
        <v>259.8</v>
      </c>
      <c r="K41" s="228">
        <v>265.5</v>
      </c>
      <c r="L41" s="228">
        <v>275.8</v>
      </c>
      <c r="M41" s="228">
        <v>285.3</v>
      </c>
      <c r="N41" s="228">
        <v>293.7</v>
      </c>
      <c r="O41" s="228">
        <v>302.3</v>
      </c>
      <c r="P41" s="228"/>
    </row>
    <row r="42" spans="1:16" customFormat="1" ht="14.35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8">
        <v>239.4</v>
      </c>
      <c r="G42" s="228">
        <v>246.8</v>
      </c>
      <c r="H42" s="228">
        <v>253.4</v>
      </c>
      <c r="I42" s="228">
        <v>257.5</v>
      </c>
      <c r="J42" s="228">
        <v>260.60000000000002</v>
      </c>
      <c r="K42" s="228">
        <v>267.10000000000002</v>
      </c>
      <c r="L42" s="228">
        <v>278.10000000000002</v>
      </c>
      <c r="M42" s="228">
        <v>287.60000000000002</v>
      </c>
      <c r="N42" s="228">
        <v>296.10000000000002</v>
      </c>
      <c r="O42" s="228">
        <v>304.8</v>
      </c>
      <c r="P42" s="228"/>
    </row>
    <row r="43" spans="1:16" customFormat="1" ht="14.35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8">
        <v>238</v>
      </c>
      <c r="G43" s="228">
        <v>245.8</v>
      </c>
      <c r="H43" s="228">
        <v>252.6</v>
      </c>
      <c r="I43" s="228">
        <v>255.4</v>
      </c>
      <c r="J43" s="228">
        <v>258.8</v>
      </c>
      <c r="K43" s="228">
        <v>265.5</v>
      </c>
      <c r="L43" s="228">
        <v>276</v>
      </c>
      <c r="M43" s="228">
        <v>285.5</v>
      </c>
      <c r="N43" s="228">
        <v>293.89999999999998</v>
      </c>
      <c r="O43" s="228">
        <v>302.5</v>
      </c>
      <c r="P43" s="228"/>
    </row>
    <row r="44" spans="1:16" customFormat="1" ht="14.35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8">
        <v>239.9</v>
      </c>
      <c r="G44" s="228">
        <v>247.6</v>
      </c>
      <c r="H44" s="228">
        <v>254.2</v>
      </c>
      <c r="I44" s="228">
        <v>256.7</v>
      </c>
      <c r="J44" s="228">
        <v>260</v>
      </c>
      <c r="K44" s="228">
        <v>268.39999999999998</v>
      </c>
      <c r="L44" s="228">
        <v>278.10000000000002</v>
      </c>
      <c r="M44" s="228">
        <v>287.60000000000002</v>
      </c>
      <c r="N44" s="228">
        <v>296.10000000000002</v>
      </c>
      <c r="O44" s="228">
        <v>304.8</v>
      </c>
      <c r="P44" s="228"/>
    </row>
    <row r="45" spans="1:16" customFormat="1" ht="14.35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8">
        <v>240.8</v>
      </c>
      <c r="G45" s="228">
        <v>248.7</v>
      </c>
      <c r="H45" s="228">
        <v>254.8</v>
      </c>
      <c r="I45" s="228">
        <v>257.10000000000002</v>
      </c>
      <c r="J45" s="228">
        <v>261.10000000000002</v>
      </c>
      <c r="K45" s="228">
        <v>269.3</v>
      </c>
      <c r="L45" s="228">
        <v>278.3</v>
      </c>
      <c r="M45" s="228">
        <v>287.89999999999998</v>
      </c>
      <c r="N45" s="228">
        <v>296.39999999999998</v>
      </c>
      <c r="O45" s="228">
        <v>305</v>
      </c>
      <c r="P45" s="228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P8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3.05859375" style="30" customWidth="1"/>
    <col min="4" max="4" width="10" style="30" customWidth="1"/>
    <col min="5" max="5" width="45" style="39" customWidth="1"/>
    <col min="6" max="6" width="6" style="30" customWidth="1"/>
    <col min="7" max="7" width="10.05859375" style="30" customWidth="1"/>
    <col min="8" max="8" width="12.05859375" style="30" customWidth="1"/>
    <col min="9" max="16" width="14.52734375" style="30" customWidth="1"/>
    <col min="17" max="21" width="13.52734375" style="30" customWidth="1"/>
    <col min="22" max="22" width="10.52734375" style="45" customWidth="1"/>
    <col min="23" max="24" width="9.05859375" style="30" customWidth="1"/>
    <col min="25" max="25" width="9.05859375" style="30" hidden="1" customWidth="1"/>
    <col min="26" max="27" width="13.05859375" style="30" hidden="1" customWidth="1"/>
    <col min="28" max="16384" width="9.058593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13"/>
      <c r="B11" s="13"/>
      <c r="C11" s="14"/>
      <c r="D11" s="13" t="s">
        <v>6</v>
      </c>
      <c r="E11" s="17" t="s">
        <v>7</v>
      </c>
      <c r="H11" s="276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13"/>
      <c r="B15" s="13"/>
      <c r="C15" s="14"/>
      <c r="D15" s="13" t="s">
        <v>15</v>
      </c>
      <c r="E15" s="17" t="s">
        <v>16</v>
      </c>
      <c r="F15" s="13"/>
      <c r="G15" s="13"/>
      <c r="H15" s="275">
        <v>3.6700000000000003E-2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5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1"/>
      <c r="B20" s="171"/>
      <c r="C20" s="171"/>
      <c r="D20" s="172"/>
      <c r="E20" s="173"/>
      <c r="F20" s="174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7" s="3" customFormat="1">
      <c r="E21" s="90" t="s">
        <v>20</v>
      </c>
    </row>
    <row r="22" spans="1:27" s="192" customFormat="1">
      <c r="A22" s="3"/>
      <c r="B22" s="3"/>
      <c r="C22" s="3"/>
      <c r="D22" s="3" t="s">
        <v>21</v>
      </c>
      <c r="E22" s="3" t="s">
        <v>22</v>
      </c>
      <c r="F22" s="3"/>
      <c r="G22" s="3"/>
      <c r="H22" s="274">
        <f>WS15_CMA!P7</f>
        <v>100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2" customFormat="1">
      <c r="A23" s="3"/>
      <c r="B23" s="3"/>
      <c r="C23" s="3"/>
      <c r="D23" s="3" t="s">
        <v>21</v>
      </c>
      <c r="E23" s="3" t="s">
        <v>24</v>
      </c>
      <c r="F23" s="3"/>
      <c r="G23" s="3"/>
      <c r="H23" s="227">
        <f>F_Inputs!P8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2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2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2" customFormat="1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0.31960511677452302</v>
      </c>
      <c r="M26" s="35">
        <f>+F_Inputs!K5</f>
        <v>0.31960511677452302</v>
      </c>
      <c r="N26" s="35">
        <f>+F_Inputs!L5</f>
        <v>0.31960511677452302</v>
      </c>
      <c r="O26" s="35">
        <f>+F_Inputs!M5</f>
        <v>0.31960511677452302</v>
      </c>
      <c r="P26" s="35">
        <f>+F_Inputs!N5</f>
        <v>0.31960511677452302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2" customFormat="1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0</v>
      </c>
      <c r="M27" s="35">
        <f>+F_Inputs!K6</f>
        <v>0</v>
      </c>
      <c r="N27" s="35">
        <f>+F_Inputs!L6</f>
        <v>0</v>
      </c>
      <c r="O27" s="35">
        <f>+F_Inputs!M6</f>
        <v>0</v>
      </c>
      <c r="P27" s="35">
        <f>+F_Inputs!N6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2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8"/>
      <c r="M28" s="208"/>
      <c r="N28" s="208"/>
      <c r="O28" s="208"/>
      <c r="P28" s="208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5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1"/>
      <c r="B30" s="171"/>
      <c r="C30" s="171"/>
      <c r="D30" s="172"/>
      <c r="E30" s="173"/>
      <c r="F30" s="174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30"/>
      <c r="B32" s="30"/>
      <c r="C32" s="31"/>
      <c r="D32" s="3" t="s">
        <v>21</v>
      </c>
      <c r="E32" s="3" t="s">
        <v>34</v>
      </c>
      <c r="F32" s="3"/>
      <c r="G32" s="3"/>
      <c r="H32" s="273">
        <f>WS15_CMA!P9</f>
        <v>100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59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6"/>
      <c r="B36" s="167"/>
      <c r="C36" s="167"/>
      <c r="D36" s="168"/>
      <c r="E36" s="169"/>
      <c r="F36" s="170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273">
        <f>+WS15_CMA!J14</f>
        <v>87.83</v>
      </c>
      <c r="M40" s="273">
        <f>+WS15_CMA!K14</f>
        <v>85.025000000000006</v>
      </c>
      <c r="N40" s="273">
        <f>+WS15_CMA!L14</f>
        <v>84.692999999999998</v>
      </c>
      <c r="O40" s="273">
        <f>+WS15_CMA!M14</f>
        <v>84.084999999999994</v>
      </c>
      <c r="P40" s="273">
        <f>+WS15_CMA!N14</f>
        <v>85.355000000000004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0</v>
      </c>
      <c r="M41" s="35">
        <f>+F_Inputs!K15</f>
        <v>0</v>
      </c>
      <c r="N41" s="35">
        <f>+F_Inputs!L15</f>
        <v>0</v>
      </c>
      <c r="O41" s="35">
        <f>+F_Inputs!M15</f>
        <v>0</v>
      </c>
      <c r="P41" s="35">
        <f>+F_Inputs!N15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7" customFormat="1" ht="15.75" customHeight="1">
      <c r="A43" s="194"/>
      <c r="B43" s="195"/>
      <c r="C43" s="195"/>
      <c r="D43" s="196"/>
      <c r="E43" s="202" t="s">
        <v>46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6" customFormat="1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7"/>
      <c r="I46" s="40"/>
      <c r="J46" s="40"/>
      <c r="K46" s="40"/>
      <c r="L46" s="273">
        <f>+WS15_CMA!J12</f>
        <v>88.15</v>
      </c>
      <c r="M46" s="273">
        <f>+WS15_CMA!K12</f>
        <v>85.343999999999994</v>
      </c>
      <c r="N46" s="273">
        <f>+WS15_CMA!L12</f>
        <v>85.013000000000005</v>
      </c>
      <c r="O46" s="273">
        <f>+WS15_CMA!M12</f>
        <v>84.405000000000001</v>
      </c>
      <c r="P46" s="273">
        <f>+WS15_CMA!N12</f>
        <v>85.674999999999997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7"/>
      <c r="Z46" s="207"/>
      <c r="AA46" s="207"/>
    </row>
    <row r="47" spans="1:27" s="206" customFormat="1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7"/>
      <c r="I47" s="40"/>
      <c r="J47" s="40"/>
      <c r="K47" s="40"/>
      <c r="L47" s="35">
        <f>+F_Inputs!J13</f>
        <v>0</v>
      </c>
      <c r="M47" s="35">
        <f>+F_Inputs!K13</f>
        <v>0</v>
      </c>
      <c r="N47" s="35">
        <f>+F_Inputs!L13</f>
        <v>0</v>
      </c>
      <c r="O47" s="35">
        <f>+F_Inputs!M13</f>
        <v>0</v>
      </c>
      <c r="P47" s="35">
        <f>+F_Inputs!N13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7"/>
      <c r="Z47" s="207"/>
      <c r="AA47" s="207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7"/>
      <c r="I52" s="40"/>
      <c r="J52" s="40"/>
      <c r="K52" s="40"/>
      <c r="L52" s="35">
        <f>+F_Inputs!J16</f>
        <v>69.890999999999906</v>
      </c>
      <c r="M52" s="35">
        <f>+F_Inputs!K16</f>
        <v>82.936999999999898</v>
      </c>
      <c r="N52" s="35">
        <f>+F_Inputs!L16</f>
        <v>104.04300000000001</v>
      </c>
      <c r="O52" s="35">
        <f>+F_Inputs!M16</f>
        <v>112.828</v>
      </c>
      <c r="P52" s="35">
        <f>+F_Inputs!N16</f>
        <v>104.48399999999999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7"/>
      <c r="I53" s="40"/>
      <c r="J53" s="40"/>
      <c r="K53" s="40"/>
      <c r="L53" s="35">
        <f>+F_Inputs!J17</f>
        <v>0</v>
      </c>
      <c r="M53" s="35">
        <f>+F_Inputs!K17</f>
        <v>0</v>
      </c>
      <c r="N53" s="35">
        <f>+F_Inputs!L17</f>
        <v>0</v>
      </c>
      <c r="O53" s="35">
        <f>+F_Inputs!M17</f>
        <v>0</v>
      </c>
      <c r="P53" s="35">
        <f>+F_Inputs!N17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4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1"/>
      <c r="B58" s="171"/>
      <c r="C58" s="171"/>
      <c r="D58" s="172"/>
      <c r="E58" s="173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1.2170000000000001</v>
      </c>
      <c r="M60" s="35">
        <f>+F_Inputs!K18</f>
        <v>1.2329999999999901</v>
      </c>
      <c r="N60" s="35">
        <f>+F_Inputs!L18</f>
        <v>1.552</v>
      </c>
      <c r="O60" s="35">
        <f>+F_Inputs!M18</f>
        <v>1.3340000000000001</v>
      </c>
      <c r="P60" s="35">
        <f>+F_Inputs!N18</f>
        <v>1.3340000000000001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1.6E-2</v>
      </c>
      <c r="M61" s="35">
        <f>+F_Inputs!K19</f>
        <v>3.3000000000000002E-2</v>
      </c>
      <c r="N61" s="35">
        <f>+F_Inputs!L19</f>
        <v>0.159</v>
      </c>
      <c r="O61" s="35">
        <f>+F_Inputs!M19</f>
        <v>6.9000000000000006E-2</v>
      </c>
      <c r="P61" s="35">
        <f>+F_Inputs!N19</f>
        <v>6.9000000000000006E-2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0.33700000000000002</v>
      </c>
      <c r="M62" s="35">
        <f>+F_Inputs!K20</f>
        <v>9.8000000000000004E-2</v>
      </c>
      <c r="N62" s="35">
        <f>+F_Inputs!L20</f>
        <v>0</v>
      </c>
      <c r="O62" s="35" t="str">
        <f>+F_Inputs!M20</f>
        <v>-</v>
      </c>
      <c r="P62" s="35" t="str">
        <f>+F_Inputs!N20</f>
        <v>-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0.10199999999999999</v>
      </c>
      <c r="M63" s="35" t="str">
        <f>+F_Inputs!K21</f>
        <v>-</v>
      </c>
      <c r="N63" s="35" t="str">
        <f>+F_Inputs!L21</f>
        <v>-</v>
      </c>
      <c r="O63" s="35" t="str">
        <f>+F_Inputs!M21</f>
        <v>-</v>
      </c>
      <c r="P63" s="35" t="str">
        <f>+F_Inputs!N21</f>
        <v>-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9" t="str">
        <f>+F_Inputs!J30</f>
        <v>-</v>
      </c>
      <c r="M64" s="229" t="str">
        <f>+F_Inputs!K30</f>
        <v>-</v>
      </c>
      <c r="N64" s="229" t="str">
        <f>+F_Inputs!L30</f>
        <v>-</v>
      </c>
      <c r="O64" s="229" t="str">
        <f>+F_Inputs!M30</f>
        <v>-</v>
      </c>
      <c r="P64" s="229" t="str">
        <f>+F_Inputs!N30</f>
        <v>-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0</v>
      </c>
      <c r="M68" s="35">
        <f>+F_Inputs!K24</f>
        <v>0</v>
      </c>
      <c r="N68" s="35">
        <f>+F_Inputs!L24</f>
        <v>0</v>
      </c>
      <c r="O68" s="35">
        <f>+F_Inputs!M24</f>
        <v>0</v>
      </c>
      <c r="P68" s="35">
        <f>+F_Inputs!N24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9">
        <f>+F_Inputs!J31</f>
        <v>0</v>
      </c>
      <c r="M70" s="229">
        <f>+F_Inputs!K31</f>
        <v>0</v>
      </c>
      <c r="N70" s="229">
        <f>+F_Inputs!L31</f>
        <v>0</v>
      </c>
      <c r="O70" s="229">
        <f>+F_Inputs!M31</f>
        <v>0</v>
      </c>
      <c r="P70" s="229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9">
        <f>+F_Inputs!J32</f>
        <v>0</v>
      </c>
      <c r="M71" s="229">
        <f>+F_Inputs!K32</f>
        <v>0</v>
      </c>
      <c r="N71" s="229">
        <f>+F_Inputs!L32</f>
        <v>0</v>
      </c>
      <c r="O71" s="229">
        <f>+F_Inputs!M32</f>
        <v>0</v>
      </c>
      <c r="P71" s="229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9">
        <f>+F_Inputs!J33</f>
        <v>0</v>
      </c>
      <c r="M72" s="229">
        <f>+F_Inputs!K33</f>
        <v>0</v>
      </c>
      <c r="N72" s="229">
        <f>+F_Inputs!L33</f>
        <v>0</v>
      </c>
      <c r="O72" s="229">
        <f>+F_Inputs!M33</f>
        <v>0</v>
      </c>
      <c r="P72" s="229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0" customFormat="1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1.32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8"/>
      <c r="Z75" s="188"/>
      <c r="AA75" s="188"/>
    </row>
    <row r="76" spans="1:27" s="12" customFormat="1">
      <c r="A76" s="30"/>
      <c r="B76" s="30"/>
      <c r="C76" s="31"/>
      <c r="D76" s="30"/>
      <c r="E76" s="215"/>
      <c r="F76" s="216"/>
      <c r="G76" s="188"/>
      <c r="H76" s="188"/>
      <c r="I76" s="188"/>
      <c r="J76" s="188"/>
      <c r="K76" s="220"/>
      <c r="L76" s="217"/>
      <c r="M76" s="217"/>
      <c r="N76" s="217"/>
      <c r="O76" s="217"/>
      <c r="P76" s="217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0" customFormat="1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8"/>
      <c r="Z78" s="188"/>
      <c r="AA78" s="188"/>
    </row>
    <row r="79" spans="1:27" s="12" customFormat="1">
      <c r="A79" s="30"/>
      <c r="B79" s="30"/>
      <c r="C79" s="31"/>
      <c r="D79" s="30"/>
      <c r="E79" s="215"/>
      <c r="F79" s="216"/>
      <c r="G79" s="188"/>
      <c r="H79" s="188"/>
      <c r="I79" s="188"/>
      <c r="J79" s="188"/>
      <c r="K79" s="220"/>
      <c r="L79" s="217"/>
      <c r="M79" s="217"/>
      <c r="N79" s="217"/>
      <c r="O79" s="217"/>
      <c r="P79" s="217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8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3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3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6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7"/>
      <c r="Z117" s="207"/>
      <c r="AA117" s="207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279">
        <f>+WS15_CMA!J28</f>
        <v>0.59943999999999997</v>
      </c>
      <c r="M125" s="279">
        <f>+WS15_CMA!K28</f>
        <v>0.54200000000000004</v>
      </c>
      <c r="N125" s="279">
        <f>+WS15_CMA!L28</f>
        <v>0.54200000000000004</v>
      </c>
      <c r="O125" s="279">
        <f>+WS15_CMA!M28</f>
        <v>0.54200000000000004</v>
      </c>
      <c r="P125" s="279">
        <f>+WS15_CMA!N28</f>
        <v>0.54200000000000004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8">
        <f>+F_Inputs!J29</f>
        <v>0</v>
      </c>
      <c r="M126" s="178">
        <f>+F_Inputs!K29</f>
        <v>0</v>
      </c>
      <c r="N126" s="178">
        <f>+F_Inputs!L29</f>
        <v>0</v>
      </c>
      <c r="O126" s="178">
        <f>+F_Inputs!M29</f>
        <v>0</v>
      </c>
      <c r="P126" s="178">
        <f>+F_Inputs!N29</f>
        <v>0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8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63">
        <f>AllExp.Coeff.Water/100</f>
        <v>1</v>
      </c>
    </row>
    <row r="133" spans="1:24" ht="14.35">
      <c r="E133" s="176"/>
      <c r="F133"/>
    </row>
    <row r="134" spans="1:24">
      <c r="D134" s="3" t="s">
        <v>21</v>
      </c>
      <c r="E134" s="39" t="s">
        <v>151</v>
      </c>
      <c r="F134" s="33" t="s">
        <v>28</v>
      </c>
      <c r="L134" s="164"/>
      <c r="M134" s="164"/>
      <c r="N134" s="165"/>
      <c r="O134" s="165"/>
      <c r="P134" s="165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4"/>
      <c r="M135" s="164"/>
      <c r="N135" s="175">
        <f>N134*Indexation.Average</f>
        <v>0</v>
      </c>
      <c r="O135" s="175">
        <f>O134*Indexation.Average</f>
        <v>0</v>
      </c>
      <c r="P135" s="175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4"/>
      <c r="M137" s="164"/>
      <c r="N137" s="165"/>
      <c r="O137" s="165"/>
      <c r="P137" s="165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4"/>
      <c r="M140" s="164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7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5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6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5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8" customFormat="1" hidden="1">
      <c r="E164" s="201"/>
      <c r="V164" s="189"/>
    </row>
    <row r="165" spans="5:22" s="188" customFormat="1" hidden="1">
      <c r="E165" s="201"/>
      <c r="V165" s="189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80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2.52734375" style="3" customWidth="1"/>
    <col min="4" max="4" width="9.3515625" style="3" bestFit="1" customWidth="1"/>
    <col min="5" max="5" width="49.703125" style="91" customWidth="1"/>
    <col min="6" max="6" width="20.3515625" style="91" customWidth="1"/>
    <col min="7" max="7" width="14.52734375" style="91" customWidth="1"/>
    <col min="8" max="8" width="14.3515625" style="3" customWidth="1"/>
    <col min="9" max="9" width="11.3515625" style="3" customWidth="1"/>
    <col min="10" max="10" width="11.52734375" style="3" customWidth="1"/>
    <col min="11" max="17" width="11.05859375" style="3" customWidth="1"/>
    <col min="18" max="20" width="11.52734375" style="3" customWidth="1"/>
    <col min="21" max="21" width="9.52734375" style="3" customWidth="1"/>
    <col min="22" max="22" width="3.52734375" style="3" customWidth="1"/>
    <col min="23" max="23" width="106.05859375" style="3" bestFit="1" customWidth="1"/>
    <col min="24" max="24" width="3.52734375" style="74" customWidth="1"/>
    <col min="25" max="25" width="13.52734375" style="3" hidden="1" customWidth="1"/>
    <col min="26" max="38" width="9.05859375" style="3" hidden="1" customWidth="1"/>
    <col min="39" max="39" width="10.05859375" style="3" hidden="1" customWidth="1"/>
    <col min="40" max="16384" width="9.05859375" style="3" hidden="1"/>
  </cols>
  <sheetData>
    <row r="1" spans="1:29" s="2" customFormat="1" ht="33">
      <c r="A1" s="1"/>
      <c r="B1" s="1"/>
      <c r="C1" s="1"/>
      <c r="D1" s="180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0"/>
      <c r="B2" s="231"/>
      <c r="C2" s="232"/>
      <c r="D2" s="233"/>
      <c r="E2" s="234"/>
      <c r="F2" s="234"/>
      <c r="G2" s="234"/>
      <c r="H2" s="235"/>
      <c r="I2" s="236"/>
      <c r="J2" s="236"/>
      <c r="K2" s="236"/>
      <c r="L2" s="236"/>
      <c r="M2" s="236"/>
      <c r="N2" s="236"/>
      <c r="O2" s="236"/>
      <c r="P2" s="236"/>
      <c r="Q2" s="236"/>
      <c r="R2" s="237"/>
      <c r="S2" s="237"/>
      <c r="T2" s="237"/>
      <c r="U2" s="236"/>
      <c r="V2" s="236"/>
      <c r="W2" s="236"/>
      <c r="X2" s="238"/>
      <c r="Y2" s="69"/>
      <c r="Z2" s="69"/>
      <c r="AA2" s="69"/>
      <c r="AB2" s="69"/>
      <c r="AC2" s="69"/>
    </row>
    <row r="3" spans="1:29" ht="12.75" customHeight="1">
      <c r="A3" s="239"/>
      <c r="B3" s="240"/>
      <c r="C3" s="241"/>
      <c r="D3" s="242" t="s">
        <v>1</v>
      </c>
      <c r="E3" s="243" t="s">
        <v>1</v>
      </c>
      <c r="F3" s="244"/>
      <c r="G3" s="244"/>
      <c r="H3" s="237"/>
      <c r="I3" s="245" t="str">
        <f t="shared" ref="I3:U3" si="0">AMP.Years</f>
        <v>2012-13</v>
      </c>
      <c r="J3" s="245" t="str">
        <f t="shared" si="0"/>
        <v>2013-14</v>
      </c>
      <c r="K3" s="245" t="str">
        <f t="shared" si="0"/>
        <v>2014-15</v>
      </c>
      <c r="L3" s="246" t="str">
        <f t="shared" si="0"/>
        <v>2015-16</v>
      </c>
      <c r="M3" s="246" t="str">
        <f t="shared" si="0"/>
        <v>2016-17</v>
      </c>
      <c r="N3" s="246" t="str">
        <f t="shared" si="0"/>
        <v>2017-18</v>
      </c>
      <c r="O3" s="246" t="str">
        <f t="shared" si="0"/>
        <v>2018-19</v>
      </c>
      <c r="P3" s="246" t="str">
        <f t="shared" si="0"/>
        <v>2019-20</v>
      </c>
      <c r="Q3" s="245" t="str">
        <f t="shared" si="0"/>
        <v>2020-21</v>
      </c>
      <c r="R3" s="245" t="str">
        <f t="shared" si="0"/>
        <v>2021-22</v>
      </c>
      <c r="S3" s="245" t="str">
        <f t="shared" si="0"/>
        <v>2022-23</v>
      </c>
      <c r="T3" s="245" t="str">
        <f t="shared" si="0"/>
        <v>2023-24</v>
      </c>
      <c r="U3" s="245" t="str">
        <f t="shared" si="0"/>
        <v>2024-25</v>
      </c>
      <c r="V3" s="247"/>
      <c r="W3" s="247"/>
      <c r="X3" s="247"/>
      <c r="Y3" s="69"/>
      <c r="Z3" s="69"/>
      <c r="AA3" s="70"/>
      <c r="AB3" s="71"/>
      <c r="AC3" s="71"/>
    </row>
    <row r="4" spans="1:29">
      <c r="A4" s="248"/>
      <c r="B4" s="249"/>
      <c r="C4" s="250"/>
      <c r="D4" s="251"/>
      <c r="E4" s="243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52"/>
      <c r="W4" s="252"/>
      <c r="X4" s="253"/>
      <c r="Y4" s="72"/>
      <c r="Z4" s="72"/>
      <c r="AA4" s="70"/>
      <c r="AB4" s="71"/>
      <c r="AC4" s="71"/>
    </row>
    <row r="5" spans="1:29">
      <c r="A5" s="254"/>
      <c r="B5" s="249"/>
      <c r="C5" s="255"/>
      <c r="D5" s="251" t="s">
        <v>94</v>
      </c>
      <c r="E5" s="243" t="s">
        <v>2</v>
      </c>
      <c r="F5" s="256"/>
      <c r="G5" s="256"/>
      <c r="H5" s="237"/>
      <c r="I5" s="256">
        <f t="shared" ref="I5:U5" si="1">Calendar.Years</f>
        <v>2012</v>
      </c>
      <c r="J5" s="256">
        <f t="shared" si="1"/>
        <v>2013</v>
      </c>
      <c r="K5" s="256">
        <f t="shared" si="1"/>
        <v>2014</v>
      </c>
      <c r="L5" s="256">
        <f t="shared" si="1"/>
        <v>2015</v>
      </c>
      <c r="M5" s="256">
        <f t="shared" si="1"/>
        <v>2016</v>
      </c>
      <c r="N5" s="256">
        <f t="shared" si="1"/>
        <v>2017</v>
      </c>
      <c r="O5" s="256">
        <f t="shared" si="1"/>
        <v>2018</v>
      </c>
      <c r="P5" s="256">
        <f t="shared" si="1"/>
        <v>2019</v>
      </c>
      <c r="Q5" s="256">
        <f t="shared" si="1"/>
        <v>2020</v>
      </c>
      <c r="R5" s="256">
        <f t="shared" si="1"/>
        <v>2021</v>
      </c>
      <c r="S5" s="256">
        <f t="shared" si="1"/>
        <v>2022</v>
      </c>
      <c r="T5" s="256">
        <f t="shared" si="1"/>
        <v>2023</v>
      </c>
      <c r="U5" s="256">
        <f t="shared" si="1"/>
        <v>2024</v>
      </c>
      <c r="V5" s="249"/>
      <c r="W5" s="249"/>
      <c r="X5" s="253"/>
      <c r="Y5" s="72"/>
      <c r="Z5" s="72"/>
      <c r="AA5" s="73"/>
      <c r="AB5" s="71"/>
      <c r="AC5" s="71"/>
    </row>
    <row r="6" spans="1:29" ht="12.75" customHeight="1">
      <c r="A6" s="237"/>
      <c r="B6" s="237"/>
      <c r="C6" s="237"/>
      <c r="D6" s="237"/>
      <c r="E6" s="243" t="s">
        <v>3</v>
      </c>
      <c r="F6" s="256"/>
      <c r="G6" s="256"/>
      <c r="H6" s="237"/>
      <c r="I6" s="257">
        <v>-2</v>
      </c>
      <c r="J6" s="257">
        <v>-1</v>
      </c>
      <c r="K6" s="257">
        <v>0</v>
      </c>
      <c r="L6" s="257">
        <v>1</v>
      </c>
      <c r="M6" s="257">
        <v>2</v>
      </c>
      <c r="N6" s="257">
        <v>3</v>
      </c>
      <c r="O6" s="257">
        <v>4</v>
      </c>
      <c r="P6" s="257">
        <v>5</v>
      </c>
      <c r="Q6" s="257">
        <v>6</v>
      </c>
      <c r="R6" s="257">
        <v>7</v>
      </c>
      <c r="S6" s="257">
        <v>8</v>
      </c>
      <c r="T6" s="257">
        <v>9</v>
      </c>
      <c r="U6" s="257">
        <v>10</v>
      </c>
      <c r="V6" s="237"/>
      <c r="W6" s="258" t="s">
        <v>166</v>
      </c>
      <c r="X6" s="259"/>
    </row>
    <row r="7" spans="1:29" ht="12.75" customHeight="1">
      <c r="A7" s="237"/>
      <c r="B7" s="237"/>
      <c r="C7" s="237"/>
      <c r="D7" s="237"/>
      <c r="E7" s="237" t="s">
        <v>4</v>
      </c>
      <c r="F7" s="237"/>
      <c r="G7" s="237"/>
      <c r="H7" s="237"/>
      <c r="I7" s="237"/>
      <c r="J7" s="237"/>
      <c r="K7" s="237"/>
      <c r="L7" s="260">
        <v>4</v>
      </c>
      <c r="M7" s="260">
        <v>3</v>
      </c>
      <c r="N7" s="260">
        <v>2</v>
      </c>
      <c r="O7" s="260">
        <v>1</v>
      </c>
      <c r="P7" s="260">
        <v>0</v>
      </c>
      <c r="Q7" s="237"/>
      <c r="R7" s="237"/>
      <c r="S7" s="237"/>
      <c r="T7" s="237"/>
      <c r="U7" s="237"/>
      <c r="V7" s="237"/>
      <c r="W7" s="237"/>
      <c r="X7" s="237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1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1"/>
      <c r="E11" s="21" t="s">
        <v>168</v>
      </c>
      <c r="F11" s="15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65.915124341513447</v>
      </c>
      <c r="M14" s="50">
        <f>Actual.Totex.Water/Indexation.Average</f>
        <v>76.578296707443513</v>
      </c>
      <c r="N14" s="50">
        <f>Actual.Totex.Water/Indexation.Average</f>
        <v>92.600761556882588</v>
      </c>
      <c r="O14" s="50">
        <f>Actual.Totex.Water/Indexation.Average</f>
        <v>97.088095542334642</v>
      </c>
      <c r="P14" s="50">
        <f>Actual.Totex.Water/Indexation.Average</f>
        <v>87.328267926784122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1.5768852627521519</v>
      </c>
      <c r="M18" s="50">
        <f>SUM(INDEX(Actual.Exclusions.Water,,M6))/Indexation.Average</f>
        <v>1.2594233780936412</v>
      </c>
      <c r="N18" s="50">
        <f>SUM(INDEX(Actual.Exclusions.Water,,N6))/Indexation.Average</f>
        <v>1.5228309739610171</v>
      </c>
      <c r="O18" s="50">
        <f>SUM(INDEX(Actual.Exclusions.Water,,O6))/Indexation.Average</f>
        <v>1.2072765452360719</v>
      </c>
      <c r="P18" s="50">
        <f>SUM(INDEX(Actual.Exclusions.Water,,P6))/Indexation.Average</f>
        <v>1.1726346608215434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0">
        <f>SUM(Inputs!L66:L72)/Indexation.Average</f>
        <v>0</v>
      </c>
      <c r="M19" s="220">
        <f>SUM(Inputs!M66:M72)/Indexation.Average</f>
        <v>0</v>
      </c>
      <c r="N19" s="220">
        <f>SUM(Inputs!N66:N72)/Indexation.Average</f>
        <v>0</v>
      </c>
      <c r="O19" s="220">
        <f>SUM(Inputs!O66:O72)/Indexation.Average</f>
        <v>0</v>
      </c>
      <c r="P19" s="220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1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1.32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1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1" customFormat="1">
      <c r="A26" s="75"/>
      <c r="B26" s="75"/>
      <c r="C26" s="75"/>
      <c r="D26" s="188"/>
      <c r="E26" s="215"/>
      <c r="F26" s="216"/>
      <c r="G26" s="213"/>
      <c r="I26" s="221"/>
      <c r="J26" s="221"/>
      <c r="K26" s="221"/>
      <c r="L26" s="220"/>
      <c r="M26" s="220"/>
      <c r="N26" s="220"/>
      <c r="O26" s="220"/>
      <c r="P26" s="220"/>
      <c r="Q26" s="3"/>
      <c r="R26" s="3"/>
      <c r="S26" s="3"/>
      <c r="T26" s="3"/>
      <c r="U26" s="75"/>
      <c r="V26" s="75"/>
      <c r="W26" s="75"/>
      <c r="X26" s="76"/>
    </row>
    <row r="27" spans="1:24" s="191" customFormat="1">
      <c r="A27" s="75"/>
      <c r="B27" s="75"/>
      <c r="C27" s="75"/>
      <c r="D27" s="188"/>
      <c r="E27" s="215"/>
      <c r="F27" s="216"/>
      <c r="G27" s="213"/>
      <c r="I27" s="221"/>
      <c r="J27" s="221"/>
      <c r="K27" s="221"/>
      <c r="L27" s="220"/>
      <c r="M27" s="220"/>
      <c r="N27" s="220"/>
      <c r="O27" s="220"/>
      <c r="P27" s="220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0">
        <f>L14-L18+L22</f>
        <v>65.658239078761284</v>
      </c>
      <c r="M30" s="220">
        <f t="shared" ref="M30:P30" si="2">M14-M18+M22</f>
        <v>75.31887332934987</v>
      </c>
      <c r="N30" s="220">
        <f t="shared" si="2"/>
        <v>91.077930582921567</v>
      </c>
      <c r="O30" s="220">
        <f t="shared" si="2"/>
        <v>95.880818997098572</v>
      </c>
      <c r="P30" s="220">
        <f t="shared" si="2"/>
        <v>86.155633265962578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0">
        <f>L15-L19+L23</f>
        <v>0</v>
      </c>
      <c r="M31" s="220">
        <f t="shared" ref="M31:P31" si="3">M15-M19+M23</f>
        <v>0</v>
      </c>
      <c r="N31" s="220">
        <f t="shared" si="3"/>
        <v>0</v>
      </c>
      <c r="O31" s="220">
        <f t="shared" si="3"/>
        <v>0</v>
      </c>
      <c r="P31" s="220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65.658239078761284</v>
      </c>
      <c r="M32" s="81">
        <f>SUM(M30:M31)</f>
        <v>75.31887332934987</v>
      </c>
      <c r="N32" s="81">
        <f t="shared" ref="N32:P32" si="4">SUM(N30:N31)</f>
        <v>91.077930582921567</v>
      </c>
      <c r="O32" s="81">
        <f t="shared" si="4"/>
        <v>95.880818997098572</v>
      </c>
      <c r="P32" s="81">
        <f t="shared" si="4"/>
        <v>86.155633265962578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1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1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2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2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1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2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1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1" customFormat="1">
      <c r="A51" s="3"/>
      <c r="B51" s="3"/>
      <c r="C51" s="3"/>
      <c r="D51" s="182" t="s">
        <v>15</v>
      </c>
      <c r="E51" s="32" t="s">
        <v>201</v>
      </c>
      <c r="F51" s="39"/>
      <c r="G51" s="87">
        <f>MIN(MAX(Eff.Inc.Constant+Eff.Inc.Slope*FD.Menu.Choice.Water,UB.EffInc),LB.EffInc)</f>
        <v>0.49999999999999994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1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1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1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1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1" customFormat="1">
      <c r="A56" s="3"/>
      <c r="B56" s="3"/>
      <c r="C56" s="3"/>
      <c r="D56" s="182" t="s">
        <v>15</v>
      </c>
      <c r="E56" s="32" t="s">
        <v>208</v>
      </c>
      <c r="F56" s="39"/>
      <c r="G56" s="87">
        <f>MIN(MAX(Eff.Inc.Constant+Eff.Inc.Slope*FD.Menu.Choice.Sewerage,UB.EffInc),LB.EffInc)</f>
        <v>0.54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1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1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2.3000000000000007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1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1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2" t="s">
        <v>15</v>
      </c>
      <c r="E63" s="32" t="s">
        <v>201</v>
      </c>
      <c r="F63" s="39"/>
      <c r="G63" s="87">
        <f>MIN(MAX(Eff.Inc.Constant+Eff.Inc.Slope*Menu.Choice.Water,UB.EffInc),LB.EffInc)</f>
        <v>0.49999999999999994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</v>
      </c>
      <c r="H64" s="89" t="s">
        <v>216</v>
      </c>
      <c r="I64" s="85"/>
      <c r="J64" s="198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2" t="s">
        <v>15</v>
      </c>
      <c r="E68" s="32" t="s">
        <v>208</v>
      </c>
      <c r="F68" s="39"/>
      <c r="G68" s="87">
        <f>MIN(MAX(Eff.Inc.Constant+Eff.Inc.Slope*Menu.Choice.Sewerage,UB.EffInc),LB.EffInc)</f>
        <v>0.54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2.3000000000000007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1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1"/>
      <c r="E74" s="21" t="s">
        <v>222</v>
      </c>
      <c r="F74" s="15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0"/>
      <c r="G76" s="3"/>
      <c r="L76" s="3"/>
      <c r="M76" s="3"/>
      <c r="N76" s="3"/>
      <c r="R76" s="76"/>
    </row>
    <row r="77" spans="1:24" s="75" customFormat="1">
      <c r="B77" s="3"/>
      <c r="C77" s="3"/>
      <c r="D77" s="182" t="s">
        <v>15</v>
      </c>
      <c r="E77" s="32" t="s">
        <v>224</v>
      </c>
      <c r="F77" s="3"/>
      <c r="G77" s="200">
        <f>IF(SUM(Baseline.Totex.Water)&lt;&gt;0,SUM(Menu.Totex.Water)/SUM(Baseline.Totex.Water),0)</f>
        <v>0.96979656396454683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96.979656396454686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0"/>
      <c r="G80" s="162">
        <f>(AllExp.Coeff.Water-G78)*EffInc.Coeff.Water+AddInc.Coeff.Water</f>
        <v>1.5101718017726566</v>
      </c>
      <c r="L80" s="3"/>
      <c r="M80" s="3"/>
      <c r="N80" s="3"/>
      <c r="R80" s="76"/>
    </row>
    <row r="81" spans="1:24" s="75" customFormat="1">
      <c r="B81" s="3"/>
      <c r="C81" s="3"/>
      <c r="D81" s="182" t="s">
        <v>15</v>
      </c>
      <c r="E81" s="32" t="s">
        <v>227</v>
      </c>
      <c r="F81" s="39"/>
      <c r="G81" s="199">
        <f>G80/100</f>
        <v>1.5101718017726567E-2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2" t="s">
        <v>15</v>
      </c>
      <c r="E84" s="32" t="s">
        <v>229</v>
      </c>
      <c r="F84" s="3"/>
      <c r="G84" s="200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1">
        <f>(AllExp.Coeff.Sewerage-G85)*EffInc.Coeff.Sewerage+AddInc.Coeff.Sewerage</f>
        <v>53.600000000000009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2" t="s">
        <v>15</v>
      </c>
      <c r="E88" s="32" t="s">
        <v>232</v>
      </c>
      <c r="F88" s="39"/>
      <c r="G88" s="199">
        <f>G87/100</f>
        <v>0.53600000000000003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1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0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6.4482523729530312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1" customFormat="1">
      <c r="A96" s="75"/>
      <c r="B96" s="3"/>
      <c r="C96" s="3"/>
      <c r="D96" s="75"/>
      <c r="E96" s="49" t="s">
        <v>237</v>
      </c>
      <c r="F96" s="160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1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0</v>
      </c>
      <c r="M97" s="153">
        <f>FD.AddInc.Coeff.Water/100*Baseline.Totex.Water</f>
        <v>0</v>
      </c>
      <c r="N97" s="153">
        <f>FD.AddInc.Coeff.Water/100*Baseline.Totex.Water</f>
        <v>0</v>
      </c>
      <c r="O97" s="153">
        <f>FD.AddInc.Coeff.Water/100*Baseline.Totex.Water</f>
        <v>0</v>
      </c>
      <c r="P97" s="153">
        <f>FD.AddInc.Coeff.Water/100*Baseline.Totex.Water</f>
        <v>0</v>
      </c>
      <c r="Q97" s="75"/>
      <c r="R97" s="76"/>
      <c r="S97" s="75"/>
      <c r="T97" s="75"/>
      <c r="U97" s="75"/>
      <c r="V97" s="75"/>
      <c r="W97" s="75"/>
      <c r="X97" s="75"/>
    </row>
    <row r="98" spans="1:24" s="191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1" customFormat="1">
      <c r="A100" s="75"/>
      <c r="B100" s="3"/>
      <c r="C100" s="3"/>
      <c r="D100" s="75"/>
      <c r="E100" s="49" t="s">
        <v>240</v>
      </c>
      <c r="F100" s="160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1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6.4482523729530312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1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0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1.3263838934969243</v>
      </c>
      <c r="M105" s="153">
        <f>IF(SUM(Baseline.Totex.Water)=0,0,$G101*(Baseline.Totex.Water/SUM(Baseline.Totex.Water)))</f>
        <v>1.2840235744572015</v>
      </c>
      <c r="N105" s="153">
        <f>IF(SUM(Baseline.Totex.Water)=0,0,$G101*(Baseline.Totex.Water/SUM(Baseline.Totex.Water)))</f>
        <v>1.2790098040753159</v>
      </c>
      <c r="O105" s="153">
        <f>IF(SUM(Baseline.Totex.Water)=0,0,$G101*(Baseline.Totex.Water/SUM(Baseline.Totex.Water)))</f>
        <v>1.2698279595205382</v>
      </c>
      <c r="P105" s="153">
        <f>IF(SUM(Baseline.Totex.Water)=0,0,$G101*(Baseline.Totex.Water/SUM(Baseline.Totex.Water)))</f>
        <v>1.2890071414030511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1" customFormat="1">
      <c r="A108" s="75"/>
      <c r="B108" s="3"/>
      <c r="C108" s="3"/>
      <c r="D108" s="75"/>
      <c r="E108" s="49" t="s">
        <v>247</v>
      </c>
      <c r="F108" s="160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1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1.5320806716880737</v>
      </c>
      <c r="M109" s="153">
        <f>M105*(1+WACC)^Calcs!M7</f>
        <v>1.4306463559349387</v>
      </c>
      <c r="N109" s="153">
        <f>N105*(1+WACC)^Calcs!N7</f>
        <v>1.374611809209455</v>
      </c>
      <c r="O109" s="153">
        <f>O105*(1+WACC)^Calcs!O7</f>
        <v>1.3164306456349419</v>
      </c>
      <c r="P109" s="153">
        <f>P105*(1+WACC)^Calcs!P7</f>
        <v>1.2890071414030511</v>
      </c>
      <c r="Q109" s="75"/>
      <c r="R109" s="3"/>
      <c r="S109" s="3"/>
      <c r="T109" s="3"/>
      <c r="U109" s="75"/>
      <c r="V109" s="75"/>
      <c r="W109" s="75"/>
      <c r="X109" s="76"/>
    </row>
    <row r="110" spans="1:24" s="191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1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1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1" customFormat="1">
      <c r="A113" s="75"/>
      <c r="B113" s="3"/>
      <c r="C113" s="3"/>
      <c r="D113" s="183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6.9427766238704596</v>
      </c>
      <c r="Q113" s="75"/>
      <c r="R113" s="3"/>
      <c r="S113" s="3"/>
      <c r="T113" s="3"/>
      <c r="U113" s="75"/>
      <c r="V113" s="75"/>
      <c r="W113" s="75"/>
      <c r="X113" s="76"/>
    </row>
    <row r="114" spans="1:24" s="191" customFormat="1">
      <c r="A114" s="75"/>
      <c r="B114" s="3"/>
      <c r="C114" s="3"/>
      <c r="D114" s="183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1" customFormat="1">
      <c r="A115" s="3"/>
      <c r="B115" s="3"/>
      <c r="C115" s="3"/>
      <c r="D115" s="183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1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1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1" customFormat="1">
      <c r="A118" s="3"/>
      <c r="B118" s="3"/>
      <c r="C118" s="3"/>
      <c r="E118" s="211"/>
      <c r="F118" s="212"/>
      <c r="G118" s="213"/>
      <c r="L118" s="213"/>
      <c r="M118" s="213"/>
      <c r="N118" s="213"/>
      <c r="O118" s="213"/>
      <c r="P118" s="213"/>
      <c r="Q118" s="192"/>
      <c r="R118" s="192"/>
      <c r="S118" s="192"/>
      <c r="T118" s="192"/>
      <c r="W118" s="75"/>
      <c r="X118" s="214"/>
    </row>
    <row r="119" spans="1:24" s="191" customFormat="1">
      <c r="A119" s="3"/>
      <c r="B119" s="3"/>
      <c r="C119" s="3"/>
      <c r="D119" s="188"/>
      <c r="E119" s="215"/>
      <c r="F119" s="216"/>
      <c r="L119" s="217"/>
      <c r="M119" s="217"/>
      <c r="N119" s="217"/>
      <c r="O119" s="217"/>
      <c r="P119" s="217"/>
      <c r="Q119" s="212"/>
      <c r="R119" s="192"/>
      <c r="S119" s="192"/>
      <c r="T119" s="192"/>
      <c r="W119" s="75"/>
      <c r="X119" s="214"/>
    </row>
    <row r="120" spans="1:24" s="191" customFormat="1">
      <c r="A120" s="3"/>
      <c r="B120" s="3"/>
      <c r="C120" s="3"/>
      <c r="D120" s="188"/>
      <c r="E120" s="215"/>
      <c r="F120" s="216"/>
      <c r="K120" s="217"/>
      <c r="L120" s="217"/>
      <c r="M120" s="217"/>
      <c r="N120" s="217"/>
      <c r="O120" s="217"/>
      <c r="P120" s="217"/>
      <c r="Q120" s="212"/>
      <c r="R120" s="192"/>
      <c r="S120" s="192"/>
      <c r="T120" s="192"/>
      <c r="W120" s="75"/>
      <c r="X120" s="214"/>
    </row>
    <row r="121" spans="1:24" s="191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1" customFormat="1">
      <c r="A122" s="3"/>
      <c r="B122" s="3"/>
      <c r="C122" s="3"/>
      <c r="D122" s="75"/>
      <c r="E122" s="49" t="s">
        <v>251</v>
      </c>
      <c r="F122" s="160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5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1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1" customFormat="1">
      <c r="A125" s="3"/>
      <c r="B125" s="3"/>
      <c r="C125" s="3"/>
      <c r="D125" s="75"/>
      <c r="E125" s="49" t="s">
        <v>253</v>
      </c>
      <c r="F125" s="160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1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1" customFormat="1">
      <c r="A127" s="3"/>
      <c r="B127" s="3"/>
      <c r="C127" s="3"/>
      <c r="D127" s="188"/>
      <c r="E127" s="215"/>
      <c r="F127" s="216"/>
      <c r="G127" s="217"/>
      <c r="L127" s="217"/>
      <c r="M127" s="217"/>
      <c r="N127" s="217"/>
      <c r="O127" s="217"/>
      <c r="P127" s="217"/>
      <c r="R127" s="192"/>
      <c r="S127" s="192"/>
      <c r="T127" s="192"/>
      <c r="W127" s="75"/>
      <c r="X127" s="214"/>
    </row>
    <row r="128" spans="1:24" s="191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1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1" customFormat="1">
      <c r="A130" s="3"/>
      <c r="B130" s="3"/>
      <c r="C130" s="3"/>
      <c r="D130" s="183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1" customFormat="1">
      <c r="A131" s="3"/>
      <c r="B131" s="3"/>
      <c r="C131" s="3"/>
      <c r="D131" s="218"/>
      <c r="E131" s="215"/>
      <c r="F131" s="216"/>
      <c r="L131" s="213"/>
      <c r="R131" s="192"/>
      <c r="S131" s="192"/>
      <c r="T131" s="192"/>
      <c r="W131" s="75"/>
      <c r="X131" s="214"/>
    </row>
    <row r="132" spans="1:24" s="191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1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1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5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09"/>
      <c r="W135" s="210" t="s">
        <v>258</v>
      </c>
      <c r="X135" s="76"/>
    </row>
    <row r="136" spans="1:24" s="205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87.83</v>
      </c>
      <c r="M136" s="153">
        <f>Baseline.Totex.Water*(FD.AllExp.Coeff.Water/100)</f>
        <v>85.025000000000006</v>
      </c>
      <c r="N136" s="153">
        <f>Baseline.Totex.Water*(FD.AllExp.Coeff.Water/100)</f>
        <v>84.692999999999998</v>
      </c>
      <c r="O136" s="153">
        <f>Baseline.Totex.Water*(FD.AllExp.Coeff.Water/100)</f>
        <v>84.084999999999994</v>
      </c>
      <c r="P136" s="153">
        <f>Baseline.Totex.Water*(FD.AllExp.Coeff.Water/100)</f>
        <v>85.355000000000004</v>
      </c>
      <c r="Q136" s="75"/>
      <c r="R136" s="3"/>
      <c r="S136" s="3"/>
      <c r="T136" s="3"/>
      <c r="U136" s="75"/>
      <c r="V136" s="209"/>
      <c r="W136" s="209"/>
      <c r="X136" s="76"/>
    </row>
    <row r="137" spans="1:24" s="205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09"/>
      <c r="W137" s="75"/>
      <c r="X137" s="76"/>
    </row>
    <row r="138" spans="1:24" s="205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09"/>
      <c r="W138" s="75"/>
      <c r="X138" s="76"/>
    </row>
    <row r="139" spans="1:24" s="205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09"/>
      <c r="W139" s="210" t="s">
        <v>261</v>
      </c>
      <c r="X139" s="76"/>
    </row>
    <row r="140" spans="1:24" s="205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09"/>
      <c r="H140" s="75"/>
      <c r="I140" s="75"/>
      <c r="J140" s="75"/>
      <c r="K140" s="75"/>
      <c r="L140" s="153">
        <f>Inputs!L46</f>
        <v>88.15</v>
      </c>
      <c r="M140" s="153">
        <f>Inputs!M46</f>
        <v>85.343999999999994</v>
      </c>
      <c r="N140" s="153">
        <f>Inputs!N46</f>
        <v>85.013000000000005</v>
      </c>
      <c r="O140" s="153">
        <f>Inputs!O46</f>
        <v>84.405000000000001</v>
      </c>
      <c r="P140" s="153">
        <f>Inputs!P46</f>
        <v>85.674999999999997</v>
      </c>
      <c r="Q140" s="75"/>
      <c r="R140" s="3"/>
      <c r="S140" s="3"/>
      <c r="T140" s="3"/>
      <c r="U140" s="75"/>
      <c r="V140" s="209"/>
      <c r="W140" s="75"/>
      <c r="X140" s="76"/>
    </row>
    <row r="141" spans="1:24" s="205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5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5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5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0.32000000000000739</v>
      </c>
      <c r="M144" s="153">
        <f t="shared" ref="M144:P144" si="5">M140-M136</f>
        <v>0.3189999999999884</v>
      </c>
      <c r="N144" s="153">
        <f t="shared" si="5"/>
        <v>0.32000000000000739</v>
      </c>
      <c r="O144" s="153">
        <f t="shared" si="5"/>
        <v>0.32000000000000739</v>
      </c>
      <c r="P144" s="153">
        <f t="shared" si="5"/>
        <v>0.31999999999999318</v>
      </c>
      <c r="Q144" s="75"/>
      <c r="R144" s="3"/>
      <c r="S144" s="3"/>
      <c r="T144" s="3"/>
      <c r="U144" s="75"/>
      <c r="V144" s="75"/>
      <c r="W144" s="75"/>
      <c r="X144" s="76"/>
    </row>
    <row r="145" spans="1:24" s="205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5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1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1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87.83</v>
      </c>
      <c r="M148" s="153">
        <f>Baseline.Totex.Water*(AllExp.Coeff.Water/100)</f>
        <v>85.025000000000006</v>
      </c>
      <c r="N148" s="153">
        <f>Baseline.Totex.Water*(AllExp.Coeff.Water/100)</f>
        <v>84.692999999999998</v>
      </c>
      <c r="O148" s="153">
        <f>Baseline.Totex.Water*(AllExp.Coeff.Water/100)</f>
        <v>84.084999999999994</v>
      </c>
      <c r="P148" s="153">
        <f>Baseline.Totex.Water*(AllExp.Coeff.Water/100)</f>
        <v>85.355000000000004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1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1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1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1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88.15</v>
      </c>
      <c r="M152" s="153">
        <f t="shared" ref="M152:P152" si="7">M148+M144</f>
        <v>85.343999999999994</v>
      </c>
      <c r="N152" s="153">
        <f t="shared" si="7"/>
        <v>85.013000000000005</v>
      </c>
      <c r="O152" s="153">
        <f t="shared" si="7"/>
        <v>84.405000000000001</v>
      </c>
      <c r="P152" s="153">
        <f t="shared" si="7"/>
        <v>85.674999999999997</v>
      </c>
      <c r="Q152" s="75"/>
      <c r="R152" s="3"/>
      <c r="S152" s="3"/>
      <c r="T152" s="3"/>
      <c r="U152" s="75"/>
      <c r="V152" s="75"/>
      <c r="W152" s="75"/>
      <c r="X152" s="76"/>
    </row>
    <row r="153" spans="1:24" s="191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1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1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1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0</v>
      </c>
      <c r="M156" s="153">
        <f t="shared" si="9"/>
        <v>0</v>
      </c>
      <c r="N156" s="153">
        <f t="shared" si="9"/>
        <v>0</v>
      </c>
      <c r="O156" s="153">
        <f t="shared" si="9"/>
        <v>0</v>
      </c>
      <c r="P156" s="153">
        <f t="shared" si="9"/>
        <v>0</v>
      </c>
      <c r="Q156" s="75"/>
      <c r="R156" s="3"/>
      <c r="S156" s="3"/>
      <c r="T156" s="3"/>
      <c r="U156" s="75"/>
      <c r="V156" s="75"/>
      <c r="W156" s="75"/>
      <c r="X156" s="76"/>
    </row>
    <row r="157" spans="1:24" s="191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1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1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0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7">
        <f>(Actual.Totex.Water-SUM(Inputs!L60:L64))/Indexation.Average+TransitionExp.Water-L148</f>
        <v>-22.1717609212387</v>
      </c>
      <c r="M162" s="217">
        <f>(Actual.Totex.Water-SUM(Inputs!M60:M64))/Indexation.Average-M148</f>
        <v>-9.7061266706501357</v>
      </c>
      <c r="N162" s="217">
        <f>(Actual.Totex.Water-SUM(Inputs!N60:N64))/Indexation.Average-N148</f>
        <v>6.3849305829215695</v>
      </c>
      <c r="O162" s="217">
        <f>(Actual.Totex.Water-SUM(Inputs!O60:O64))/Indexation.Average-O148</f>
        <v>11.795818997098579</v>
      </c>
      <c r="P162" s="217">
        <f>(Actual.Totex.Water-SUM(Inputs!P60:P64))/Indexation.Average-P148</f>
        <v>0.80063326596257411</v>
      </c>
      <c r="Q162" s="160"/>
      <c r="R162" s="3"/>
      <c r="S162" s="3"/>
      <c r="T162" s="3"/>
      <c r="W162" s="210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7">
        <f>(Actual.Totex.Sewerage-SUM(Inputs!L66:L72))/Indexation.Average+TransitionExp.Sewerage-L149</f>
        <v>0</v>
      </c>
      <c r="M163" s="217">
        <f>(Actual.Totex.Sewerage-SUM(Inputs!M66:M72))/Indexation.Average-M149</f>
        <v>0</v>
      </c>
      <c r="N163" s="217">
        <f>(Actual.Totex.Sewerage-SUM(Inputs!N66:N72))/Indexation.Average-N149</f>
        <v>0</v>
      </c>
      <c r="O163" s="217">
        <f>(Actual.Totex.Sewerage-SUM(Inputs!O66:O72))/Indexation.Average-O149</f>
        <v>0</v>
      </c>
      <c r="P163" s="217">
        <f>(Actual.Totex.Sewerage-SUM(Inputs!P66:P72))/Indexation.Average-P149</f>
        <v>0</v>
      </c>
      <c r="Q163" s="160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-22.1717609212387</v>
      </c>
      <c r="M166" s="153">
        <f t="shared" ref="L166:P167" si="10">M162+M156</f>
        <v>-9.7061266706501357</v>
      </c>
      <c r="N166" s="153">
        <f t="shared" si="10"/>
        <v>6.3849305829215695</v>
      </c>
      <c r="O166" s="153">
        <f t="shared" si="10"/>
        <v>11.795818997098579</v>
      </c>
      <c r="P166" s="153">
        <f t="shared" si="10"/>
        <v>0.80063326596257411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-25.610177062058497</v>
      </c>
      <c r="M170" s="153">
        <f>M166*(1+WACC)^Calcs!M7</f>
        <v>-10.814470254160726</v>
      </c>
      <c r="N170" s="153">
        <f>N166*(1+WACC)^Calcs!N7</f>
        <v>6.8621842868608436</v>
      </c>
      <c r="O170" s="153">
        <f>O166*(1+WACC)^Calcs!O7</f>
        <v>12.228725554292096</v>
      </c>
      <c r="P170" s="153">
        <f>P166*(1+WACC)^Calcs!P7</f>
        <v>0.80063326596257411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3" t="s">
        <v>41</v>
      </c>
      <c r="E174" s="152" t="s">
        <v>290</v>
      </c>
      <c r="F174" s="33" t="s">
        <v>28</v>
      </c>
      <c r="L174" s="77"/>
      <c r="P174" s="88">
        <f>SUM(L170:P170)</f>
        <v>-16.533104209103705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3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3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1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2">
        <f>(Inputs!L72/Indexation.Average)-Inputs!L151</f>
        <v>0</v>
      </c>
      <c r="M180" s="222">
        <f>(Inputs!M72/Indexation.Average)-Inputs!M151</f>
        <v>0</v>
      </c>
      <c r="N180" s="222">
        <f>(Inputs!N72/Indexation.Average)-Inputs!N151</f>
        <v>0</v>
      </c>
      <c r="O180" s="222">
        <f>(Inputs!O72/Indexation.Average)-Inputs!O151</f>
        <v>0</v>
      </c>
      <c r="P180" s="222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2">
        <f>L180*(1+WACC)^Calcs!L7</f>
        <v>0</v>
      </c>
      <c r="M183" s="222">
        <f>M180*(1+WACC)^Calcs!M7</f>
        <v>0</v>
      </c>
      <c r="N183" s="222">
        <f>N180*(1+WACC)^Calcs!N7</f>
        <v>0</v>
      </c>
      <c r="O183" s="222">
        <f>O180*(1+WACC)^Calcs!O7</f>
        <v>0</v>
      </c>
      <c r="P183" s="222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3" t="s">
        <v>41</v>
      </c>
      <c r="E186" s="152" t="s">
        <v>298</v>
      </c>
      <c r="F186" s="33" t="s">
        <v>28</v>
      </c>
      <c r="L186" s="77"/>
      <c r="P186" s="223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3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1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1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79">
        <f>IF(SUM(Baseline.Totex.Water)&lt;&gt;0,SUMPRODUCT(PAYG.Water,Baseline.Totex.Water)/SUM(Baseline.Totex.Water),0)</f>
        <v>0.55381521541588996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3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1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2" customFormat="1">
      <c r="A197" s="75"/>
      <c r="B197" s="3"/>
      <c r="C197" s="3"/>
      <c r="D197" s="183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-2.2135080451876661</v>
      </c>
      <c r="Q197" s="3"/>
      <c r="R197" s="3"/>
      <c r="S197" s="3"/>
      <c r="T197" s="3"/>
      <c r="U197" s="3"/>
      <c r="V197" s="3"/>
      <c r="W197" s="3"/>
      <c r="X197" s="74"/>
    </row>
    <row r="198" spans="1:24" s="192" customFormat="1">
      <c r="A198" s="75"/>
      <c r="B198" s="3"/>
      <c r="C198" s="3"/>
      <c r="D198" s="183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19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1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3" t="s">
        <v>41</v>
      </c>
      <c r="E202" s="91" t="s">
        <v>309</v>
      </c>
      <c r="F202" s="33" t="s">
        <v>28</v>
      </c>
      <c r="P202" s="88">
        <f>Total.Adj.Water*(1-WeightedPAYG.Water)</f>
        <v>-7.3768195400455792</v>
      </c>
    </row>
    <row r="203" spans="1:24">
      <c r="A203" s="75"/>
      <c r="D203" s="183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2734375" style="7" customWidth="1"/>
    <col min="4" max="4" width="9.52734375" style="7" customWidth="1"/>
    <col min="5" max="5" width="29.3515625" style="7" customWidth="1"/>
    <col min="6" max="6" width="17.87890625" style="7" customWidth="1"/>
    <col min="7" max="7" width="11.52734375" style="7" customWidth="1"/>
    <col min="8" max="8" width="4.05859375" style="7" customWidth="1"/>
    <col min="9" max="21" width="13.05859375" style="7" customWidth="1"/>
    <col min="22" max="22" width="15.87890625" style="7" bestFit="1" customWidth="1"/>
    <col min="23" max="16384" width="9.058593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-2.2135080451876661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-2.2135080451876661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-7.3768195400455792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-7.3768195400455792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-7.3768195400455792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8.87890625" defaultRowHeight="14.35"/>
  <cols>
    <col min="1" max="1" width="3.87890625" style="261" customWidth="1"/>
    <col min="2" max="2" width="20.52734375" style="261" customWidth="1"/>
    <col min="3" max="3" width="22.87890625" style="261" customWidth="1"/>
    <col min="4" max="4" width="3.29296875" style="261" customWidth="1"/>
    <col min="5" max="5" width="15.29296875" style="261" customWidth="1"/>
    <col min="6" max="6" width="7.3515625" style="261" customWidth="1"/>
    <col min="7" max="7" width="14.05859375" style="261" customWidth="1"/>
    <col min="8" max="16384" width="8.87890625" style="261"/>
  </cols>
  <sheetData>
    <row r="1" spans="1:7">
      <c r="C1" s="261" t="s">
        <v>468</v>
      </c>
    </row>
    <row r="2" spans="1:7">
      <c r="A2" s="261" t="s">
        <v>372</v>
      </c>
      <c r="B2" s="261" t="s">
        <v>373</v>
      </c>
      <c r="C2" s="261" t="s">
        <v>374</v>
      </c>
      <c r="D2" s="261" t="s">
        <v>375</v>
      </c>
      <c r="E2" s="261" t="s">
        <v>376</v>
      </c>
      <c r="F2" s="262" t="s">
        <v>366</v>
      </c>
      <c r="G2" s="262" t="s">
        <v>434</v>
      </c>
    </row>
    <row r="4" spans="1:7">
      <c r="B4" s="261" t="s">
        <v>435</v>
      </c>
      <c r="C4" s="91" t="s">
        <v>306</v>
      </c>
      <c r="D4" s="261" t="s">
        <v>381</v>
      </c>
      <c r="E4" s="261" t="s">
        <v>404</v>
      </c>
      <c r="F4" s="264"/>
      <c r="G4" s="265">
        <f>'Totex menu adjustments'!P11</f>
        <v>-2.2135080451876661</v>
      </c>
    </row>
    <row r="5" spans="1:7">
      <c r="B5" s="261" t="s">
        <v>437</v>
      </c>
      <c r="C5" s="91" t="s">
        <v>307</v>
      </c>
      <c r="D5" s="261" t="s">
        <v>381</v>
      </c>
      <c r="E5" s="261" t="s">
        <v>404</v>
      </c>
      <c r="F5" s="265"/>
      <c r="G5" s="265">
        <f>'Totex menu adjustments'!P12</f>
        <v>0</v>
      </c>
    </row>
    <row r="6" spans="1:7">
      <c r="B6" s="261" t="s">
        <v>463</v>
      </c>
      <c r="C6" s="263" t="s">
        <v>464</v>
      </c>
      <c r="D6" s="261" t="s">
        <v>381</v>
      </c>
      <c r="E6" s="261" t="s">
        <v>404</v>
      </c>
      <c r="F6" s="265"/>
      <c r="G6" s="265">
        <f>'Totex menu adjustments'!P14</f>
        <v>-2.2135080451876661</v>
      </c>
    </row>
    <row r="7" spans="1:7">
      <c r="B7" s="261" t="s">
        <v>436</v>
      </c>
      <c r="C7" s="91" t="s">
        <v>309</v>
      </c>
      <c r="D7" s="261" t="s">
        <v>381</v>
      </c>
      <c r="E7" s="261" t="s">
        <v>404</v>
      </c>
      <c r="F7" s="265">
        <f>'Totex menu adjustments'!P18</f>
        <v>-7.3768195400455792</v>
      </c>
      <c r="G7" s="265"/>
    </row>
    <row r="8" spans="1:7">
      <c r="B8" s="261" t="s">
        <v>438</v>
      </c>
      <c r="C8" s="91" t="s">
        <v>310</v>
      </c>
      <c r="D8" s="261" t="s">
        <v>381</v>
      </c>
      <c r="E8" s="261" t="s">
        <v>404</v>
      </c>
      <c r="F8" s="265">
        <f>'Totex menu adjustments'!P19</f>
        <v>0</v>
      </c>
      <c r="G8" s="265"/>
    </row>
    <row r="9" spans="1:7">
      <c r="B9" s="261" t="s">
        <v>465</v>
      </c>
      <c r="C9" s="263" t="s">
        <v>466</v>
      </c>
      <c r="D9" s="261" t="s">
        <v>381</v>
      </c>
      <c r="E9" s="261" t="s">
        <v>404</v>
      </c>
      <c r="F9" s="265">
        <f>'Totex menu adjustments'!P21</f>
        <v>-7.3768195400455792</v>
      </c>
      <c r="G9" s="265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P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2734375" style="3" customWidth="1"/>
    <col min="4" max="4" width="11.52734375" style="3" customWidth="1"/>
    <col min="5" max="5" width="53.05859375" style="3" customWidth="1"/>
    <col min="6" max="7" width="2.52734375" style="3" customWidth="1"/>
    <col min="8" max="21" width="11" style="3" customWidth="1"/>
    <col min="22" max="22" width="22.35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279.89999999999998</v>
      </c>
      <c r="P11" s="128">
        <f>F_Inputs!N34</f>
        <v>288.2</v>
      </c>
      <c r="Q11" s="128">
        <f>F_Inputs!O34</f>
        <v>296.60000000000002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281</v>
      </c>
      <c r="P12" s="128">
        <f>F_Inputs!N35</f>
        <v>289.3</v>
      </c>
      <c r="Q12" s="128">
        <f>F_Inputs!O35</f>
        <v>297.8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281.60000000000002</v>
      </c>
      <c r="P13" s="128">
        <f>F_Inputs!N36</f>
        <v>290</v>
      </c>
      <c r="Q13" s="128">
        <f>F_Inputs!O36</f>
        <v>298.39999999999998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282.3</v>
      </c>
      <c r="P14" s="128">
        <f>F_Inputs!N37</f>
        <v>290.60000000000002</v>
      </c>
      <c r="Q14" s="128">
        <f>F_Inputs!O37</f>
        <v>299.10000000000002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284.10000000000002</v>
      </c>
      <c r="P15" s="128">
        <f>F_Inputs!N38</f>
        <v>292.5</v>
      </c>
      <c r="Q15" s="128">
        <f>F_Inputs!O38</f>
        <v>301.10000000000002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284.5</v>
      </c>
      <c r="P16" s="128">
        <f>F_Inputs!N39</f>
        <v>292.89999999999998</v>
      </c>
      <c r="Q16" s="128">
        <f>F_Inputs!O39</f>
        <v>301.5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284.8</v>
      </c>
      <c r="P17" s="128">
        <f>F_Inputs!N40</f>
        <v>293.2</v>
      </c>
      <c r="Q17" s="128">
        <f>F_Inputs!O40</f>
        <v>301.7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285.3</v>
      </c>
      <c r="P18" s="128">
        <f>F_Inputs!N41</f>
        <v>293.7</v>
      </c>
      <c r="Q18" s="128">
        <f>F_Inputs!O41</f>
        <v>302.3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287.60000000000002</v>
      </c>
      <c r="P19" s="128">
        <f>F_Inputs!N42</f>
        <v>296.10000000000002</v>
      </c>
      <c r="Q19" s="128">
        <f>F_Inputs!O42</f>
        <v>304.8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285.5</v>
      </c>
      <c r="P20" s="128">
        <f>F_Inputs!N43</f>
        <v>293.89999999999998</v>
      </c>
      <c r="Q20" s="128">
        <f>F_Inputs!O43</f>
        <v>302.5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287.60000000000002</v>
      </c>
      <c r="P21" s="128">
        <f>F_Inputs!N44</f>
        <v>296.10000000000002</v>
      </c>
      <c r="Q21" s="128">
        <f>F_Inputs!O44</f>
        <v>304.8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287.89999999999998</v>
      </c>
      <c r="P22" s="128">
        <f>F_Inputs!N45</f>
        <v>296.39999999999998</v>
      </c>
      <c r="Q22" s="128">
        <f>F_Inputs!O45</f>
        <v>305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279.89999999999998</v>
      </c>
      <c r="P29" s="133">
        <f t="shared" si="2"/>
        <v>288.2</v>
      </c>
      <c r="Q29" s="133">
        <f t="shared" si="2"/>
        <v>296.60000000000002</v>
      </c>
      <c r="R29" s="133">
        <f t="shared" si="2"/>
        <v>296.60000000000002</v>
      </c>
      <c r="S29" s="133">
        <f t="shared" si="2"/>
        <v>296.60000000000002</v>
      </c>
      <c r="T29" s="133">
        <f t="shared" si="2"/>
        <v>296.60000000000002</v>
      </c>
      <c r="U29" s="133">
        <f t="shared" si="2"/>
        <v>296.60000000000002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281</v>
      </c>
      <c r="P30" s="133">
        <f t="shared" si="3"/>
        <v>289.3</v>
      </c>
      <c r="Q30" s="133">
        <f t="shared" si="3"/>
        <v>297.8</v>
      </c>
      <c r="R30" s="133">
        <f t="shared" si="3"/>
        <v>297.8</v>
      </c>
      <c r="S30" s="133">
        <f t="shared" si="3"/>
        <v>297.8</v>
      </c>
      <c r="T30" s="133">
        <f t="shared" si="3"/>
        <v>297.8</v>
      </c>
      <c r="U30" s="133">
        <f t="shared" si="3"/>
        <v>297.8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281.60000000000002</v>
      </c>
      <c r="P31" s="133">
        <f t="shared" si="3"/>
        <v>290</v>
      </c>
      <c r="Q31" s="133">
        <f t="shared" si="3"/>
        <v>298.39999999999998</v>
      </c>
      <c r="R31" s="133">
        <f t="shared" si="3"/>
        <v>298.39999999999998</v>
      </c>
      <c r="S31" s="133">
        <f t="shared" si="3"/>
        <v>298.39999999999998</v>
      </c>
      <c r="T31" s="133">
        <f t="shared" si="3"/>
        <v>298.39999999999998</v>
      </c>
      <c r="U31" s="133">
        <f t="shared" si="3"/>
        <v>298.39999999999998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282.3</v>
      </c>
      <c r="P32" s="133">
        <f t="shared" si="3"/>
        <v>290.60000000000002</v>
      </c>
      <c r="Q32" s="133">
        <f t="shared" si="3"/>
        <v>299.10000000000002</v>
      </c>
      <c r="R32" s="133">
        <f t="shared" si="3"/>
        <v>299.10000000000002</v>
      </c>
      <c r="S32" s="133">
        <f t="shared" si="3"/>
        <v>299.10000000000002</v>
      </c>
      <c r="T32" s="133">
        <f t="shared" si="3"/>
        <v>299.10000000000002</v>
      </c>
      <c r="U32" s="133">
        <f t="shared" si="3"/>
        <v>299.10000000000002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284.10000000000002</v>
      </c>
      <c r="P33" s="133">
        <f t="shared" si="3"/>
        <v>292.5</v>
      </c>
      <c r="Q33" s="133">
        <f t="shared" si="3"/>
        <v>301.10000000000002</v>
      </c>
      <c r="R33" s="133">
        <f t="shared" si="3"/>
        <v>301.10000000000002</v>
      </c>
      <c r="S33" s="133">
        <f t="shared" si="3"/>
        <v>301.10000000000002</v>
      </c>
      <c r="T33" s="133">
        <f t="shared" si="3"/>
        <v>301.10000000000002</v>
      </c>
      <c r="U33" s="133">
        <f t="shared" si="3"/>
        <v>301.10000000000002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284.5</v>
      </c>
      <c r="P34" s="133">
        <f t="shared" si="3"/>
        <v>292.89999999999998</v>
      </c>
      <c r="Q34" s="133">
        <f t="shared" si="3"/>
        <v>301.5</v>
      </c>
      <c r="R34" s="133">
        <f t="shared" si="3"/>
        <v>301.5</v>
      </c>
      <c r="S34" s="133">
        <f t="shared" si="3"/>
        <v>301.5</v>
      </c>
      <c r="T34" s="133">
        <f t="shared" si="3"/>
        <v>301.5</v>
      </c>
      <c r="U34" s="133">
        <f t="shared" si="3"/>
        <v>301.5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284.8</v>
      </c>
      <c r="P35" s="133">
        <f t="shared" si="3"/>
        <v>293.2</v>
      </c>
      <c r="Q35" s="133">
        <f t="shared" si="3"/>
        <v>301.7</v>
      </c>
      <c r="R35" s="133">
        <f t="shared" si="3"/>
        <v>301.7</v>
      </c>
      <c r="S35" s="133">
        <f t="shared" si="3"/>
        <v>301.7</v>
      </c>
      <c r="T35" s="133">
        <f t="shared" si="3"/>
        <v>301.7</v>
      </c>
      <c r="U35" s="133">
        <f t="shared" si="3"/>
        <v>301.7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285.3</v>
      </c>
      <c r="P36" s="133">
        <f t="shared" si="3"/>
        <v>293.7</v>
      </c>
      <c r="Q36" s="133">
        <f t="shared" si="3"/>
        <v>302.3</v>
      </c>
      <c r="R36" s="133">
        <f t="shared" si="3"/>
        <v>302.3</v>
      </c>
      <c r="S36" s="133">
        <f t="shared" si="3"/>
        <v>302.3</v>
      </c>
      <c r="T36" s="133">
        <f t="shared" si="3"/>
        <v>302.3</v>
      </c>
      <c r="U36" s="133">
        <f t="shared" si="3"/>
        <v>302.3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287.60000000000002</v>
      </c>
      <c r="P37" s="133">
        <f t="shared" si="3"/>
        <v>296.10000000000002</v>
      </c>
      <c r="Q37" s="133">
        <f t="shared" si="3"/>
        <v>304.8</v>
      </c>
      <c r="R37" s="133">
        <f t="shared" si="3"/>
        <v>304.8</v>
      </c>
      <c r="S37" s="133">
        <f t="shared" si="3"/>
        <v>304.8</v>
      </c>
      <c r="T37" s="133">
        <f t="shared" si="3"/>
        <v>304.8</v>
      </c>
      <c r="U37" s="133">
        <f t="shared" si="3"/>
        <v>304.8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285.5</v>
      </c>
      <c r="P38" s="133">
        <f t="shared" si="3"/>
        <v>293.89999999999998</v>
      </c>
      <c r="Q38" s="133">
        <f t="shared" si="3"/>
        <v>302.5</v>
      </c>
      <c r="R38" s="133">
        <f t="shared" si="3"/>
        <v>302.5</v>
      </c>
      <c r="S38" s="133">
        <f t="shared" si="3"/>
        <v>302.5</v>
      </c>
      <c r="T38" s="133">
        <f t="shared" si="3"/>
        <v>302.5</v>
      </c>
      <c r="U38" s="133">
        <f t="shared" si="3"/>
        <v>302.5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287.60000000000002</v>
      </c>
      <c r="P39" s="133">
        <f t="shared" si="3"/>
        <v>296.10000000000002</v>
      </c>
      <c r="Q39" s="133">
        <f t="shared" si="3"/>
        <v>304.8</v>
      </c>
      <c r="R39" s="133">
        <f t="shared" si="3"/>
        <v>304.8</v>
      </c>
      <c r="S39" s="133">
        <f t="shared" si="3"/>
        <v>304.8</v>
      </c>
      <c r="T39" s="133">
        <f t="shared" si="3"/>
        <v>304.8</v>
      </c>
      <c r="U39" s="133">
        <f t="shared" si="3"/>
        <v>304.8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287.89999999999998</v>
      </c>
      <c r="P40" s="133">
        <f t="shared" si="3"/>
        <v>296.39999999999998</v>
      </c>
      <c r="Q40" s="133">
        <f t="shared" si="3"/>
        <v>305</v>
      </c>
      <c r="R40" s="133">
        <f t="shared" si="3"/>
        <v>305</v>
      </c>
      <c r="S40" s="133">
        <f t="shared" si="3"/>
        <v>305</v>
      </c>
      <c r="T40" s="133">
        <f t="shared" si="3"/>
        <v>305</v>
      </c>
      <c r="U40" s="133">
        <f t="shared" si="3"/>
        <v>305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284.34166666666664</v>
      </c>
      <c r="P41" s="129">
        <f t="shared" si="4"/>
        <v>292.74166666666667</v>
      </c>
      <c r="Q41" s="129">
        <f t="shared" si="4"/>
        <v>301.3</v>
      </c>
      <c r="R41" s="129">
        <f t="shared" si="4"/>
        <v>301.3</v>
      </c>
      <c r="S41" s="129">
        <f t="shared" si="4"/>
        <v>301.3</v>
      </c>
      <c r="T41" s="129">
        <f t="shared" si="4"/>
        <v>301.3</v>
      </c>
      <c r="U41" s="129">
        <f t="shared" si="4"/>
        <v>301.3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4">
        <f t="shared" ref="I45:U45" si="5">IF(Indexation.November.Override&lt;&gt;"",Indexation.November.Override,IF($H$36=0,0,H36/$H$36))</f>
        <v>1</v>
      </c>
      <c r="J45" s="184">
        <f t="shared" si="5"/>
        <v>1.0297693920335429</v>
      </c>
      <c r="K45" s="184">
        <f t="shared" si="5"/>
        <v>1.0570230607966458</v>
      </c>
      <c r="L45" s="184">
        <f t="shared" si="5"/>
        <v>1.077987421383648</v>
      </c>
      <c r="M45" s="184">
        <f t="shared" si="5"/>
        <v>1.0893081761006289</v>
      </c>
      <c r="N45" s="184">
        <f>IF(Indexation.November.Override&lt;&gt;"",Indexation.November.Override,IF($H$36=0,0,M36/$H$36))</f>
        <v>1.1132075471698113</v>
      </c>
      <c r="O45" s="184">
        <f t="shared" si="5"/>
        <v>1.1563941299790357</v>
      </c>
      <c r="P45" s="184">
        <f t="shared" si="5"/>
        <v>1.1962264150943396</v>
      </c>
      <c r="Q45" s="184">
        <f t="shared" si="5"/>
        <v>1.2314465408805031</v>
      </c>
      <c r="R45" s="184">
        <f t="shared" si="5"/>
        <v>1.2675052410901468</v>
      </c>
      <c r="S45" s="184">
        <f t="shared" si="5"/>
        <v>1.2675052410901468</v>
      </c>
      <c r="T45" s="184">
        <f t="shared" si="5"/>
        <v>1.2675052410901468</v>
      </c>
      <c r="U45" s="184">
        <f t="shared" si="5"/>
        <v>1.2675052410901468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4">
        <f t="shared" ref="I49:U49" si="6">IF(Indexation.Average.Override&lt;&gt;"",Indexation.Average.Override,IF($I41=0,0,I41/$I41))</f>
        <v>1</v>
      </c>
      <c r="J49" s="184">
        <f t="shared" si="6"/>
        <v>1.0288477912877627</v>
      </c>
      <c r="K49" s="184">
        <f t="shared" si="6"/>
        <v>1.0490105922822794</v>
      </c>
      <c r="L49" s="184">
        <f t="shared" si="6"/>
        <v>1.0603181090562313</v>
      </c>
      <c r="M49" s="184">
        <f t="shared" si="6"/>
        <v>1.0830353189605262</v>
      </c>
      <c r="N49" s="184">
        <f>IF(Indexation.Average.Override&lt;&gt;"",Indexation.Average.Override,IF($I41=0,0,N41/$I41))</f>
        <v>1.1235652736623414</v>
      </c>
      <c r="O49" s="184">
        <f t="shared" si="6"/>
        <v>1.1621198188072612</v>
      </c>
      <c r="P49" s="184">
        <f t="shared" si="6"/>
        <v>1.1964510745546815</v>
      </c>
      <c r="Q49" s="184">
        <f t="shared" si="6"/>
        <v>1.231429447225912</v>
      </c>
      <c r="R49" s="184">
        <f t="shared" si="6"/>
        <v>1.231429447225912</v>
      </c>
      <c r="S49" s="184">
        <f t="shared" si="6"/>
        <v>1.231429447225912</v>
      </c>
      <c r="T49" s="184">
        <f t="shared" si="6"/>
        <v>1.231429447225912</v>
      </c>
      <c r="U49" s="184">
        <f t="shared" si="6"/>
        <v>1.231429447225912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3.4314468459183178E-2</v>
      </c>
      <c r="P51" s="139">
        <f t="shared" si="7"/>
        <v>2.9541924328126523E-2</v>
      </c>
      <c r="Q51" s="139">
        <f t="shared" si="7"/>
        <v>2.9235104899086206E-2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2734375" style="7" customWidth="1"/>
    <col min="4" max="4" width="9.52734375" style="7" customWidth="1"/>
    <col min="5" max="5" width="29.3515625" style="7" customWidth="1"/>
    <col min="6" max="6" width="4.05859375" style="7" customWidth="1"/>
    <col min="7" max="7" width="11.52734375" style="7" customWidth="1"/>
    <col min="8" max="8" width="4.05859375" style="7" customWidth="1"/>
    <col min="9" max="21" width="9.52734375" style="7" customWidth="1"/>
    <col min="22" max="22" width="15.87890625" style="7" bestFit="1" customWidth="1"/>
    <col min="23" max="16384" width="9.058593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99</vt:i4>
      </vt:variant>
    </vt:vector>
  </HeadingPairs>
  <TitlesOfParts>
    <vt:vector size="107" baseType="lpstr">
      <vt:lpstr>F_Inputs</vt:lpstr>
      <vt:lpstr>WS15_CMA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WS15_CMA!Print_Area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2019-01-22T14:42:19Z</dcterms:created>
  <dcterms:modified xsi:type="dcterms:W3CDTF">2019-01-23T16:46:39Z</dcterms:modified>
  <cp:category/>
  <cp:contentStatus/>
</cp:coreProperties>
</file>