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90" activeTab="1"/>
  </bookViews>
  <sheets>
    <sheet name="F_Inputs" sheetId="14" r:id="rId1"/>
    <sheet name="Inputs" sheetId="4" r:id="rId2"/>
    <sheet name="Calcs" sheetId="5" r:id="rId3"/>
    <sheet name="Totex menu adjustments" sheetId="8" r:id="rId4"/>
    <sheet name="F_Outputs" sheetId="15" r:id="rId5"/>
    <sheet name="RPI" sheetId="7" r:id="rId6"/>
    <sheet name="Timeline" sheetId="6" r:id="rId7"/>
  </sheets>
  <definedNames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2">Calcs!$A$1:$AM$333</definedName>
    <definedName name="_xlnm.Print_Area" localSheetId="0">F_Inputs!$A$1:$P$45</definedName>
    <definedName name="_xlnm.Print_Area" localSheetId="4">F_Outputs!$A$1:$G$9</definedName>
    <definedName name="_xlnm.Print_Area" localSheetId="1">Inputs!$A$1:$AA$165</definedName>
    <definedName name="_xlnm.Print_Area" localSheetId="5">RPI!$A$1:$IY$59</definedName>
    <definedName name="_xlnm.Print_Area" localSheetId="6">Timeline!$A$1:$V$11</definedName>
    <definedName name="_xlnm.Print_Area" localSheetId="3">'Totex menu adjustments'!$A$1:$X$51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  <definedName name="wotsthis">{"P&amp;L phased",#N/A,FALSE,"P and L";"Interest phased",#N/A,FALSE,"Interest";"Cshf phased",#N/A,FALSE,"Cashflow";"BSheet phased",#N/A,FALSE,"B Sheet";"Capex phased",#N/A,FALSE,"Capex"}</definedName>
    <definedName name="wrn.Print._.5._.and._.12.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>{"P&amp;L phased",#N/A,FALSE,"P and L";"Interest phased",#N/A,FALSE,"Interest";"Cshf phased",#N/A,FALSE,"Cashflow";"BSheet phased",#N/A,FALSE,"B Sheet";"Capex phased",#N/A,FALSE,"Capex"}</definedName>
    <definedName name="wrn.wpapers.">{"bal",#N/A,FALSE,"working papers";"income",#N/A,FALSE,"working papers"}</definedName>
  </definedNames>
  <calcPr calcId="152511"/>
</workbook>
</file>

<file path=xl/calcChain.xml><?xml version="1.0" encoding="utf-8"?>
<calcChain xmlns="http://schemas.openxmlformats.org/spreadsheetml/2006/main">
  <c r="H33" i="4" l="1"/>
  <c r="H32" i="4"/>
  <c r="H23" i="4"/>
  <c r="H22" i="4"/>
  <c r="H13" i="4"/>
  <c r="H15" i="4" s="1"/>
  <c r="H12" i="4"/>
  <c r="I12" i="7" l="1"/>
  <c r="I13" i="7"/>
  <c r="I14" i="7"/>
  <c r="I15" i="7"/>
  <c r="I16" i="7"/>
  <c r="I17" i="7"/>
  <c r="I18" i="7"/>
  <c r="I19" i="7"/>
  <c r="I20" i="7"/>
  <c r="I21" i="7"/>
  <c r="I22" i="7"/>
  <c r="J12" i="7"/>
  <c r="K12" i="7"/>
  <c r="L12" i="7"/>
  <c r="M12" i="7"/>
  <c r="N12" i="7"/>
  <c r="O12" i="7"/>
  <c r="P12" i="7"/>
  <c r="Q12" i="7"/>
  <c r="J13" i="7"/>
  <c r="K13" i="7"/>
  <c r="L13" i="7"/>
  <c r="M13" i="7"/>
  <c r="N13" i="7"/>
  <c r="O13" i="7"/>
  <c r="P13" i="7"/>
  <c r="Q13" i="7"/>
  <c r="J14" i="7"/>
  <c r="K14" i="7"/>
  <c r="L14" i="7"/>
  <c r="M14" i="7"/>
  <c r="N14" i="7"/>
  <c r="O14" i="7"/>
  <c r="P14" i="7"/>
  <c r="Q14" i="7"/>
  <c r="J15" i="7"/>
  <c r="K15" i="7"/>
  <c r="L15" i="7"/>
  <c r="M15" i="7"/>
  <c r="N15" i="7"/>
  <c r="O15" i="7"/>
  <c r="P15" i="7"/>
  <c r="Q15" i="7"/>
  <c r="J16" i="7"/>
  <c r="K16" i="7"/>
  <c r="L16" i="7"/>
  <c r="M16" i="7"/>
  <c r="N16" i="7"/>
  <c r="O16" i="7"/>
  <c r="P16" i="7"/>
  <c r="Q16" i="7"/>
  <c r="J17" i="7"/>
  <c r="K17" i="7"/>
  <c r="L17" i="7"/>
  <c r="M17" i="7"/>
  <c r="N17" i="7"/>
  <c r="O17" i="7"/>
  <c r="P17" i="7"/>
  <c r="Q17" i="7"/>
  <c r="J18" i="7"/>
  <c r="K18" i="7"/>
  <c r="L18" i="7"/>
  <c r="M18" i="7"/>
  <c r="N18" i="7"/>
  <c r="O18" i="7"/>
  <c r="P18" i="7"/>
  <c r="Q18" i="7"/>
  <c r="J19" i="7"/>
  <c r="K19" i="7"/>
  <c r="L19" i="7"/>
  <c r="M19" i="7"/>
  <c r="N19" i="7"/>
  <c r="O19" i="7"/>
  <c r="P19" i="7"/>
  <c r="Q19" i="7"/>
  <c r="J20" i="7"/>
  <c r="K20" i="7"/>
  <c r="L20" i="7"/>
  <c r="M20" i="7"/>
  <c r="N20" i="7"/>
  <c r="O20" i="7"/>
  <c r="P20" i="7"/>
  <c r="Q20" i="7"/>
  <c r="J21" i="7"/>
  <c r="K21" i="7"/>
  <c r="L21" i="7"/>
  <c r="M21" i="7"/>
  <c r="N21" i="7"/>
  <c r="O21" i="7"/>
  <c r="P21" i="7"/>
  <c r="Q21" i="7"/>
  <c r="J22" i="7"/>
  <c r="K22" i="7"/>
  <c r="L22" i="7"/>
  <c r="M22" i="7"/>
  <c r="N22" i="7"/>
  <c r="O22" i="7"/>
  <c r="P22" i="7"/>
  <c r="Q22" i="7"/>
  <c r="Q11" i="7"/>
  <c r="P11" i="7"/>
  <c r="O11" i="7"/>
  <c r="N11" i="7"/>
  <c r="M11" i="7"/>
  <c r="L11" i="7"/>
  <c r="K11" i="7"/>
  <c r="J11" i="7"/>
  <c r="I11" i="7"/>
  <c r="H18" i="7"/>
  <c r="K78" i="4" l="1"/>
  <c r="K75" i="4"/>
  <c r="M125" i="4" l="1"/>
  <c r="N125" i="4"/>
  <c r="O125" i="4"/>
  <c r="P125" i="4"/>
  <c r="M126" i="4"/>
  <c r="N126" i="4"/>
  <c r="O126" i="4"/>
  <c r="P126" i="4"/>
  <c r="L126" i="4"/>
  <c r="L125" i="4"/>
  <c r="P64" i="4" l="1"/>
  <c r="O64" i="4"/>
  <c r="N64" i="4"/>
  <c r="M64" i="4"/>
  <c r="P72" i="4"/>
  <c r="O72" i="4"/>
  <c r="N72" i="4"/>
  <c r="M72" i="4"/>
  <c r="P71" i="4"/>
  <c r="O71" i="4"/>
  <c r="N71" i="4"/>
  <c r="M71" i="4"/>
  <c r="P70" i="4"/>
  <c r="O70" i="4"/>
  <c r="N70" i="4"/>
  <c r="M70" i="4"/>
  <c r="L72" i="4"/>
  <c r="L71" i="4"/>
  <c r="L70" i="4"/>
  <c r="L64" i="4"/>
  <c r="P69" i="4" l="1"/>
  <c r="O69" i="4"/>
  <c r="N69" i="4"/>
  <c r="M69" i="4"/>
  <c r="L69" i="4"/>
  <c r="P68" i="4"/>
  <c r="O68" i="4"/>
  <c r="N68" i="4"/>
  <c r="M68" i="4"/>
  <c r="L68" i="4"/>
  <c r="P67" i="4"/>
  <c r="O67" i="4"/>
  <c r="N67" i="4"/>
  <c r="M67" i="4"/>
  <c r="L67" i="4"/>
  <c r="P66" i="4"/>
  <c r="O66" i="4"/>
  <c r="N66" i="4"/>
  <c r="M66" i="4"/>
  <c r="L66" i="4"/>
  <c r="P63" i="4"/>
  <c r="O63" i="4"/>
  <c r="N63" i="4"/>
  <c r="M63" i="4"/>
  <c r="L63" i="4"/>
  <c r="P62" i="4"/>
  <c r="O62" i="4"/>
  <c r="N62" i="4"/>
  <c r="M62" i="4"/>
  <c r="L62" i="4"/>
  <c r="P61" i="4"/>
  <c r="O61" i="4"/>
  <c r="N61" i="4"/>
  <c r="M61" i="4"/>
  <c r="L61" i="4"/>
  <c r="P60" i="4"/>
  <c r="O60" i="4"/>
  <c r="N60" i="4"/>
  <c r="M60" i="4"/>
  <c r="L60" i="4"/>
  <c r="P53" i="4"/>
  <c r="O53" i="4"/>
  <c r="N53" i="4"/>
  <c r="M53" i="4"/>
  <c r="L53" i="4"/>
  <c r="P52" i="4"/>
  <c r="O52" i="4"/>
  <c r="N52" i="4"/>
  <c r="M52" i="4"/>
  <c r="L52" i="4"/>
  <c r="P47" i="4"/>
  <c r="O47" i="4"/>
  <c r="N47" i="4"/>
  <c r="M47" i="4"/>
  <c r="L47" i="4"/>
  <c r="P46" i="4"/>
  <c r="O46" i="4"/>
  <c r="N46" i="4"/>
  <c r="M46" i="4"/>
  <c r="L46" i="4"/>
  <c r="P41" i="4"/>
  <c r="O41" i="4"/>
  <c r="N41" i="4"/>
  <c r="M41" i="4"/>
  <c r="L41" i="4"/>
  <c r="P40" i="4"/>
  <c r="O40" i="4"/>
  <c r="N40" i="4"/>
  <c r="M40" i="4"/>
  <c r="L40" i="4"/>
  <c r="P27" i="4" l="1"/>
  <c r="O27" i="4"/>
  <c r="N27" i="4"/>
  <c r="M27" i="4"/>
  <c r="L27" i="4"/>
  <c r="P26" i="4"/>
  <c r="O26" i="4"/>
  <c r="N26" i="4"/>
  <c r="M26" i="4"/>
  <c r="L26" i="4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L166" i="5"/>
  <c r="L170" i="5" s="1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0" i="4" s="1"/>
  <c r="N123" i="5" s="1"/>
  <c r="N126" i="5" s="1"/>
  <c r="N14" i="5"/>
  <c r="N15" i="5"/>
  <c r="N162" i="5"/>
  <c r="N166" i="5" s="1"/>
  <c r="N170" i="5" s="1"/>
  <c r="N163" i="5"/>
  <c r="N167" i="5" s="1"/>
  <c r="N171" i="5" s="1"/>
  <c r="N51" i="7"/>
  <c r="N30" i="5" l="1"/>
  <c r="Q36" i="7"/>
  <c r="Q45" i="7"/>
  <c r="Q29" i="7"/>
  <c r="P41" i="7"/>
  <c r="P49" i="7" s="1"/>
  <c r="O19" i="5"/>
  <c r="O135" i="4"/>
  <c r="O140" i="4" s="1"/>
  <c r="O123" i="5" s="1"/>
  <c r="O126" i="5" s="1"/>
  <c r="O14" i="5"/>
  <c r="O18" i="5"/>
  <c r="O180" i="5"/>
  <c r="O183" i="5" s="1"/>
  <c r="O15" i="5"/>
  <c r="O31" i="5" s="1"/>
  <c r="O163" i="5"/>
  <c r="O167" i="5" s="1"/>
  <c r="O171" i="5" s="1"/>
  <c r="O162" i="5"/>
  <c r="O166" i="5" s="1"/>
  <c r="O170" i="5" s="1"/>
  <c r="N31" i="5"/>
  <c r="O51" i="7"/>
  <c r="M32" i="5"/>
  <c r="N32" i="5" l="1"/>
  <c r="R36" i="7"/>
  <c r="R45" i="7"/>
  <c r="O30" i="5"/>
  <c r="P135" i="4"/>
  <c r="P140" i="4" s="1"/>
  <c r="P123" i="5" s="1"/>
  <c r="P126" i="5" s="1"/>
  <c r="P130" i="5" s="1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O32" i="5" l="1"/>
  <c r="S36" i="7"/>
  <c r="S45" i="7"/>
  <c r="P203" i="5"/>
  <c r="P19" i="8" s="1"/>
  <c r="F8" i="15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s="1"/>
  <c r="M106" i="5" l="1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P12" i="8" s="1"/>
  <c r="G5" i="15" s="1"/>
  <c r="U29" i="7"/>
  <c r="U41" i="7" s="1"/>
  <c r="U49" i="7" s="1"/>
  <c r="T41" i="7"/>
  <c r="T49" i="7" s="1"/>
  <c r="P113" i="5" l="1"/>
  <c r="P197" i="5" s="1"/>
  <c r="P11" i="8" s="1"/>
  <c r="T51" i="7"/>
  <c r="U51" i="7"/>
  <c r="G4" i="15" l="1"/>
  <c r="P14" i="8"/>
  <c r="G6" i="15" s="1"/>
</calcChain>
</file>

<file path=xl/sharedStrings.xml><?xml version="1.0" encoding="utf-8"?>
<sst xmlns="http://schemas.openxmlformats.org/spreadsheetml/2006/main" count="966" uniqueCount="470">
  <si>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</si>
  <si>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</si>
  <si>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</si>
  <si>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</si>
  <si>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</si>
  <si>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</si>
  <si>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</si>
  <si>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</si>
  <si>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</si>
  <si>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</si>
  <si>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</si>
  <si>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</si>
  <si>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</si>
  <si>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</si>
  <si>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</si>
  <si>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</si>
  <si>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</si>
  <si>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</si>
  <si>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</si>
  <si>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</si>
  <si>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</si>
  <si>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</si>
  <si>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</si>
  <si>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</si>
  <si>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</si>
  <si>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</si>
  <si>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</si>
  <si>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</si>
  <si>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</si>
  <si>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</si>
  <si>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</si>
  <si>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</si>
  <si>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</si>
  <si>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</si>
  <si>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</si>
  <si>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</si>
  <si>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</si>
  <si>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</si>
  <si>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</si>
  <si>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</si>
  <si>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</si>
  <si>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</si>
  <si>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</si>
  <si>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</si>
  <si>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</si>
  <si>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</si>
  <si>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</si>
  <si>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</si>
  <si>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</si>
  <si>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</si>
  <si>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</si>
  <si>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</si>
  <si>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</si>
  <si>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</si>
  <si>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</si>
  <si>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</si>
  <si>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</si>
  <si>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</si>
  <si>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</si>
  <si>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</si>
  <si>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</si>
  <si>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</si>
  <si>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</si>
  <si>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</si>
  <si>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</si>
  <si>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</si>
  <si>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</si>
  <si>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</si>
  <si>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</si>
  <si>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</si>
  <si>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</si>
  <si>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</si>
  <si>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</si>
  <si>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</si>
  <si>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</si>
  <si>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</si>
  <si>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</si>
  <si>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</si>
  <si>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</si>
  <si>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</si>
  <si>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</si>
  <si>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</si>
  <si>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</si>
  <si>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</si>
  <si>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</si>
  <si>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</si>
  <si>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</si>
  <si>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</si>
  <si>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</si>
  <si>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</si>
  <si>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</si>
  <si>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</si>
  <si>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</si>
  <si>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</si>
  <si>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</si>
  <si>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</si>
  <si>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</si>
  <si>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</si>
  <si>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</si>
  <si>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</si>
  <si>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</si>
  <si>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</si>
  <si>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</si>
  <si>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</si>
  <si>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</si>
  <si>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</si>
  <si>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</si>
  <si>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</si>
  <si>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</si>
  <si>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</si>
  <si>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</si>
  <si>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</si>
  <si>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</si>
  <si>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</si>
  <si>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</si>
  <si>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</si>
  <si>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</si>
  <si>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</si>
  <si>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</si>
  <si>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</si>
  <si>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</si>
  <si>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</si>
  <si>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</si>
  <si>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</si>
  <si>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</si>
  <si>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</si>
  <si>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</si>
  <si>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</si>
  <si>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</si>
  <si>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</si>
  <si>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</si>
  <si>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</si>
  <si>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</si>
  <si>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</si>
  <si>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</si>
  <si>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</si>
  <si>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</si>
  <si>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</si>
  <si>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</si>
  <si>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</si>
  <si>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</si>
  <si>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</si>
  <si>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</si>
  <si>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</si>
  <si>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</si>
  <si>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</si>
  <si>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</si>
  <si>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</si>
  <si>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</si>
  <si>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</si>
  <si>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</si>
  <si>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</si>
  <si>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</si>
  <si>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</si>
  <si>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</si>
  <si>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</si>
  <si>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</si>
  <si>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</si>
  <si>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</si>
  <si>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</si>
  <si>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</si>
  <si>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</si>
  <si>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</si>
  <si>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</si>
  <si>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</si>
  <si>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</si>
  <si>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</si>
  <si>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</si>
  <si>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</si>
  <si>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</si>
  <si>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</si>
  <si>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</si>
  <si>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</si>
  <si>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</si>
  <si>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</si>
  <si>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</si>
  <si>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</si>
  <si>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</si>
  <si>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</si>
  <si>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</si>
  <si>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</si>
  <si>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</si>
  <si>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</si>
  <si>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</si>
  <si>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</si>
  <si>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</si>
  <si>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</si>
  <si>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</si>
  <si>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</si>
  <si>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</si>
  <si>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</si>
  <si>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</si>
  <si>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</si>
  <si>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</si>
  <si>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</si>
  <si>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</si>
  <si>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</si>
  <si>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</si>
  <si>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</si>
  <si>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</si>
  <si>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</si>
  <si>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</si>
  <si>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</si>
  <si>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</si>
  <si>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</si>
  <si>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</si>
  <si>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</si>
  <si>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</si>
  <si>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</si>
  <si>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</si>
  <si>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</si>
  <si>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</si>
  <si>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</si>
  <si>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</si>
  <si>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</si>
  <si>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</si>
  <si>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</si>
  <si>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</si>
  <si>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</si>
  <si>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</si>
  <si>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</si>
  <si>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</si>
  <si>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</si>
  <si>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</si>
  <si>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</si>
  <si>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</si>
  <si>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</si>
  <si>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</si>
  <si>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</si>
  <si>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</si>
  <si>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</si>
  <si>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</si>
  <si>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</si>
  <si>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</si>
  <si>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</si>
  <si>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</si>
  <si>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</si>
  <si>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</si>
  <si>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</si>
  <si>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</si>
  <si>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</si>
  <si>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</si>
  <si>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</si>
  <si>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</si>
  <si>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</si>
  <si>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</si>
  <si>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</si>
  <si>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</si>
  <si>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</si>
  <si>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</si>
  <si>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</si>
  <si>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</si>
  <si>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</si>
  <si>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</si>
  <si>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</si>
  <si>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</si>
  <si>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</si>
  <si>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</si>
  <si>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</si>
  <si>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</si>
  <si>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</si>
  <si>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</si>
  <si>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</si>
  <si>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</si>
  <si>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</si>
  <si>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</si>
  <si>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</si>
  <si>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</si>
  <si>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</si>
  <si>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</si>
  <si>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</si>
  <si>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</si>
  <si>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</si>
  <si>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</si>
  <si>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</si>
  <si>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</si>
  <si>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</si>
  <si>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</si>
  <si>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</si>
  <si>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</si>
  <si>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</si>
  <si>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</si>
  <si>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</si>
  <si>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</si>
  <si>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</si>
  <si>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</si>
  <si>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</si>
  <si>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</si>
  <si>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</si>
  <si>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</si>
  <si>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</si>
  <si>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</si>
  <si>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</si>
  <si>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</si>
  <si>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</si>
  <si>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</si>
  <si>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</si>
  <si>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</si>
  <si>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</si>
  <si>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</si>
  <si>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</si>
  <si>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</si>
  <si>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</si>
  <si>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</si>
  <si>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</si>
  <si>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</si>
  <si>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</si>
  <si>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</si>
  <si>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</si>
  <si>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</si>
  <si>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</si>
  <si>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</si>
  <si>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</si>
  <si>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</si>
  <si>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</si>
  <si>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</si>
  <si>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</si>
  <si>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</si>
  <si>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</si>
  <si>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</si>
  <si>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</si>
  <si>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</si>
  <si>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</si>
  <si>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</si>
  <si>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</si>
  <si>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</si>
  <si>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</si>
  <si>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</si>
  <si>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</si>
  <si>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</si>
  <si>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</si>
  <si>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</si>
  <si>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</si>
  <si>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</si>
  <si>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</si>
  <si>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</si>
  <si>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</si>
  <si>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</si>
  <si>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</si>
  <si>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</si>
  <si>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</si>
  <si>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</si>
  <si>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</si>
  <si>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</si>
  <si>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</si>
  <si>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</si>
  <si>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</si>
  <si>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</si>
  <si>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</si>
  <si>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</si>
  <si>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</si>
  <si>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</si>
  <si>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</si>
  <si>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</si>
  <si>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</si>
  <si>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</si>
  <si>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</si>
  <si>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</si>
  <si>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</si>
  <si>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</si>
  <si>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</si>
  <si>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</si>
  <si>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</si>
  <si>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</si>
  <si>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</si>
  <si>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</si>
  <si>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</si>
  <si>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</si>
  <si>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</si>
  <si>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</si>
  <si>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</si>
  <si>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</si>
  <si>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</si>
  <si>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</si>
  <si>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</si>
  <si>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</si>
  <si>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</si>
  <si>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</si>
  <si>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</si>
  <si>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</si>
  <si>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</si>
  <si>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</si>
  <si>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</si>
  <si>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</si>
  <si>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</si>
  <si>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</si>
  <si>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</si>
  <si>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</si>
  <si>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</si>
  <si>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</si>
  <si>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</si>
  <si>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</si>
  <si>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</si>
  <si>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</si>
  <si>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</si>
  <si>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</si>
  <si>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</si>
  <si>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</si>
  <si>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</si>
  <si>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</si>
  <si>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</si>
  <si>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</si>
  <si>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</si>
  <si>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</si>
  <si>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</si>
  <si>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</si>
  <si>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</si>
  <si>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</si>
  <si>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</si>
  <si>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</si>
  <si>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</si>
  <si>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</si>
  <si>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</si>
  <si>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</si>
  <si>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</si>
  <si>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</si>
  <si>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</si>
  <si>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</si>
  <si>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</si>
  <si>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</si>
  <si>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</si>
  <si>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</si>
  <si>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</si>
  <si>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</si>
  <si>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</si>
  <si>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</si>
  <si>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</si>
  <si>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</si>
  <si>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</si>
  <si>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</si>
  <si>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</si>
  <si>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</si>
  <si>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</si>
  <si>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</si>
  <si>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</si>
  <si>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</si>
  <si>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</si>
  <si>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</si>
  <si>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</si>
  <si>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</si>
  <si>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</si>
  <si>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</si>
  <si>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</si>
  <si>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</si>
  <si>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</si>
  <si>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</si>
  <si>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</si>
  <si>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</si>
  <si>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</si>
  <si>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</si>
  <si>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</si>
  <si>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</si>
  <si>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</si>
  <si>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</si>
  <si>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</si>
  <si>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</si>
  <si>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</si>
  <si>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</si>
  <si>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</si>
  <si>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</si>
  <si>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</si>
  <si>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</si>
  <si>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</si>
  <si>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</si>
  <si>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</si>
  <si>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</si>
  <si>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</si>
  <si>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 Totex IN</t>
  </si>
  <si>
    <t>PR19_Totex_PD</t>
  </si>
  <si>
    <t>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</si>
</sst>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1">
    <xf numFmtId="0" fontId="0" fillId="0" borderId="0"/>
    <xf numFmtId="0" fontId="2" fillId="0" borderId="0"/>
    <xf numFmtId="0" fontId="4" fillId="0" borderId="0" applyNumberFormat="0" applyFill="0" applyAlignment="0"/>
    <xf numFmtId="37" fontId="2" fillId="0" borderId="0" applyFill="0" applyBorder="0" applyProtection="0">
      <protection locked="0"/>
    </xf>
    <xf numFmtId="0" fontId="7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4" fillId="7" borderId="5" applyNumberFormat="0" applyFont="0" applyAlignment="0" applyProtection="0"/>
    <xf numFmtId="171" fontId="2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66" fontId="32" fillId="0" borderId="3">
      <alignment horizontal="center"/>
    </xf>
    <xf numFmtId="0" fontId="33" fillId="0" borderId="9" applyNumberFormat="0" applyAlignment="0" applyProtection="0"/>
    <xf numFmtId="0" fontId="34" fillId="0" borderId="0" applyNumberFormat="0" applyAlignment="0" applyProtection="0"/>
    <xf numFmtId="0" fontId="35" fillId="0" borderId="10" applyNumberFormat="0" applyFill="0" applyAlignment="0">
      <alignment vertical="top"/>
    </xf>
    <xf numFmtId="0" fontId="36" fillId="0" borderId="11" applyNumberFormat="0" applyFill="0" applyAlignment="0"/>
    <xf numFmtId="0" fontId="14" fillId="14" borderId="5" applyNumberFormat="0" applyFont="0" applyAlignment="0" applyProtection="0"/>
    <xf numFmtId="0" fontId="14" fillId="15" borderId="12" applyNumberFormat="0" applyFont="0" applyAlignment="0" applyProtection="0"/>
    <xf numFmtId="0" fontId="37" fillId="0" borderId="0" applyNumberFormat="0" applyFill="0" applyBorder="0" applyAlignment="0" applyProtection="0"/>
    <xf numFmtId="0" fontId="7" fillId="16" borderId="5" applyNumberFormat="0" applyFont="0" applyAlignment="0" applyProtection="0"/>
    <xf numFmtId="0" fontId="7" fillId="17" borderId="12" applyNumberFormat="0" applyFont="0" applyAlignment="0" applyProtection="0"/>
    <xf numFmtId="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7" fontId="6" fillId="18" borderId="13">
      <alignment horizontal="left"/>
    </xf>
    <xf numFmtId="37" fontId="26" fillId="18" borderId="14"/>
    <xf numFmtId="0" fontId="2" fillId="18" borderId="15" applyNumberFormat="0" applyBorder="0"/>
    <xf numFmtId="49" fontId="39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40" fillId="0" borderId="16" applyNumberFormat="0" applyAlignment="0" applyProtection="0">
      <alignment horizontal="left" wrapText="1"/>
    </xf>
    <xf numFmtId="49" fontId="40" fillId="0" borderId="0" applyNumberFormat="0" applyAlignment="0" applyProtection="0">
      <alignment horizontal="left" wrapText="1"/>
    </xf>
    <xf numFmtId="49" fontId="41" fillId="0" borderId="0" applyAlignment="0" applyProtection="0">
      <alignment horizontal="left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3" fillId="19" borderId="0" applyNumberFormat="0" applyAlignment="0" applyProtection="0"/>
    <xf numFmtId="0" fontId="44" fillId="0" borderId="3" applyNumberFormat="0" applyAlignment="0" applyProtection="0"/>
    <xf numFmtId="0" fontId="6" fillId="20" borderId="0"/>
    <xf numFmtId="0" fontId="2" fillId="11" borderId="3"/>
    <xf numFmtId="0" fontId="2" fillId="11" borderId="3"/>
    <xf numFmtId="0" fontId="6" fillId="11" borderId="0"/>
    <xf numFmtId="0" fontId="2" fillId="21" borderId="0"/>
    <xf numFmtId="0" fontId="2" fillId="21" borderId="0"/>
    <xf numFmtId="0" fontId="2" fillId="21" borderId="0"/>
    <xf numFmtId="0" fontId="45" fillId="18" borderId="17"/>
    <xf numFmtId="37" fontId="2" fillId="18" borderId="0">
      <alignment horizontal="right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2" borderId="0" applyNumberFormat="0" applyFont="0" applyAlignment="0" applyProtection="0"/>
    <xf numFmtId="0" fontId="48" fillId="0" borderId="0"/>
    <xf numFmtId="0" fontId="49" fillId="23" borderId="0" applyNumberFormat="0" applyAlignment="0" applyProtection="0"/>
    <xf numFmtId="0" fontId="2" fillId="0" borderId="0"/>
    <xf numFmtId="0" fontId="2" fillId="0" borderId="0"/>
    <xf numFmtId="0" fontId="4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0" fillId="0" borderId="0">
      <alignment vertical="top"/>
    </xf>
    <xf numFmtId="0" fontId="43" fillId="24" borderId="3" applyNumberFormat="0" applyAlignment="0" applyProtection="0"/>
    <xf numFmtId="0" fontId="14" fillId="25" borderId="5" applyNumberFormat="0" applyFont="0" applyAlignment="0"/>
    <xf numFmtId="37" fontId="51" fillId="26" borderId="18"/>
    <xf numFmtId="0" fontId="52" fillId="0" borderId="19">
      <alignment horizontal="right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3" fillId="24" borderId="3" applyNumberFormat="0" applyAlignment="0" applyProtection="0"/>
    <xf numFmtId="0" fontId="56" fillId="31" borderId="0" applyNumberFormat="0" applyBorder="0" applyAlignment="0" applyProtection="0"/>
    <xf numFmtId="0" fontId="56" fillId="14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3" borderId="0" applyNumberFormat="0" applyBorder="0" applyAlignment="0" applyProtection="0"/>
    <xf numFmtId="0" fontId="56" fillId="14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7" borderId="0" applyNumberFormat="0" applyBorder="0" applyAlignment="0" applyProtection="0"/>
    <xf numFmtId="0" fontId="56" fillId="34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57" fillId="37" borderId="0" applyNumberFormat="0" applyBorder="0" applyAlignment="0" applyProtection="0"/>
    <xf numFmtId="0" fontId="57" fillId="35" borderId="0" applyNumberFormat="0" applyBorder="0" applyAlignment="0" applyProtection="0"/>
    <xf numFmtId="0" fontId="57" fillId="7" borderId="0" applyNumberFormat="0" applyBorder="0" applyAlignment="0" applyProtection="0"/>
    <xf numFmtId="0" fontId="57" fillId="34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37" borderId="0" applyNumberFormat="0" applyBorder="0" applyAlignment="0" applyProtection="0"/>
    <xf numFmtId="0" fontId="57" fillId="4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8" fillId="42" borderId="0" applyNumberFormat="0" applyBorder="0" applyAlignment="0" applyProtection="0"/>
    <xf numFmtId="0" fontId="2" fillId="18" borderId="15" applyNumberFormat="0" applyBorder="0"/>
    <xf numFmtId="0" fontId="2" fillId="18" borderId="15" applyNumberFormat="0" applyBorder="0"/>
    <xf numFmtId="0" fontId="59" fillId="31" borderId="21" applyNumberFormat="0" applyAlignment="0" applyProtection="0"/>
    <xf numFmtId="0" fontId="60" fillId="43" borderId="2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23">
      <alignment vertical="top"/>
    </xf>
    <xf numFmtId="0" fontId="63" fillId="44" borderId="0" applyNumberFormat="0" applyBorder="0" applyAlignment="0" applyProtection="0"/>
    <xf numFmtId="37" fontId="2" fillId="18" borderId="0">
      <alignment horizontal="right"/>
    </xf>
    <xf numFmtId="37" fontId="2" fillId="18" borderId="0">
      <alignment horizontal="right"/>
    </xf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14" borderId="21" applyNumberFormat="0" applyAlignment="0" applyProtection="0"/>
    <xf numFmtId="0" fontId="69" fillId="0" borderId="27" applyNumberFormat="0" applyFill="0" applyAlignment="0" applyProtection="0"/>
    <xf numFmtId="0" fontId="70" fillId="7" borderId="0" applyNumberFormat="0" applyBorder="0" applyAlignment="0" applyProtection="0"/>
    <xf numFmtId="0" fontId="71" fillId="31" borderId="2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0" applyNumberFormat="0" applyFill="0" applyBorder="0" applyAlignment="0" applyProtection="0"/>
    <xf numFmtId="0" fontId="61" fillId="0" borderId="0"/>
  </cellStyleXfs>
  <cellXfs count="267">
    <xf numFmtId="0" fontId="0" fillId="0" borderId="0" xfId="0"/>
    <xf numFmtId="0" fontId="3" fillId="3" borderId="2" xfId="1" applyFont="1" applyFill="1" applyBorder="1" applyAlignment="1">
      <alignment horizontal="left" vertical="center"/>
    </xf>
    <xf numFmtId="0" fontId="4" fillId="0" borderId="0" xfId="2"/>
    <xf numFmtId="0" fontId="2" fillId="0" borderId="0" xfId="1"/>
    <xf numFmtId="1" fontId="2" fillId="0" borderId="0" xfId="1" applyNumberFormat="1" applyAlignment="1" applyProtection="1">
      <alignment vertical="center"/>
      <protection locked="0"/>
    </xf>
    <xf numFmtId="1" fontId="5" fillId="0" borderId="0" xfId="3" applyNumberFormat="1" applyFont="1" applyAlignment="1">
      <alignment horizontal="right"/>
      <protection locked="0"/>
    </xf>
    <xf numFmtId="1" fontId="6" fillId="0" borderId="0" xfId="3" applyNumberFormat="1" applyFont="1" applyAlignment="1">
      <alignment horizontal="right"/>
      <protection locked="0"/>
    </xf>
    <xf numFmtId="0" fontId="8" fillId="0" borderId="0" xfId="4" applyFont="1"/>
    <xf numFmtId="1" fontId="2" fillId="0" borderId="0" xfId="1" applyNumberFormat="1" applyAlignment="1" applyProtection="1">
      <alignment horizontal="right"/>
      <protection locked="0"/>
    </xf>
    <xf numFmtId="1" fontId="6" fillId="0" borderId="2" xfId="1" applyNumberFormat="1" applyFont="1" applyBorder="1" applyAlignment="1">
      <alignment horizontal="center"/>
    </xf>
    <xf numFmtId="1" fontId="9" fillId="4" borderId="2" xfId="4" applyNumberFormat="1" applyFont="1" applyFill="1" applyBorder="1" applyAlignment="1">
      <alignment horizontal="center"/>
    </xf>
    <xf numFmtId="165" fontId="10" fillId="0" borderId="0" xfId="5" applyNumberFormat="1" applyFont="1" applyAlignment="1" applyProtection="1">
      <alignment horizontal="right" vertical="center"/>
      <protection locked="0"/>
    </xf>
    <xf numFmtId="0" fontId="11" fillId="0" borderId="0" xfId="1" applyFont="1" applyProtection="1">
      <protection locked="0"/>
    </xf>
    <xf numFmtId="1" fontId="2" fillId="0" borderId="0" xfId="6" applyNumberFormat="1" applyAlignment="1" applyProtection="1">
      <alignment vertical="center"/>
      <protection locked="0"/>
    </xf>
    <xf numFmtId="1" fontId="6" fillId="0" borderId="0" xfId="6" applyNumberFormat="1" applyFont="1" applyAlignment="1" applyProtection="1">
      <alignment horizontal="left" vertical="center"/>
      <protection locked="0"/>
    </xf>
    <xf numFmtId="1" fontId="10" fillId="0" borderId="0" xfId="6" applyNumberFormat="1" applyFont="1" applyAlignment="1" applyProtection="1">
      <alignment vertical="center"/>
      <protection locked="0"/>
    </xf>
    <xf numFmtId="166" fontId="2" fillId="5" borderId="3" xfId="1" applyNumberFormat="1" applyFill="1" applyBorder="1" applyAlignment="1">
      <alignment horizontal="right" vertical="center"/>
    </xf>
    <xf numFmtId="1" fontId="2" fillId="0" borderId="0" xfId="6" applyNumberFormat="1" applyAlignment="1" applyProtection="1">
      <alignment vertical="center" shrinkToFit="1"/>
      <protection locked="0"/>
    </xf>
    <xf numFmtId="49" fontId="12" fillId="6" borderId="4" xfId="1" applyNumberFormat="1" applyFont="1" applyFill="1" applyBorder="1" applyAlignment="1">
      <alignment horizontal="right" vertical="center"/>
    </xf>
    <xf numFmtId="49" fontId="12" fillId="6" borderId="2" xfId="1" applyNumberFormat="1" applyFont="1" applyFill="1" applyBorder="1" applyAlignment="1">
      <alignment horizontal="right" vertical="center"/>
    </xf>
    <xf numFmtId="0" fontId="12" fillId="6" borderId="2" xfId="1" applyFont="1" applyFill="1" applyBorder="1" applyAlignment="1">
      <alignment horizontal="left" vertical="center"/>
    </xf>
    <xf numFmtId="0" fontId="13" fillId="6" borderId="2" xfId="1" applyFont="1" applyFill="1" applyBorder="1" applyAlignment="1">
      <alignment horizontal="left" vertical="center"/>
    </xf>
    <xf numFmtId="0" fontId="12" fillId="0" borderId="0" xfId="1" applyFont="1"/>
    <xf numFmtId="1" fontId="2" fillId="7" borderId="5" xfId="7" applyNumberFormat="1" applyFont="1" applyAlignment="1" applyProtection="1">
      <alignment horizontal="center" vertical="center"/>
      <protection locked="0"/>
    </xf>
    <xf numFmtId="0" fontId="8" fillId="0" borderId="5" xfId="1" applyFont="1" applyBorder="1"/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 shrinkToFit="1"/>
      <protection locked="0"/>
    </xf>
    <xf numFmtId="0" fontId="2" fillId="0" borderId="0" xfId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2" fillId="0" borderId="0" xfId="1" applyProtection="1">
      <protection locked="0"/>
    </xf>
    <xf numFmtId="0" fontId="11" fillId="0" borderId="0" xfId="1" applyFont="1" applyAlignment="1" applyProtection="1">
      <alignment shrinkToFit="1"/>
      <protection locked="0"/>
    </xf>
    <xf numFmtId="0" fontId="2" fillId="0" borderId="0" xfId="1" applyAlignment="1" applyProtection="1">
      <alignment horizontal="left" indent="1" shrinkToFit="1"/>
      <protection locked="0"/>
    </xf>
    <xf numFmtId="0" fontId="16" fillId="0" borderId="0" xfId="1" applyFont="1" applyAlignment="1" applyProtection="1">
      <alignment vertical="center"/>
      <protection locked="0"/>
    </xf>
    <xf numFmtId="167" fontId="2" fillId="0" borderId="0" xfId="1" applyNumberFormat="1" applyAlignment="1" applyProtection="1">
      <alignment horizontal="right"/>
      <protection locked="0"/>
    </xf>
    <xf numFmtId="165" fontId="2" fillId="8" borderId="5" xfId="7" applyNumberFormat="1" applyFont="1" applyFill="1" applyAlignment="1">
      <alignment horizontal="right"/>
    </xf>
    <xf numFmtId="0" fontId="17" fillId="0" borderId="0" xfId="1" applyFont="1" applyAlignment="1" applyProtection="1">
      <alignment vertical="center"/>
      <protection locked="0"/>
    </xf>
    <xf numFmtId="168" fontId="10" fillId="0" borderId="0" xfId="1" applyNumberFormat="1" applyFont="1" applyProtection="1">
      <protection locked="0"/>
    </xf>
    <xf numFmtId="0" fontId="2" fillId="0" borderId="0" xfId="1" applyAlignment="1" applyProtection="1">
      <alignment vertical="center" shrinkToFit="1"/>
      <protection locked="0"/>
    </xf>
    <xf numFmtId="0" fontId="2" fillId="0" borderId="0" xfId="1" applyAlignment="1" applyProtection="1">
      <alignment shrinkToFit="1"/>
      <protection locked="0"/>
    </xf>
    <xf numFmtId="167" fontId="2" fillId="0" borderId="0" xfId="1" applyNumberForma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167" fontId="2" fillId="0" borderId="0" xfId="1" applyNumberFormat="1" applyProtection="1">
      <protection locked="0"/>
    </xf>
    <xf numFmtId="165" fontId="2" fillId="9" borderId="5" xfId="7" applyNumberFormat="1" applyFont="1" applyFill="1" applyAlignment="1">
      <alignment horizontal="right"/>
    </xf>
    <xf numFmtId="0" fontId="19" fillId="0" borderId="0" xfId="1" applyFont="1" applyAlignment="1" applyProtection="1">
      <alignment horizontal="center" vertical="center" shrinkToFit="1"/>
      <protection locked="0"/>
    </xf>
    <xf numFmtId="0" fontId="10" fillId="0" borderId="0" xfId="1" applyFont="1" applyProtection="1">
      <protection locked="0"/>
    </xf>
    <xf numFmtId="0" fontId="2" fillId="0" borderId="0" xfId="1" applyAlignment="1" applyProtection="1">
      <alignment horizontal="left" vertical="center" indent="1" shrinkToFit="1"/>
      <protection locked="0"/>
    </xf>
    <xf numFmtId="165" fontId="2" fillId="0" borderId="0" xfId="1" applyNumberFormat="1" applyAlignment="1" applyProtection="1">
      <alignment vertical="center"/>
      <protection locked="0"/>
    </xf>
    <xf numFmtId="169" fontId="2" fillId="0" borderId="0" xfId="1" applyNumberFormat="1" applyAlignment="1" applyProtection="1">
      <alignment vertical="center"/>
      <protection locked="0"/>
    </xf>
    <xf numFmtId="0" fontId="6" fillId="0" borderId="0" xfId="1" applyFont="1" applyAlignment="1" applyProtection="1">
      <alignment shrinkToFit="1"/>
      <protection locked="0"/>
    </xf>
    <xf numFmtId="165" fontId="2" fillId="0" borderId="0" xfId="5" applyNumberFormat="1" applyAlignment="1">
      <alignment horizontal="right"/>
    </xf>
    <xf numFmtId="0" fontId="20" fillId="0" borderId="0" xfId="1" applyFont="1" applyAlignment="1" applyProtection="1">
      <alignment horizontal="center" vertical="center" shrinkToFit="1"/>
      <protection locked="0"/>
    </xf>
    <xf numFmtId="0" fontId="21" fillId="0" borderId="0" xfId="1" applyFont="1" applyAlignment="1" applyProtection="1">
      <alignment vertical="center"/>
      <protection locked="0"/>
    </xf>
    <xf numFmtId="166" fontId="2" fillId="0" borderId="5" xfId="6" applyNumberFormat="1" applyBorder="1" applyProtection="1">
      <protection locked="0"/>
    </xf>
    <xf numFmtId="171" fontId="6" fillId="0" borderId="0" xfId="8" applyFont="1" applyAlignment="1">
      <alignment horizontal="left" vertical="top"/>
    </xf>
    <xf numFmtId="171" fontId="2" fillId="0" borderId="0" xfId="8" applyAlignment="1">
      <alignment horizontal="left" vertical="top" wrapText="1" indent="1"/>
    </xf>
    <xf numFmtId="171" fontId="2" fillId="0" borderId="0" xfId="8" applyAlignment="1">
      <alignment horizontal="left" vertical="top" indent="1"/>
    </xf>
    <xf numFmtId="170" fontId="2" fillId="0" borderId="5" xfId="6" applyNumberFormat="1" applyBorder="1" applyProtection="1">
      <protection locked="0"/>
    </xf>
    <xf numFmtId="0" fontId="22" fillId="0" borderId="0" xfId="1" applyFont="1"/>
    <xf numFmtId="0" fontId="17" fillId="0" borderId="0" xfId="1" applyFont="1"/>
    <xf numFmtId="0" fontId="2" fillId="0" borderId="5" xfId="7" applyFont="1" applyFill="1" applyAlignment="1">
      <alignment horizontal="right"/>
    </xf>
    <xf numFmtId="0" fontId="17" fillId="0" borderId="0" xfId="1" applyFont="1" applyProtection="1">
      <protection locked="0"/>
    </xf>
    <xf numFmtId="172" fontId="2" fillId="0" borderId="5" xfId="7" applyNumberFormat="1" applyFont="1" applyFill="1" applyAlignment="1">
      <alignment horizontal="right" vertical="top"/>
    </xf>
    <xf numFmtId="174" fontId="2" fillId="0" borderId="5" xfId="7" applyNumberFormat="1" applyFont="1" applyFill="1" applyAlignment="1">
      <alignment horizontal="right"/>
    </xf>
    <xf numFmtId="0" fontId="15" fillId="0" borderId="0" xfId="1" applyFont="1" applyProtection="1">
      <protection locked="0"/>
    </xf>
    <xf numFmtId="0" fontId="6" fillId="10" borderId="6" xfId="1" applyFont="1" applyFill="1" applyBorder="1" applyProtection="1">
      <protection locked="0"/>
    </xf>
    <xf numFmtId="0" fontId="6" fillId="10" borderId="7" xfId="1" applyFont="1" applyFill="1" applyBorder="1" applyProtection="1">
      <protection locked="0"/>
    </xf>
    <xf numFmtId="0" fontId="6" fillId="10" borderId="7" xfId="1" applyFont="1" applyFill="1" applyBorder="1" applyAlignment="1" applyProtection="1">
      <alignment shrinkToFit="1"/>
      <protection locked="0"/>
    </xf>
    <xf numFmtId="0" fontId="18" fillId="10" borderId="7" xfId="1" applyFont="1" applyFill="1" applyBorder="1" applyProtection="1">
      <protection locked="0"/>
    </xf>
    <xf numFmtId="0" fontId="2" fillId="0" borderId="0" xfId="5" applyAlignment="1">
      <alignment vertical="center"/>
    </xf>
    <xf numFmtId="10" fontId="6" fillId="0" borderId="0" xfId="1" applyNumberFormat="1" applyFont="1" applyAlignment="1">
      <alignment horizontal="left" vertical="center"/>
    </xf>
    <xf numFmtId="1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10" fontId="6" fillId="0" borderId="0" xfId="1" applyNumberFormat="1" applyFont="1" applyAlignment="1">
      <alignment vertical="center"/>
    </xf>
    <xf numFmtId="0" fontId="10" fillId="0" borderId="0" xfId="1" applyFont="1"/>
    <xf numFmtId="0" fontId="11" fillId="0" borderId="0" xfId="1" applyFont="1"/>
    <xf numFmtId="0" fontId="27" fillId="0" borderId="0" xfId="1" applyFont="1"/>
    <xf numFmtId="0" fontId="11" fillId="0" borderId="0" xfId="1" applyFont="1" applyAlignment="1">
      <alignment shrinkToFit="1"/>
    </xf>
    <xf numFmtId="0" fontId="6" fillId="0" borderId="0" xfId="1" applyFont="1" applyAlignment="1">
      <alignment shrinkToFit="1"/>
    </xf>
    <xf numFmtId="167" fontId="11" fillId="0" borderId="0" xfId="1" applyNumberFormat="1" applyFont="1"/>
    <xf numFmtId="0" fontId="6" fillId="0" borderId="0" xfId="1" applyFont="1" applyAlignment="1" applyProtection="1">
      <alignment horizontal="left" indent="1" shrinkToFit="1"/>
      <protection locked="0"/>
    </xf>
    <xf numFmtId="165" fontId="6" fillId="0" borderId="8" xfId="5" applyNumberFormat="1" applyFont="1" applyBorder="1" applyAlignment="1">
      <alignment horizontal="right"/>
    </xf>
    <xf numFmtId="0" fontId="2" fillId="0" borderId="0" xfId="1" applyAlignment="1" applyProtection="1">
      <alignment horizontal="left" indent="2" shrinkToFit="1"/>
      <protection locked="0"/>
    </xf>
    <xf numFmtId="168" fontId="2" fillId="0" borderId="0" xfId="1" applyNumberFormat="1"/>
    <xf numFmtId="9" fontId="2" fillId="0" borderId="0" xfId="6" applyAlignment="1" applyProtection="1">
      <alignment horizontal="right"/>
      <protection locked="0"/>
    </xf>
    <xf numFmtId="168" fontId="2" fillId="0" borderId="0" xfId="6" applyNumberFormat="1"/>
    <xf numFmtId="9" fontId="2" fillId="0" borderId="0" xfId="6"/>
    <xf numFmtId="175" fontId="2" fillId="0" borderId="5" xfId="7" applyNumberFormat="1" applyFont="1" applyFill="1" applyAlignment="1" applyProtection="1">
      <alignment shrinkToFit="1"/>
      <protection locked="0"/>
    </xf>
    <xf numFmtId="165" fontId="2" fillId="0" borderId="5" xfId="7" applyNumberFormat="1" applyFont="1" applyFill="1" applyAlignment="1">
      <alignment horizontal="right"/>
    </xf>
    <xf numFmtId="168" fontId="17" fillId="0" borderId="0" xfId="1" applyNumberFormat="1" applyFont="1"/>
    <xf numFmtId="0" fontId="6" fillId="0" borderId="0" xfId="1" applyFont="1"/>
    <xf numFmtId="0" fontId="2" fillId="0" borderId="0" xfId="1" applyAlignment="1">
      <alignment shrinkToFit="1"/>
    </xf>
    <xf numFmtId="0" fontId="28" fillId="10" borderId="6" xfId="1" applyFont="1" applyFill="1" applyBorder="1"/>
    <xf numFmtId="0" fontId="28" fillId="10" borderId="7" xfId="1" applyFont="1" applyFill="1" applyBorder="1"/>
    <xf numFmtId="0" fontId="29" fillId="3" borderId="2" xfId="4" applyFont="1" applyFill="1" applyBorder="1" applyAlignment="1">
      <alignment horizontal="left" vertical="center"/>
    </xf>
    <xf numFmtId="1" fontId="26" fillId="0" borderId="2" xfId="4" applyNumberFormat="1" applyFont="1" applyBorder="1" applyAlignment="1">
      <alignment horizontal="center"/>
    </xf>
    <xf numFmtId="0" fontId="17" fillId="0" borderId="0" xfId="4" applyFont="1"/>
    <xf numFmtId="176" fontId="8" fillId="0" borderId="0" xfId="4" applyNumberFormat="1" applyFont="1" applyAlignment="1">
      <alignment horizontal="center"/>
    </xf>
    <xf numFmtId="0" fontId="6" fillId="0" borderId="0" xfId="4" applyFont="1" applyAlignment="1">
      <alignment vertical="center"/>
    </xf>
    <xf numFmtId="166" fontId="2" fillId="5" borderId="3" xfId="4" applyNumberFormat="1" applyFont="1" applyFill="1" applyBorder="1" applyAlignment="1">
      <alignment horizontal="right" vertical="center"/>
    </xf>
    <xf numFmtId="49" fontId="12" fillId="6" borderId="4" xfId="4" applyNumberFormat="1" applyFont="1" applyFill="1" applyBorder="1" applyAlignment="1">
      <alignment horizontal="right" vertical="center"/>
    </xf>
    <xf numFmtId="49" fontId="12" fillId="6" borderId="2" xfId="4" applyNumberFormat="1" applyFont="1" applyFill="1" applyBorder="1" applyAlignment="1">
      <alignment horizontal="right" vertical="center"/>
    </xf>
    <xf numFmtId="0" fontId="12" fillId="6" borderId="2" xfId="4" applyFont="1" applyFill="1" applyBorder="1" applyAlignment="1">
      <alignment horizontal="left" vertical="center"/>
    </xf>
    <xf numFmtId="0" fontId="13" fillId="6" borderId="2" xfId="4" applyFont="1" applyFill="1" applyBorder="1" applyAlignment="1">
      <alignment horizontal="left" vertical="center"/>
    </xf>
    <xf numFmtId="0" fontId="28" fillId="10" borderId="6" xfId="4" applyFont="1" applyFill="1" applyBorder="1"/>
    <xf numFmtId="0" fontId="28" fillId="10" borderId="7" xfId="4" applyFont="1" applyFill="1" applyBorder="1"/>
    <xf numFmtId="0" fontId="23" fillId="3" borderId="2" xfId="1" applyFont="1" applyFill="1" applyBorder="1" applyAlignment="1">
      <alignment vertical="center"/>
    </xf>
    <xf numFmtId="49" fontId="30" fillId="3" borderId="2" xfId="1" applyNumberFormat="1" applyFont="1" applyFill="1" applyBorder="1"/>
    <xf numFmtId="0" fontId="23" fillId="3" borderId="2" xfId="1" applyFont="1" applyFill="1" applyBorder="1" applyAlignment="1">
      <alignment horizontal="right" vertical="center"/>
    </xf>
    <xf numFmtId="0" fontId="23" fillId="3" borderId="0" xfId="1" applyFont="1" applyFill="1" applyAlignment="1">
      <alignment horizontal="right" vertical="center"/>
    </xf>
    <xf numFmtId="0" fontId="10" fillId="3" borderId="0" xfId="1" applyFont="1" applyFill="1" applyAlignment="1">
      <alignment vertical="center"/>
    </xf>
    <xf numFmtId="1" fontId="31" fillId="3" borderId="2" xfId="1" applyNumberFormat="1" applyFont="1" applyFill="1" applyBorder="1" applyAlignment="1">
      <alignment horizontal="left" vertical="center"/>
    </xf>
    <xf numFmtId="0" fontId="2" fillId="0" borderId="0" xfId="1" applyAlignment="1">
      <alignment vertical="center" shrinkToFit="1"/>
    </xf>
    <xf numFmtId="0" fontId="2" fillId="0" borderId="0" xfId="1" applyAlignment="1">
      <alignment horizontal="center" vertical="center" shrinkToFit="1"/>
    </xf>
    <xf numFmtId="0" fontId="2" fillId="0" borderId="0" xfId="1" applyAlignment="1">
      <alignment horizontal="left" vertical="center"/>
    </xf>
    <xf numFmtId="1" fontId="2" fillId="0" borderId="0" xfId="9" applyNumberFormat="1" applyAlignment="1">
      <alignment vertical="center"/>
    </xf>
    <xf numFmtId="1" fontId="2" fillId="0" borderId="0" xfId="9" applyNumberFormat="1" applyAlignment="1">
      <alignment horizontal="left" vertical="center"/>
    </xf>
    <xf numFmtId="1" fontId="13" fillId="0" borderId="0" xfId="1" applyNumberFormat="1" applyFont="1" applyAlignment="1">
      <alignment horizontal="left" vertical="center"/>
    </xf>
    <xf numFmtId="1" fontId="15" fillId="0" borderId="0" xfId="1" applyNumberFormat="1" applyFont="1" applyAlignment="1" applyProtection="1">
      <alignment horizontal="left" vertical="center"/>
      <protection hidden="1"/>
    </xf>
    <xf numFmtId="1" fontId="6" fillId="0" borderId="0" xfId="1" applyNumberFormat="1" applyFont="1" applyAlignment="1" applyProtection="1">
      <alignment horizontal="right" vertical="center"/>
      <protection hidden="1"/>
    </xf>
    <xf numFmtId="0" fontId="6" fillId="0" borderId="0" xfId="1" applyFont="1" applyAlignment="1">
      <alignment horizontal="left" vertical="center"/>
    </xf>
    <xf numFmtId="1" fontId="15" fillId="0" borderId="0" xfId="1" applyNumberFormat="1" applyFont="1" applyAlignment="1" applyProtection="1">
      <alignment horizontal="right" vertical="center"/>
      <protection hidden="1"/>
    </xf>
    <xf numFmtId="1" fontId="2" fillId="0" borderId="0" xfId="1" applyNumberFormat="1" applyAlignment="1" applyProtection="1">
      <alignment horizontal="right" vertical="center"/>
      <protection hidden="1"/>
    </xf>
    <xf numFmtId="176" fontId="28" fillId="0" borderId="0" xfId="4" applyNumberFormat="1" applyFont="1" applyAlignment="1">
      <alignment horizontal="center"/>
    </xf>
    <xf numFmtId="1" fontId="15" fillId="0" borderId="0" xfId="9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2" fillId="0" borderId="0" xfId="1" applyAlignment="1">
      <alignment horizontal="right" vertical="center"/>
    </xf>
    <xf numFmtId="0" fontId="2" fillId="0" borderId="0" xfId="1" applyAlignment="1">
      <alignment horizontal="left" vertical="center" indent="1"/>
    </xf>
    <xf numFmtId="177" fontId="2" fillId="8" borderId="3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0" fontId="2" fillId="0" borderId="0" xfId="9" applyNumberFormat="1" applyAlignment="1">
      <alignment vertical="center"/>
    </xf>
    <xf numFmtId="10" fontId="2" fillId="0" borderId="0" xfId="9" applyNumberFormat="1" applyAlignment="1">
      <alignment horizontal="left" vertical="center"/>
    </xf>
    <xf numFmtId="10" fontId="15" fillId="0" borderId="0" xfId="9" applyNumberFormat="1" applyFont="1" applyAlignment="1">
      <alignment vertical="center"/>
    </xf>
    <xf numFmtId="177" fontId="2" fillId="0" borderId="0" xfId="1" applyNumberFormat="1" applyAlignment="1">
      <alignment horizontal="right"/>
    </xf>
    <xf numFmtId="0" fontId="15" fillId="0" borderId="0" xfId="1" applyFont="1"/>
    <xf numFmtId="177" fontId="2" fillId="12" borderId="3" xfId="1" applyNumberFormat="1" applyFill="1" applyBorder="1" applyAlignment="1">
      <alignment horizontal="right"/>
    </xf>
    <xf numFmtId="0" fontId="2" fillId="0" borderId="0" xfId="4" applyFont="1" applyAlignment="1">
      <alignment horizontal="left" vertical="center" indent="1"/>
    </xf>
    <xf numFmtId="178" fontId="2" fillId="8" borderId="3" xfId="1" applyNumberFormat="1" applyFill="1" applyBorder="1" applyAlignment="1" applyProtection="1">
      <alignment horizontal="right" vertical="center"/>
      <protection locked="0"/>
    </xf>
    <xf numFmtId="178" fontId="2" fillId="0" borderId="0" xfId="1" applyNumberFormat="1" applyAlignment="1">
      <alignment horizontal="left" vertical="center"/>
    </xf>
    <xf numFmtId="178" fontId="2" fillId="0" borderId="0" xfId="1" applyNumberFormat="1" applyAlignment="1">
      <alignment horizontal="right" vertical="center"/>
    </xf>
    <xf numFmtId="1" fontId="6" fillId="0" borderId="0" xfId="9" applyNumberFormat="1" applyFont="1" applyAlignment="1">
      <alignment vertical="center"/>
    </xf>
    <xf numFmtId="10" fontId="2" fillId="0" borderId="0" xfId="1" applyNumberFormat="1" applyAlignment="1">
      <alignment shrinkToFit="1"/>
    </xf>
    <xf numFmtId="10" fontId="2" fillId="0" borderId="0" xfId="1" applyNumberFormat="1" applyAlignment="1">
      <alignment horizontal="left" vertical="center"/>
    </xf>
    <xf numFmtId="0" fontId="6" fillId="13" borderId="7" xfId="1" applyFont="1" applyFill="1" applyBorder="1"/>
    <xf numFmtId="0" fontId="15" fillId="13" borderId="7" xfId="1" applyFont="1" applyFill="1" applyBorder="1"/>
    <xf numFmtId="0" fontId="2" fillId="0" borderId="0" xfId="1" applyAlignment="1">
      <alignment horizontal="left" vertical="center" shrinkToFit="1"/>
    </xf>
    <xf numFmtId="178" fontId="2" fillId="8" borderId="3" xfId="9" applyNumberFormat="1" applyFill="1" applyBorder="1"/>
    <xf numFmtId="178" fontId="2" fillId="0" borderId="0" xfId="9" applyNumberFormat="1"/>
    <xf numFmtId="178" fontId="2" fillId="0" borderId="0" xfId="9" applyNumberFormat="1" applyAlignment="1">
      <alignment horizontal="center"/>
    </xf>
    <xf numFmtId="0" fontId="2" fillId="13" borderId="7" xfId="1" applyFill="1" applyBorder="1"/>
    <xf numFmtId="1" fontId="17" fillId="0" borderId="0" xfId="6" applyNumberFormat="1" applyFont="1" applyAlignment="1" applyProtection="1">
      <alignment vertical="center"/>
      <protection locked="0"/>
    </xf>
    <xf numFmtId="0" fontId="28" fillId="0" borderId="0" xfId="0" applyFont="1"/>
    <xf numFmtId="0" fontId="2" fillId="0" borderId="0" xfId="0" applyFont="1" applyAlignment="1">
      <alignment horizontal="left" vertical="center" indent="1"/>
    </xf>
    <xf numFmtId="165" fontId="2" fillId="0" borderId="0" xfId="7" applyNumberFormat="1" applyFont="1" applyFill="1" applyBorder="1" applyAlignment="1">
      <alignment horizontal="right"/>
    </xf>
    <xf numFmtId="165" fontId="6" fillId="0" borderId="0" xfId="7" applyNumberFormat="1" applyFont="1" applyFill="1" applyBorder="1" applyAlignment="1">
      <alignment horizontal="right"/>
    </xf>
    <xf numFmtId="1" fontId="2" fillId="0" borderId="0" xfId="6" applyNumberFormat="1" applyAlignment="1">
      <alignment horizontal="left" vertical="center" indent="1"/>
    </xf>
    <xf numFmtId="165" fontId="6" fillId="0" borderId="0" xfId="1" applyNumberFormat="1" applyFont="1" applyAlignment="1" applyProtection="1">
      <alignment vertical="center"/>
      <protection locked="0"/>
    </xf>
    <xf numFmtId="0" fontId="6" fillId="0" borderId="0" xfId="1" applyFont="1" applyAlignment="1">
      <alignment horizontal="left" indent="1" shrinkToFit="1"/>
    </xf>
    <xf numFmtId="175" fontId="2" fillId="8" borderId="5" xfId="7" applyNumberFormat="1" applyFont="1" applyFill="1" applyAlignment="1" applyProtection="1">
      <alignment vertical="center"/>
      <protection locked="0"/>
    </xf>
    <xf numFmtId="0" fontId="53" fillId="0" borderId="0" xfId="1" applyFont="1" applyAlignment="1" applyProtection="1">
      <alignment vertical="center"/>
      <protection locked="0"/>
    </xf>
    <xf numFmtId="0" fontId="54" fillId="6" borderId="2" xfId="1" applyFont="1" applyFill="1" applyBorder="1" applyAlignment="1">
      <alignment horizontal="left" vertical="center"/>
    </xf>
    <xf numFmtId="0" fontId="53" fillId="0" borderId="0" xfId="1" applyFont="1"/>
    <xf numFmtId="2" fontId="2" fillId="0" borderId="5" xfId="7" applyNumberFormat="1" applyFont="1" applyFill="1" applyAlignment="1" applyProtection="1">
      <alignment shrinkToFit="1"/>
      <protection locked="0"/>
    </xf>
    <xf numFmtId="164" fontId="2" fillId="0" borderId="5" xfId="71" applyFont="1" applyBorder="1" applyAlignment="1" applyProtection="1">
      <alignment shrinkToFit="1"/>
      <protection locked="0"/>
    </xf>
    <xf numFmtId="9" fontId="2" fillId="0" borderId="5" xfId="72" applyFont="1" applyBorder="1" applyAlignment="1">
      <alignment horizontal="right"/>
    </xf>
    <xf numFmtId="0" fontId="2" fillId="27" borderId="5" xfId="7" applyFont="1" applyFill="1" applyProtection="1">
      <protection locked="0"/>
    </xf>
    <xf numFmtId="173" fontId="2" fillId="7" borderId="20" xfId="6" applyNumberFormat="1" applyFill="1" applyBorder="1" applyProtection="1">
      <protection locked="0"/>
    </xf>
    <xf numFmtId="49" fontId="12" fillId="0" borderId="4" xfId="1" applyNumberFormat="1" applyFont="1" applyBorder="1" applyAlignment="1">
      <alignment horizontal="right" vertical="center"/>
    </xf>
    <xf numFmtId="49" fontId="12" fillId="0" borderId="2" xfId="1" applyNumberFormat="1" applyFont="1" applyBorder="1" applyAlignment="1">
      <alignment horizontal="right" vertical="center"/>
    </xf>
    <xf numFmtId="0" fontId="12" fillId="0" borderId="2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54" fillId="0" borderId="2" xfId="1" applyFont="1" applyBorder="1" applyAlignment="1">
      <alignment horizontal="left" vertical="center"/>
    </xf>
    <xf numFmtId="49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54" fillId="0" borderId="0" xfId="1" applyFont="1" applyAlignment="1">
      <alignment horizontal="left" vertical="center"/>
    </xf>
    <xf numFmtId="179" fontId="2" fillId="28" borderId="5" xfId="7" applyNumberFormat="1" applyFont="1" applyFill="1" applyProtection="1">
      <protection locked="0"/>
    </xf>
    <xf numFmtId="0" fontId="53" fillId="0" borderId="0" xfId="1" applyFont="1" applyProtection="1">
      <protection locked="0"/>
    </xf>
    <xf numFmtId="167" fontId="53" fillId="0" borderId="0" xfId="1" applyNumberFormat="1" applyFont="1" applyAlignment="1" applyProtection="1">
      <alignment vertical="center"/>
      <protection locked="0"/>
    </xf>
    <xf numFmtId="180" fontId="8" fillId="8" borderId="5" xfId="7" applyNumberFormat="1" applyFont="1" applyFill="1" applyProtection="1">
      <protection locked="0"/>
    </xf>
    <xf numFmtId="170" fontId="2" fillId="0" borderId="5" xfId="7" applyNumberFormat="1" applyFont="1" applyFill="1" applyAlignment="1" applyProtection="1">
      <alignment shrinkToFit="1"/>
      <protection locked="0"/>
    </xf>
    <xf numFmtId="0" fontId="3" fillId="3" borderId="2" xfId="1" applyFont="1" applyFill="1" applyBorder="1" applyAlignment="1">
      <alignment vertical="center"/>
    </xf>
    <xf numFmtId="0" fontId="12" fillId="6" borderId="2" xfId="1" applyFont="1" applyFill="1" applyBorder="1" applyAlignment="1">
      <alignment vertical="center"/>
    </xf>
    <xf numFmtId="171" fontId="2" fillId="0" borderId="0" xfId="8" applyAlignment="1">
      <alignment vertical="center"/>
    </xf>
    <xf numFmtId="0" fontId="2" fillId="0" borderId="0" xfId="0" applyFont="1" applyAlignment="1">
      <alignment shrinkToFit="1"/>
    </xf>
    <xf numFmtId="178" fontId="2" fillId="0" borderId="0" xfId="73" applyNumberForma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1" applyAlignment="1" applyProtection="1">
      <alignment wrapText="1" shrinkToFit="1"/>
      <protection locked="0"/>
    </xf>
    <xf numFmtId="180" fontId="8" fillId="0" borderId="5" xfId="7" applyNumberFormat="1" applyFont="1" applyFill="1" applyProtection="1">
      <protection locked="0"/>
    </xf>
    <xf numFmtId="0" fontId="2" fillId="11" borderId="0" xfId="1" applyFill="1" applyProtection="1">
      <protection locked="0"/>
    </xf>
    <xf numFmtId="0" fontId="10" fillId="11" borderId="0" xfId="1" applyFont="1" applyFill="1" applyProtection="1">
      <protection locked="0"/>
    </xf>
    <xf numFmtId="0" fontId="11" fillId="11" borderId="0" xfId="1" applyFont="1" applyFill="1" applyProtection="1">
      <protection locked="0"/>
    </xf>
    <xf numFmtId="0" fontId="11" fillId="11" borderId="0" xfId="1" applyFont="1" applyFill="1"/>
    <xf numFmtId="0" fontId="2" fillId="11" borderId="0" xfId="1" applyFill="1"/>
    <xf numFmtId="173" fontId="2" fillId="0" borderId="5" xfId="6" applyNumberFormat="1" applyBorder="1" applyProtection="1">
      <protection locked="0"/>
    </xf>
    <xf numFmtId="49" fontId="12" fillId="29" borderId="4" xfId="1" applyNumberFormat="1" applyFont="1" applyFill="1" applyBorder="1" applyAlignment="1">
      <alignment horizontal="right" vertical="center"/>
    </xf>
    <xf numFmtId="49" fontId="12" fillId="29" borderId="2" xfId="1" applyNumberFormat="1" applyFont="1" applyFill="1" applyBorder="1" applyAlignment="1">
      <alignment horizontal="right" vertical="center"/>
    </xf>
    <xf numFmtId="0" fontId="12" fillId="29" borderId="2" xfId="1" applyFont="1" applyFill="1" applyBorder="1" applyAlignment="1">
      <alignment horizontal="left" vertical="center"/>
    </xf>
    <xf numFmtId="0" fontId="12" fillId="29" borderId="0" xfId="1" applyFont="1" applyFill="1"/>
    <xf numFmtId="167" fontId="2" fillId="0" borderId="0" xfId="6" applyNumberFormat="1"/>
    <xf numFmtId="10" fontId="2" fillId="0" borderId="5" xfId="72" applyNumberFormat="1" applyFont="1" applyBorder="1" applyAlignment="1">
      <alignment horizontal="right"/>
    </xf>
    <xf numFmtId="10" fontId="2" fillId="0" borderId="5" xfId="72" applyNumberFormat="1" applyFont="1" applyBorder="1" applyAlignment="1" applyProtection="1">
      <alignment shrinkToFit="1"/>
      <protection locked="0"/>
    </xf>
    <xf numFmtId="0" fontId="2" fillId="11" borderId="0" xfId="1" applyFill="1" applyAlignment="1" applyProtection="1">
      <alignment shrinkToFit="1"/>
      <protection locked="0"/>
    </xf>
    <xf numFmtId="0" fontId="13" fillId="29" borderId="2" xfId="1" applyFont="1" applyFill="1" applyBorder="1" applyAlignment="1">
      <alignment horizontal="left" vertical="center"/>
    </xf>
    <xf numFmtId="172" fontId="2" fillId="0" borderId="5" xfId="7" applyNumberFormat="1" applyFont="1" applyFill="1" applyAlignment="1" applyProtection="1">
      <alignment shrinkToFit="1"/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0" fontId="11" fillId="30" borderId="0" xfId="1" applyFont="1" applyFill="1"/>
    <xf numFmtId="0" fontId="11" fillId="30" borderId="0" xfId="1" applyFont="1" applyFill="1" applyProtection="1">
      <protection locked="0"/>
    </xf>
    <xf numFmtId="0" fontId="2" fillId="30" borderId="0" xfId="1" applyFill="1" applyProtection="1">
      <protection locked="0"/>
    </xf>
    <xf numFmtId="165" fontId="2" fillId="0" borderId="0" xfId="71" applyNumberFormat="1" applyFont="1" applyAlignment="1" applyProtection="1">
      <alignment horizontal="right" vertical="center"/>
      <protection locked="0"/>
    </xf>
    <xf numFmtId="165" fontId="2" fillId="0" borderId="0" xfId="7" applyNumberFormat="1" applyFont="1" applyFill="1" applyBorder="1" applyAlignment="1">
      <alignment horizontal="left"/>
    </xf>
    <xf numFmtId="173" fontId="55" fillId="0" borderId="0" xfId="0" applyNumberFormat="1" applyFont="1"/>
    <xf numFmtId="0" fontId="6" fillId="11" borderId="0" xfId="1" applyFont="1" applyFill="1" applyAlignment="1" applyProtection="1">
      <alignment shrinkToFit="1"/>
      <protection locked="0"/>
    </xf>
    <xf numFmtId="0" fontId="53" fillId="11" borderId="0" xfId="1" applyFont="1" applyFill="1"/>
    <xf numFmtId="0" fontId="11" fillId="11" borderId="0" xfId="1" applyFont="1" applyFill="1" applyAlignment="1">
      <alignment shrinkToFit="1"/>
    </xf>
    <xf numFmtId="0" fontId="27" fillId="11" borderId="0" xfId="1" applyFont="1" applyFill="1"/>
    <xf numFmtId="0" fontId="2" fillId="11" borderId="0" xfId="1" applyFill="1" applyAlignment="1" applyProtection="1">
      <alignment horizontal="left" indent="1" shrinkToFit="1"/>
      <protection locked="0"/>
    </xf>
    <xf numFmtId="0" fontId="16" fillId="11" borderId="0" xfId="1" applyFont="1" applyFill="1" applyAlignment="1" applyProtection="1">
      <alignment vertical="center"/>
      <protection locked="0"/>
    </xf>
    <xf numFmtId="165" fontId="2" fillId="11" borderId="0" xfId="7" applyNumberFormat="1" applyFont="1" applyFill="1" applyBorder="1" applyAlignment="1">
      <alignment horizontal="right"/>
    </xf>
    <xf numFmtId="0" fontId="2" fillId="11" borderId="0" xfId="0" applyFont="1" applyFill="1" applyAlignment="1">
      <alignment shrinkToFit="1"/>
    </xf>
    <xf numFmtId="165" fontId="2" fillId="11" borderId="5" xfId="7" applyNumberFormat="1" applyFont="1" applyFill="1" applyAlignment="1">
      <alignment horizontal="right"/>
    </xf>
    <xf numFmtId="165" fontId="2" fillId="11" borderId="0" xfId="5" applyNumberFormat="1" applyFill="1" applyAlignment="1">
      <alignment horizontal="right"/>
    </xf>
    <xf numFmtId="167" fontId="11" fillId="11" borderId="0" xfId="1" applyNumberFormat="1" applyFont="1" applyFill="1"/>
    <xf numFmtId="165" fontId="2" fillId="0" borderId="0" xfId="7" quotePrefix="1" applyNumberFormat="1" applyFont="1" applyFill="1" applyBorder="1" applyAlignment="1">
      <alignment horizontal="right"/>
    </xf>
    <xf numFmtId="165" fontId="2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2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2" fillId="45" borderId="5" xfId="7" applyNumberFormat="1" applyFont="1" applyFill="1" applyAlignment="1">
      <alignment horizontal="right"/>
    </xf>
    <xf numFmtId="49" fontId="23" fillId="46" borderId="0" xfId="5" applyNumberFormat="1" applyFont="1" applyFill="1" applyAlignment="1">
      <alignment horizontal="right" vertical="center"/>
    </xf>
    <xf numFmtId="0" fontId="2" fillId="46" borderId="0" xfId="5" applyFill="1" applyAlignment="1">
      <alignment horizontal="left" vertical="center"/>
    </xf>
    <xf numFmtId="0" fontId="24" fillId="46" borderId="0" xfId="5" applyFont="1" applyFill="1" applyAlignment="1">
      <alignment horizontal="left" vertical="center"/>
    </xf>
    <xf numFmtId="49" fontId="23" fillId="46" borderId="0" xfId="5" applyNumberFormat="1" applyFont="1" applyFill="1" applyAlignment="1">
      <alignment shrinkToFit="1"/>
    </xf>
    <xf numFmtId="0" fontId="2" fillId="46" borderId="0" xfId="5" applyFill="1" applyAlignment="1">
      <alignment horizontal="left" vertical="center" shrinkToFit="1"/>
    </xf>
    <xf numFmtId="165" fontId="6" fillId="46" borderId="0" xfId="5" applyNumberFormat="1" applyFont="1" applyFill="1" applyAlignment="1">
      <alignment horizontal="right" vertical="center"/>
    </xf>
    <xf numFmtId="165" fontId="2" fillId="46" borderId="0" xfId="5" applyNumberFormat="1" applyFill="1" applyAlignment="1">
      <alignment horizontal="right" vertical="center"/>
    </xf>
    <xf numFmtId="0" fontId="2" fillId="46" borderId="0" xfId="1" applyFill="1"/>
    <xf numFmtId="0" fontId="10" fillId="46" borderId="0" xfId="5" applyFont="1" applyFill="1" applyAlignment="1">
      <alignment vertical="center"/>
    </xf>
    <xf numFmtId="49" fontId="25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4" fillId="46" borderId="0" xfId="5" applyNumberFormat="1" applyFont="1" applyFill="1" applyAlignment="1">
      <alignment horizontal="right" vertical="center"/>
    </xf>
    <xf numFmtId="1" fontId="23" fillId="46" borderId="0" xfId="5" applyNumberFormat="1" applyFont="1" applyFill="1" applyAlignment="1">
      <alignment shrinkToFit="1"/>
    </xf>
    <xf numFmtId="0" fontId="8" fillId="46" borderId="0" xfId="4" applyFont="1" applyFill="1"/>
    <xf numFmtId="1" fontId="2" fillId="46" borderId="0" xfId="1" applyNumberFormat="1" applyFill="1" applyAlignment="1" applyProtection="1">
      <alignment horizontal="right"/>
      <protection locked="0"/>
    </xf>
    <xf numFmtId="1" fontId="6" fillId="46" borderId="2" xfId="1" applyNumberFormat="1" applyFont="1" applyFill="1" applyBorder="1" applyAlignment="1">
      <alignment horizontal="center"/>
    </xf>
    <xf numFmtId="1" fontId="9" fillId="46" borderId="2" xfId="4" applyNumberFormat="1" applyFont="1" applyFill="1" applyBorder="1" applyAlignment="1">
      <alignment horizontal="center"/>
    </xf>
    <xf numFmtId="0" fontId="2" fillId="46" borderId="0" xfId="5" applyFill="1" applyAlignment="1">
      <alignment vertical="center"/>
    </xf>
    <xf numFmtId="49" fontId="23" fillId="46" borderId="0" xfId="1" applyNumberFormat="1" applyFont="1" applyFill="1" applyAlignment="1">
      <alignment horizontal="right" vertical="center"/>
    </xf>
    <xf numFmtId="1" fontId="2" fillId="46" borderId="0" xfId="1" applyNumberFormat="1" applyFill="1" applyAlignment="1">
      <alignment vertical="center"/>
    </xf>
    <xf numFmtId="1" fontId="20" fillId="46" borderId="0" xfId="1" applyNumberFormat="1" applyFont="1" applyFill="1" applyAlignment="1">
      <alignment horizontal="left" vertical="center"/>
    </xf>
    <xf numFmtId="1" fontId="23" fillId="46" borderId="0" xfId="1" applyNumberFormat="1" applyFont="1" applyFill="1" applyAlignment="1">
      <alignment shrinkToFit="1"/>
    </xf>
    <xf numFmtId="1" fontId="2" fillId="46" borderId="0" xfId="1" applyNumberFormat="1" applyFill="1" applyAlignment="1">
      <alignment horizontal="right" vertical="center"/>
    </xf>
    <xf numFmtId="0" fontId="10" fillId="46" borderId="0" xfId="1" applyFont="1" applyFill="1" applyAlignment="1">
      <alignment vertical="center"/>
    </xf>
    <xf numFmtId="49" fontId="23" fillId="46" borderId="0" xfId="1" applyNumberFormat="1" applyFont="1" applyFill="1" applyAlignment="1">
      <alignment vertical="center"/>
    </xf>
    <xf numFmtId="1" fontId="20" fillId="46" borderId="0" xfId="1" applyNumberFormat="1" applyFont="1" applyFill="1" applyAlignment="1">
      <alignment vertical="center"/>
    </xf>
    <xf numFmtId="1" fontId="2" fillId="46" borderId="0" xfId="6" applyNumberFormat="1" applyFill="1" applyAlignment="1" applyProtection="1">
      <alignment vertical="center"/>
      <protection locked="0"/>
    </xf>
    <xf numFmtId="166" fontId="2" fillId="46" borderId="3" xfId="1" applyNumberFormat="1" applyFill="1" applyBorder="1" applyAlignment="1">
      <alignment horizontal="right" vertical="center"/>
    </xf>
    <xf numFmtId="0" fontId="28" fillId="46" borderId="0" xfId="0" applyFont="1" applyFill="1"/>
    <xf numFmtId="0" fontId="10" fillId="46" borderId="0" xfId="1" applyFont="1" applyFill="1"/>
    <xf numFmtId="168" fontId="2" fillId="46" borderId="0" xfId="1" applyNumberFormat="1" applyFill="1"/>
    <xf numFmtId="0" fontId="61" fillId="0" borderId="0" xfId="130" applyAlignment="1">
      <alignment vertical="top"/>
    </xf>
    <xf numFmtId="0" fontId="61" fillId="47" borderId="0" xfId="130" applyFill="1" applyAlignment="1">
      <alignment vertical="top"/>
    </xf>
    <xf numFmtId="0" fontId="76" fillId="0" borderId="0" xfId="0" applyFont="1"/>
    <xf numFmtId="181" fontId="75" fillId="0" borderId="0" xfId="130" applyNumberFormat="1" applyFont="1" applyAlignment="1">
      <alignment vertical="top"/>
    </xf>
    <xf numFmtId="181" fontId="61" fillId="0" borderId="0" xfId="130" applyNumberFormat="1" applyAlignment="1">
      <alignment vertical="top"/>
    </xf>
  </cellXfs>
  <cellStyles count="131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2" xfId="53"/>
    <cellStyle name="Normal 2 2" xfId="54"/>
    <cellStyle name="Normal 2 3" xfId="55"/>
    <cellStyle name="Normal 2 4" xfId="130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22" activePane="bottomLeft" state="frozen"/>
      <selection pane="bottomLeft"/>
    </sheetView>
  </sheetViews>
  <sheetFormatPr defaultRowHeight="14.5"/>
  <cols>
    <col min="1" max="1" width="3.36328125" customWidth="1"/>
    <col min="2" max="2" width="5.6328125" customWidth="1"/>
    <col min="3" max="3" width="12" customWidth="1"/>
    <col min="4" max="4" width="2.6328125" customWidth="1"/>
    <col min="5" max="5" width="15.26953125" customWidth="1"/>
    <col min="6" max="16" width="7.36328125" customWidth="1"/>
  </cols>
  <sheetData>
    <row r="1" spans="1:16">
      <c r="C1" t="s">
        <v>467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469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1</v>
      </c>
    </row>
    <row r="5" spans="1:16">
      <c r="A5" t="s">
        <v>469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3.7367061406307002E-2</v>
      </c>
      <c r="K5" s="226">
        <v>3.7367061406307002E-2</v>
      </c>
      <c r="L5" s="226">
        <v>3.7367061406307002E-2</v>
      </c>
      <c r="M5" s="226">
        <v>3.7367061406307002E-2</v>
      </c>
      <c r="N5" s="226">
        <v>3.7367061406307002E-2</v>
      </c>
      <c r="O5" s="226"/>
      <c r="P5" s="226"/>
    </row>
    <row r="6" spans="1:16">
      <c r="A6" t="s">
        <v>469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/>
      <c r="P6" s="226"/>
    </row>
    <row r="7" spans="1:16">
      <c r="A7" t="s">
        <v>469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102.485722071328</v>
      </c>
    </row>
    <row r="8" spans="1:16">
      <c r="A8" t="s">
        <v>469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0</v>
      </c>
    </row>
    <row r="9" spans="1:16">
      <c r="A9" t="s">
        <v>469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102.5</v>
      </c>
    </row>
    <row r="10" spans="1:16">
      <c r="A10" t="s">
        <v>469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0</v>
      </c>
    </row>
    <row r="11" spans="1:16">
      <c r="A11" t="s">
        <v>469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469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42.480657611500497</v>
      </c>
      <c r="K12" s="226">
        <v>46.686993803929397</v>
      </c>
      <c r="L12" s="226">
        <v>49.009502652268203</v>
      </c>
      <c r="M12" s="226">
        <v>45.366722765293403</v>
      </c>
      <c r="N12" s="226">
        <v>45.065851029462401</v>
      </c>
      <c r="O12" s="226"/>
      <c r="P12" s="226"/>
    </row>
    <row r="13" spans="1:16">
      <c r="A13" t="s">
        <v>469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0</v>
      </c>
      <c r="K13" s="226">
        <v>0</v>
      </c>
      <c r="L13" s="226">
        <v>0</v>
      </c>
      <c r="M13" s="226">
        <v>0</v>
      </c>
      <c r="N13" s="226">
        <v>0</v>
      </c>
      <c r="O13" s="226"/>
      <c r="P13" s="226"/>
    </row>
    <row r="14" spans="1:16">
      <c r="A14" t="s">
        <v>469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40.859921351818002</v>
      </c>
      <c r="K14" s="226">
        <v>45.069001595829398</v>
      </c>
      <c r="L14" s="226">
        <v>47.377166801180202</v>
      </c>
      <c r="M14" s="226">
        <v>43.756884453545297</v>
      </c>
      <c r="N14" s="226">
        <v>43.4578708793169</v>
      </c>
      <c r="O14" s="226"/>
      <c r="P14" s="226"/>
    </row>
    <row r="15" spans="1:16">
      <c r="A15" t="s">
        <v>469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/>
      <c r="P15" s="226"/>
    </row>
    <row r="16" spans="1:16">
      <c r="A16" t="s">
        <v>469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43.012</v>
      </c>
      <c r="K16" s="226">
        <v>48.07</v>
      </c>
      <c r="L16" s="226">
        <v>51.204999999999998</v>
      </c>
      <c r="M16" s="226">
        <v>52.487000000000002</v>
      </c>
      <c r="N16" s="226">
        <v>62.45</v>
      </c>
      <c r="O16" s="226"/>
      <c r="P16" s="226"/>
    </row>
    <row r="17" spans="1:16">
      <c r="A17" t="s">
        <v>469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0</v>
      </c>
      <c r="K17" s="226">
        <v>0</v>
      </c>
      <c r="L17" s="226">
        <v>0</v>
      </c>
      <c r="M17" s="226">
        <v>0</v>
      </c>
      <c r="N17" s="226">
        <v>0</v>
      </c>
      <c r="O17" s="226"/>
      <c r="P17" s="226"/>
    </row>
    <row r="18" spans="1:16">
      <c r="A18" t="s">
        <v>469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1.3260000000000001</v>
      </c>
      <c r="K18" s="226">
        <v>1.133</v>
      </c>
      <c r="L18" s="226">
        <v>1.5329999999999999</v>
      </c>
      <c r="M18" s="226">
        <v>1.375</v>
      </c>
      <c r="N18" s="226">
        <v>1.4159999999999999</v>
      </c>
      <c r="O18" s="226"/>
      <c r="P18" s="226"/>
    </row>
    <row r="19" spans="1:16">
      <c r="A19" t="s">
        <v>469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/>
      <c r="P19" s="226"/>
    </row>
    <row r="20" spans="1:16">
      <c r="A20" t="s">
        <v>469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0.54</v>
      </c>
      <c r="K20" s="226">
        <v>0.54400000000000004</v>
      </c>
      <c r="L20" s="226">
        <v>5.7000000000000002E-2</v>
      </c>
      <c r="M20" s="226">
        <v>0</v>
      </c>
      <c r="N20" s="226">
        <v>0</v>
      </c>
      <c r="O20" s="226"/>
      <c r="P20" s="226"/>
    </row>
    <row r="21" spans="1:16">
      <c r="A21" t="s">
        <v>469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469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0</v>
      </c>
      <c r="K22" s="226">
        <v>0</v>
      </c>
      <c r="L22" s="226">
        <v>0</v>
      </c>
      <c r="M22" s="226">
        <v>0</v>
      </c>
      <c r="N22" s="226">
        <v>0</v>
      </c>
      <c r="O22" s="226"/>
      <c r="P22" s="226"/>
    </row>
    <row r="23" spans="1:16">
      <c r="A23" t="s">
        <v>469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/>
      <c r="P23" s="226"/>
    </row>
    <row r="24" spans="1:16">
      <c r="A24" t="s">
        <v>469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/>
      <c r="P24" s="226"/>
    </row>
    <row r="25" spans="1:16">
      <c r="A25" t="s">
        <v>469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/>
      <c r="P25" s="226"/>
    </row>
    <row r="26" spans="1:16">
      <c r="A26" t="s">
        <v>469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0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469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469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0.59799999999999998</v>
      </c>
      <c r="K28" s="227">
        <v>0.58399999999999996</v>
      </c>
      <c r="L28" s="227">
        <v>0.56899999999999995</v>
      </c>
      <c r="M28" s="227">
        <v>0.62</v>
      </c>
      <c r="N28" s="227">
        <v>0.64400000000000002</v>
      </c>
      <c r="O28" s="227"/>
      <c r="P28" s="227"/>
    </row>
    <row r="29" spans="1:16">
      <c r="A29" t="s">
        <v>469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</v>
      </c>
      <c r="K29" s="227">
        <v>0</v>
      </c>
      <c r="L29" s="227">
        <v>0</v>
      </c>
      <c r="M29" s="227">
        <v>0</v>
      </c>
      <c r="N29" s="227">
        <v>0</v>
      </c>
      <c r="O29" s="227"/>
      <c r="P29" s="227"/>
    </row>
    <row r="30" spans="1:16">
      <c r="A30" t="s">
        <v>469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/>
      <c r="P30" s="226"/>
    </row>
    <row r="31" spans="1:16">
      <c r="A31" t="s">
        <v>469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/>
      <c r="P31" s="226"/>
    </row>
    <row r="32" spans="1:16">
      <c r="A32" t="s">
        <v>469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469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469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279.7</v>
      </c>
      <c r="N34" s="229">
        <v>288.10000000000002</v>
      </c>
      <c r="O34" s="229">
        <v>296.7</v>
      </c>
      <c r="P34" s="229"/>
    </row>
    <row r="35" spans="1:16">
      <c r="A35" t="s">
        <v>469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280.7</v>
      </c>
      <c r="N35" s="229">
        <v>289.10000000000002</v>
      </c>
      <c r="O35" s="229">
        <v>297.8</v>
      </c>
      <c r="P35" s="229"/>
    </row>
    <row r="36" spans="1:16">
      <c r="A36" t="s">
        <v>469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281.3</v>
      </c>
      <c r="N36" s="229">
        <v>289.7</v>
      </c>
      <c r="O36" s="229">
        <v>298.39999999999998</v>
      </c>
      <c r="P36" s="229"/>
    </row>
    <row r="37" spans="1:16">
      <c r="A37" t="s">
        <v>469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281.89999999999998</v>
      </c>
      <c r="N37" s="229">
        <v>290.39999999999998</v>
      </c>
      <c r="O37" s="229">
        <v>299.10000000000002</v>
      </c>
      <c r="P37" s="229"/>
    </row>
    <row r="38" spans="1:16">
      <c r="A38" t="s">
        <v>469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283.8</v>
      </c>
      <c r="N38" s="229">
        <v>292.3</v>
      </c>
      <c r="O38" s="229">
        <v>301.10000000000002</v>
      </c>
      <c r="P38" s="229"/>
    </row>
    <row r="39" spans="1:16">
      <c r="A39" t="s">
        <v>469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284.2</v>
      </c>
      <c r="N39" s="229">
        <v>292.7</v>
      </c>
      <c r="O39" s="229">
        <v>301.5</v>
      </c>
      <c r="P39" s="229"/>
    </row>
    <row r="40" spans="1:16">
      <c r="A40" t="s">
        <v>469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284.39999999999998</v>
      </c>
      <c r="N40" s="229">
        <v>292.89999999999998</v>
      </c>
      <c r="O40" s="229">
        <v>301.7</v>
      </c>
      <c r="P40" s="229"/>
    </row>
    <row r="41" spans="1:16">
      <c r="A41" t="s">
        <v>469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284.89999999999998</v>
      </c>
      <c r="N41" s="229">
        <v>293.39999999999998</v>
      </c>
      <c r="O41" s="229">
        <v>302.2</v>
      </c>
      <c r="P41" s="229"/>
    </row>
    <row r="42" spans="1:16">
      <c r="A42" t="s">
        <v>469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287.3</v>
      </c>
      <c r="N42" s="229">
        <v>295.89999999999998</v>
      </c>
      <c r="O42" s="229">
        <v>304.8</v>
      </c>
      <c r="P42" s="229"/>
    </row>
    <row r="43" spans="1:16">
      <c r="A43" t="s">
        <v>469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285.10000000000002</v>
      </c>
      <c r="N43" s="229">
        <v>293.7</v>
      </c>
      <c r="O43" s="229">
        <v>302.5</v>
      </c>
      <c r="P43" s="229"/>
    </row>
    <row r="44" spans="1:16">
      <c r="A44" t="s">
        <v>469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287.3</v>
      </c>
      <c r="N44" s="229">
        <v>295.89999999999998</v>
      </c>
      <c r="O44" s="229">
        <v>304.8</v>
      </c>
      <c r="P44" s="229"/>
    </row>
    <row r="45" spans="1:16">
      <c r="A45" t="s">
        <v>469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287.5</v>
      </c>
      <c r="N45" s="229">
        <v>296.10000000000002</v>
      </c>
      <c r="O45" s="229">
        <v>305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tabSelected="1" zoomScale="80" zoomScaleNormal="80" workbookViewId="0">
      <pane xSplit="7" ySplit="7" topLeftCell="H8" activePane="bottomRight" state="frozen"/>
      <selection pane="topRight"/>
      <selection pane="bottomLeft"/>
      <selection pane="bottomRight" activeCell="H12" sqref="H12"/>
    </sheetView>
  </sheetViews>
  <sheetFormatPr defaultColWidth="0" defaultRowHeight="12.5" zeroHeight="1"/>
  <cols>
    <col min="1" max="3" width="3.08984375" style="30" customWidth="1"/>
    <col min="4" max="4" width="10" style="30" customWidth="1"/>
    <col min="5" max="5" width="45" style="39" customWidth="1"/>
    <col min="6" max="6" width="6" style="30" customWidth="1"/>
    <col min="7" max="7" width="10.08984375" style="30" customWidth="1"/>
    <col min="8" max="8" width="12.08984375" style="30" customWidth="1"/>
    <col min="9" max="16" width="14.54296875" style="30" customWidth="1"/>
    <col min="17" max="21" width="13.54296875" style="30" customWidth="1"/>
    <col min="22" max="22" width="10.54296875" style="45" customWidth="1"/>
    <col min="23" max="24" width="9.08984375" style="30" customWidth="1"/>
    <col min="25" max="25" width="9.08984375" style="30" hidden="1" customWidth="1"/>
    <col min="26" max="27" width="13.08984375" style="30" hidden="1" customWidth="1"/>
    <col min="28" max="16384" width="9.08984375" style="30" hidden="1"/>
  </cols>
  <sheetData>
    <row r="1" spans="1:24" s="2" customFormat="1" ht="32.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 ht="13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 ht="13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 ht="13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 ht="13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4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 ht="13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 ht="13">
      <c r="A11" s="13"/>
      <c r="B11" s="13"/>
      <c r="C11" s="14"/>
      <c r="D11" s="13" t="s">
        <v>6</v>
      </c>
      <c r="E11" s="17" t="s">
        <v>7</v>
      </c>
      <c r="H11" s="23" t="s">
        <v>469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 ht="13">
      <c r="A12" s="13"/>
      <c r="B12" s="13"/>
      <c r="C12" s="14"/>
      <c r="D12" s="13" t="s">
        <v>6</v>
      </c>
      <c r="E12" s="17" t="s">
        <v>9</v>
      </c>
      <c r="H12" s="23" t="str">
        <f>IF(F_Inputs!P4=1,"WoC","WaSC")</f>
        <v>WoC</v>
      </c>
      <c r="I12" s="150" t="s">
        <v>10</v>
      </c>
      <c r="K12" s="24" t="b">
        <f>CompanyType="WoC"</f>
        <v>1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 ht="13">
      <c r="A13" s="13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 ht="13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 ht="13">
      <c r="A15" s="13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IF(CompanyName="BRL","Input value",IF(CompanyEnhanced="Yes",3.7%,3.6%))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 ht="13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4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4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4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 ht="13">
      <c r="E21" s="90" t="s">
        <v>20</v>
      </c>
    </row>
    <row r="22" spans="1:27" s="193" customFormat="1" ht="13">
      <c r="A22" s="3"/>
      <c r="B22" s="3"/>
      <c r="C22" s="3"/>
      <c r="D22" s="3" t="s">
        <v>21</v>
      </c>
      <c r="E22" s="3" t="s">
        <v>22</v>
      </c>
      <c r="F22" s="3"/>
      <c r="G22" s="3"/>
      <c r="H22" s="228">
        <f>F_Inputs!P7</f>
        <v>102.485722071328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 ht="13">
      <c r="A23" s="3"/>
      <c r="B23" s="3"/>
      <c r="C23" s="3"/>
      <c r="D23" s="3" t="s">
        <v>21</v>
      </c>
      <c r="E23" s="3" t="s">
        <v>24</v>
      </c>
      <c r="F23" s="3"/>
      <c r="G23" s="3"/>
      <c r="H23" s="228">
        <f>F_Inputs!P8</f>
        <v>0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 ht="13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 ht="13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 ht="13">
      <c r="A26" s="3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+F_Inputs!J5</f>
        <v>3.7367061406307002E-2</v>
      </c>
      <c r="M26" s="35">
        <f>+F_Inputs!K5</f>
        <v>3.7367061406307002E-2</v>
      </c>
      <c r="N26" s="35">
        <f>+F_Inputs!L5</f>
        <v>3.7367061406307002E-2</v>
      </c>
      <c r="O26" s="35">
        <f>+F_Inputs!M5</f>
        <v>3.7367061406307002E-2</v>
      </c>
      <c r="P26" s="35">
        <f>+F_Inputs!N5</f>
        <v>3.7367061406307002E-2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 ht="13">
      <c r="A27" s="3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+F_Inputs!J6</f>
        <v>0</v>
      </c>
      <c r="M27" s="35">
        <f>+F_Inputs!K6</f>
        <v>0</v>
      </c>
      <c r="N27" s="35">
        <f>+F_Inputs!L6</f>
        <v>0</v>
      </c>
      <c r="O27" s="35">
        <f>+F_Inputs!M6</f>
        <v>0</v>
      </c>
      <c r="P27" s="35">
        <f>+F_Inputs!N6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 ht="13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4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 ht="13">
      <c r="A32" s="30"/>
      <c r="B32" s="30"/>
      <c r="C32" s="31"/>
      <c r="D32" s="3" t="s">
        <v>21</v>
      </c>
      <c r="E32" s="3" t="s">
        <v>34</v>
      </c>
      <c r="F32" s="3"/>
      <c r="G32" s="3"/>
      <c r="H32" s="35">
        <f>F_Inputs!P9</f>
        <v>102.5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 ht="13">
      <c r="A33" s="30"/>
      <c r="B33" s="30"/>
      <c r="C33" s="31"/>
      <c r="D33" s="3" t="s">
        <v>21</v>
      </c>
      <c r="E33" s="3" t="s">
        <v>36</v>
      </c>
      <c r="F33" s="3"/>
      <c r="G33" s="3"/>
      <c r="H33" s="35">
        <f>F_Inputs!P10</f>
        <v>0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4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4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4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 ht="13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 ht="13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 ht="13">
      <c r="A40" s="30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+F_Inputs!J14</f>
        <v>40.859921351818002</v>
      </c>
      <c r="M40" s="35">
        <f>+F_Inputs!K14</f>
        <v>45.069001595829398</v>
      </c>
      <c r="N40" s="35">
        <f>+F_Inputs!L14</f>
        <v>47.377166801180202</v>
      </c>
      <c r="O40" s="35">
        <f>+F_Inputs!M14</f>
        <v>43.756884453545297</v>
      </c>
      <c r="P40" s="35">
        <f>+F_Inputs!N14</f>
        <v>43.4578708793169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 ht="13">
      <c r="A41" s="25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+F_Inputs!J15</f>
        <v>0</v>
      </c>
      <c r="M41" s="35">
        <f>+F_Inputs!K15</f>
        <v>0</v>
      </c>
      <c r="N41" s="35">
        <f>+F_Inputs!L15</f>
        <v>0</v>
      </c>
      <c r="O41" s="35">
        <f>+F_Inputs!M15</f>
        <v>0</v>
      </c>
      <c r="P41" s="35">
        <f>+F_Inputs!N15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 ht="13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 ht="13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 ht="13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 ht="13">
      <c r="A46" s="25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+F_Inputs!J12</f>
        <v>42.480657611500497</v>
      </c>
      <c r="M46" s="35">
        <f>+F_Inputs!K12</f>
        <v>46.686993803929397</v>
      </c>
      <c r="N46" s="35">
        <f>+F_Inputs!L12</f>
        <v>49.009502652268203</v>
      </c>
      <c r="O46" s="35">
        <f>+F_Inputs!M12</f>
        <v>45.366722765293403</v>
      </c>
      <c r="P46" s="35">
        <f>+F_Inputs!N12</f>
        <v>45.065851029462401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 ht="13">
      <c r="A47" s="25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+F_Inputs!J13</f>
        <v>0</v>
      </c>
      <c r="M47" s="35">
        <f>+F_Inputs!K13</f>
        <v>0</v>
      </c>
      <c r="N47" s="35">
        <f>+F_Inputs!L13</f>
        <v>0</v>
      </c>
      <c r="O47" s="35">
        <f>+F_Inputs!M13</f>
        <v>0</v>
      </c>
      <c r="P47" s="35">
        <f>+F_Inputs!N13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4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 ht="13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 ht="13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 ht="13">
      <c r="A52" s="25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+F_Inputs!J16</f>
        <v>43.012</v>
      </c>
      <c r="M52" s="35">
        <f>+F_Inputs!K16</f>
        <v>48.07</v>
      </c>
      <c r="N52" s="35">
        <f>+F_Inputs!L16</f>
        <v>51.204999999999998</v>
      </c>
      <c r="O52" s="35">
        <f>+F_Inputs!M16</f>
        <v>52.487000000000002</v>
      </c>
      <c r="P52" s="35">
        <f>+F_Inputs!N16</f>
        <v>62.45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 ht="13">
      <c r="A53" s="25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+F_Inputs!J17</f>
        <v>0</v>
      </c>
      <c r="M53" s="35">
        <f>+F_Inputs!K17</f>
        <v>0</v>
      </c>
      <c r="N53" s="35">
        <f>+F_Inputs!L17</f>
        <v>0</v>
      </c>
      <c r="O53" s="35">
        <f>+F_Inputs!M17</f>
        <v>0</v>
      </c>
      <c r="P53" s="35">
        <f>+F_Inputs!N17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 ht="13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4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4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4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 ht="13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30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+F_Inputs!J18</f>
        <v>1.3260000000000001</v>
      </c>
      <c r="M60" s="35">
        <f>+F_Inputs!K18</f>
        <v>1.133</v>
      </c>
      <c r="N60" s="35">
        <f>+F_Inputs!L18</f>
        <v>1.5329999999999999</v>
      </c>
      <c r="O60" s="35">
        <f>+F_Inputs!M18</f>
        <v>1.375</v>
      </c>
      <c r="P60" s="35">
        <f>+F_Inputs!N18</f>
        <v>1.4159999999999999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 ht="13">
      <c r="A61" s="30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+F_Inputs!J19</f>
        <v>0</v>
      </c>
      <c r="M61" s="35">
        <f>+F_Inputs!K19</f>
        <v>0</v>
      </c>
      <c r="N61" s="35">
        <f>+F_Inputs!L19</f>
        <v>0</v>
      </c>
      <c r="O61" s="35">
        <f>+F_Inputs!M19</f>
        <v>0</v>
      </c>
      <c r="P61" s="35">
        <f>+F_Inputs!N19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 ht="13">
      <c r="A62" s="30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+F_Inputs!J20</f>
        <v>0.54</v>
      </c>
      <c r="M62" s="35">
        <f>+F_Inputs!K20</f>
        <v>0.54400000000000004</v>
      </c>
      <c r="N62" s="35">
        <f>+F_Inputs!L20</f>
        <v>5.7000000000000002E-2</v>
      </c>
      <c r="O62" s="35">
        <f>+F_Inputs!M20</f>
        <v>0</v>
      </c>
      <c r="P62" s="35">
        <f>+F_Inputs!N20</f>
        <v>0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30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+F_Inputs!J21</f>
        <v>0</v>
      </c>
      <c r="M63" s="35">
        <f>+F_Inputs!K21</f>
        <v>0</v>
      </c>
      <c r="N63" s="35">
        <f>+F_Inputs!L21</f>
        <v>0</v>
      </c>
      <c r="O63" s="35">
        <f>+F_Inputs!M21</f>
        <v>0</v>
      </c>
      <c r="P63" s="35">
        <f>+F_Inputs!N21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 ht="13">
      <c r="A64" s="30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+F_Inputs!J30</f>
        <v>0</v>
      </c>
      <c r="M64" s="230">
        <f>+F_Inputs!K30</f>
        <v>0</v>
      </c>
      <c r="N64" s="230">
        <f>+F_Inputs!L30</f>
        <v>0</v>
      </c>
      <c r="O64" s="230">
        <f>+F_Inputs!M30</f>
        <v>0</v>
      </c>
      <c r="P64" s="230">
        <f>+F_Inputs!N30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 ht="13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30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+F_Inputs!J22</f>
        <v>0</v>
      </c>
      <c r="M66" s="35">
        <f>+F_Inputs!K22</f>
        <v>0</v>
      </c>
      <c r="N66" s="35">
        <f>+F_Inputs!L22</f>
        <v>0</v>
      </c>
      <c r="O66" s="35">
        <f>+F_Inputs!M22</f>
        <v>0</v>
      </c>
      <c r="P66" s="35">
        <f>+F_Inputs!N22</f>
        <v>0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30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+F_Inputs!J23</f>
        <v>0</v>
      </c>
      <c r="M67" s="35">
        <f>+F_Inputs!K23</f>
        <v>0</v>
      </c>
      <c r="N67" s="35">
        <f>+F_Inputs!L23</f>
        <v>0</v>
      </c>
      <c r="O67" s="35">
        <f>+F_Inputs!M23</f>
        <v>0</v>
      </c>
      <c r="P67" s="35">
        <f>+F_Inputs!N23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 ht="13">
      <c r="A68" s="30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+F_Inputs!J24</f>
        <v>0</v>
      </c>
      <c r="M68" s="35">
        <f>+F_Inputs!K24</f>
        <v>0</v>
      </c>
      <c r="N68" s="35">
        <f>+F_Inputs!L24</f>
        <v>0</v>
      </c>
      <c r="O68" s="35">
        <f>+F_Inputs!M24</f>
        <v>0</v>
      </c>
      <c r="P68" s="35">
        <f>+F_Inputs!N24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30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+F_Inputs!J25</f>
        <v>0</v>
      </c>
      <c r="M69" s="35">
        <f>+F_Inputs!K25</f>
        <v>0</v>
      </c>
      <c r="N69" s="35">
        <f>+F_Inputs!L25</f>
        <v>0</v>
      </c>
      <c r="O69" s="35">
        <f>+F_Inputs!M25</f>
        <v>0</v>
      </c>
      <c r="P69" s="35">
        <f>+F_Inputs!N25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 ht="13">
      <c r="A70" s="30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+F_Inputs!J31</f>
        <v>0</v>
      </c>
      <c r="M70" s="230">
        <f>+F_Inputs!K31</f>
        <v>0</v>
      </c>
      <c r="N70" s="230">
        <f>+F_Inputs!L31</f>
        <v>0</v>
      </c>
      <c r="O70" s="230">
        <f>+F_Inputs!M31</f>
        <v>0</v>
      </c>
      <c r="P70" s="230">
        <f>+F_Inputs!N31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 ht="13">
      <c r="A71" s="30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+F_Inputs!J32</f>
        <v>0</v>
      </c>
      <c r="M71" s="230">
        <f>+F_Inputs!K32</f>
        <v>0</v>
      </c>
      <c r="N71" s="230">
        <f>+F_Inputs!L32</f>
        <v>0</v>
      </c>
      <c r="O71" s="230">
        <f>+F_Inputs!M32</f>
        <v>0</v>
      </c>
      <c r="P71" s="230">
        <f>+F_Inputs!N32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 ht="13">
      <c r="A72" s="30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+F_Inputs!J33</f>
        <v>0</v>
      </c>
      <c r="M72" s="230">
        <f>+F_Inputs!K33</f>
        <v>0</v>
      </c>
      <c r="N72" s="230">
        <f>+F_Inputs!L33</f>
        <v>0</v>
      </c>
      <c r="O72" s="230">
        <f>+F_Inputs!M33</f>
        <v>0</v>
      </c>
      <c r="P72" s="230">
        <f>+F_Inputs!N33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 ht="13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 ht="13">
      <c r="A75" s="30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F_Inputs!I26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 ht="13">
      <c r="A76" s="30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 ht="13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 ht="13">
      <c r="A78" s="30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F_Inputs!I27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 ht="13">
      <c r="A79" s="30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5"/>
    <row r="81" spans="1:24" s="22" customFormat="1" ht="14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3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4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3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 ht="13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 ht="13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 ht="13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 ht="13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 ht="13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 ht="13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 ht="13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 ht="13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 ht="13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 ht="13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 ht="13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 ht="13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 ht="13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 ht="13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 ht="13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 ht="13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 ht="13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 ht="13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 ht="13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 ht="13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 ht="13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 ht="13">
      <c r="E107" s="54" t="s">
        <v>118</v>
      </c>
      <c r="I107" s="58"/>
    </row>
    <row r="108" spans="1:24" s="3" customFormat="1" ht="13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 ht="13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4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 ht="13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 ht="13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 ht="13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 ht="13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 ht="13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 ht="13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 ht="13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 ht="13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 ht="13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 ht="13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4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 ht="13">
      <c r="D125" s="30" t="s">
        <v>15</v>
      </c>
      <c r="E125" s="39" t="s">
        <v>142</v>
      </c>
      <c r="F125" s="33"/>
      <c r="L125" s="179">
        <f>+F_Inputs!J28</f>
        <v>0.59799999999999998</v>
      </c>
      <c r="M125" s="179">
        <f>+F_Inputs!K28</f>
        <v>0.58399999999999996</v>
      </c>
      <c r="N125" s="179">
        <f>+F_Inputs!L28</f>
        <v>0.56899999999999995</v>
      </c>
      <c r="O125" s="179">
        <f>+F_Inputs!M28</f>
        <v>0.62</v>
      </c>
      <c r="P125" s="179">
        <f>+F_Inputs!N28</f>
        <v>0.64400000000000002</v>
      </c>
      <c r="Q125" s="61" t="s">
        <v>143</v>
      </c>
    </row>
    <row r="126" spans="1:27" ht="13">
      <c r="D126" s="30" t="s">
        <v>15</v>
      </c>
      <c r="E126" s="39" t="s">
        <v>144</v>
      </c>
      <c r="F126" s="33"/>
      <c r="L126" s="179">
        <f>+F_Inputs!J29</f>
        <v>0</v>
      </c>
      <c r="M126" s="179">
        <f>+F_Inputs!K29</f>
        <v>0</v>
      </c>
      <c r="N126" s="179">
        <f>+F_Inputs!L29</f>
        <v>0</v>
      </c>
      <c r="O126" s="179">
        <f>+F_Inputs!M29</f>
        <v>0</v>
      </c>
      <c r="P126" s="179">
        <f>+F_Inputs!N29</f>
        <v>0</v>
      </c>
      <c r="Q126" s="61" t="s">
        <v>145</v>
      </c>
    </row>
    <row r="127" spans="1:27"/>
    <row r="128" spans="1:27" s="22" customFormat="1" ht="14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0.49499999999999994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1.0062500000000001</v>
      </c>
    </row>
    <row r="133" spans="1:24" ht="14.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 ht="13">
      <c r="E139" s="49" t="s">
        <v>154</v>
      </c>
      <c r="V139" s="30"/>
    </row>
    <row r="140" spans="1:24" ht="13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4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3">
      <c r="D143" s="3"/>
      <c r="F143" s="33"/>
      <c r="Q143" s="61"/>
      <c r="V143" s="30"/>
    </row>
    <row r="144" spans="1:24" ht="13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 ht="13">
      <c r="D145" s="3"/>
      <c r="F145" s="33"/>
      <c r="Q145" s="61"/>
      <c r="V145" s="30"/>
    </row>
    <row r="146" spans="1:27" ht="13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 ht="13">
      <c r="E148" s="30"/>
      <c r="F148" s="33"/>
      <c r="Q148" s="61"/>
      <c r="V148" s="30"/>
    </row>
    <row r="149" spans="1:27" s="22" customFormat="1" ht="14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 ht="13">
      <c r="D150" s="3"/>
      <c r="F150" s="33"/>
      <c r="Q150" s="61"/>
      <c r="V150" s="30"/>
    </row>
    <row r="151" spans="1:27" ht="13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.5" thickBot="1">
      <c r="E152" s="30"/>
      <c r="F152" s="33"/>
      <c r="Q152" s="61"/>
      <c r="V152" s="30"/>
    </row>
    <row r="153" spans="1:27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X18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54296875" style="3" customWidth="1"/>
    <col min="4" max="4" width="9.36328125" style="3" bestFit="1" customWidth="1"/>
    <col min="5" max="5" width="49.7265625" style="91" customWidth="1"/>
    <col min="6" max="6" width="20.36328125" style="91" customWidth="1"/>
    <col min="7" max="7" width="14.54296875" style="91" customWidth="1"/>
    <col min="8" max="8" width="14.36328125" style="3" customWidth="1"/>
    <col min="9" max="9" width="11.36328125" style="3" customWidth="1"/>
    <col min="10" max="10" width="11.54296875" style="3" customWidth="1"/>
    <col min="11" max="17" width="11.08984375" style="3" customWidth="1"/>
    <col min="18" max="20" width="11.54296875" style="3" customWidth="1"/>
    <col min="21" max="21" width="9.54296875" style="3" customWidth="1"/>
    <col min="22" max="22" width="3.54296875" style="3" customWidth="1"/>
    <col min="23" max="23" width="106.08984375" style="3" bestFit="1" customWidth="1"/>
    <col min="24" max="24" width="3.54296875" style="74" customWidth="1"/>
    <col min="25" max="25" width="13.54296875" style="3" hidden="1" customWidth="1"/>
    <col min="26" max="38" width="9.08984375" style="3" hidden="1" customWidth="1"/>
    <col min="39" max="39" width="10.08984375" style="3" hidden="1" customWidth="1"/>
    <col min="40" max="16384" width="9.08984375" style="3" hidden="1"/>
  </cols>
  <sheetData>
    <row r="1" spans="1:29" s="2" customFormat="1" ht="32.5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 ht="13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 ht="13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4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4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 ht="13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40.565184761660021</v>
      </c>
      <c r="M14" s="50">
        <f>Actual.Totex.Water/Indexation.Average</f>
        <v>44.384517437655262</v>
      </c>
      <c r="N14" s="50">
        <f>Actual.Totex.Water/Indexation.Average</f>
        <v>45.573676225408462</v>
      </c>
      <c r="O14" s="50">
        <f>Actual.Totex.Water/Indexation.Average</f>
        <v>45.217887004489299</v>
      </c>
      <c r="P14" s="50">
        <f>Actual.Totex.Water/Indexation.Average</f>
        <v>52.23618169904848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 ht="13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1.7598492226647819</v>
      </c>
      <c r="M18" s="50">
        <f>SUM(INDEX(Actual.Exclusions.Water,,M6))/Indexation.Average</f>
        <v>1.5484259567910936</v>
      </c>
      <c r="N18" s="50">
        <f>SUM(INDEX(Actual.Exclusions.Water,,N6))/Indexation.Average</f>
        <v>1.4151380763284729</v>
      </c>
      <c r="O18" s="50">
        <f>SUM(INDEX(Actual.Exclusions.Water,,O6))/Indexation.Average</f>
        <v>1.1845713153956747</v>
      </c>
      <c r="P18" s="50">
        <f>SUM(INDEX(Actual.Exclusions.Water,,P6))/Indexation.Average</f>
        <v>1.1844104609423962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0</v>
      </c>
      <c r="M19" s="221">
        <f>SUM(Inputs!M66:M72)/Indexation.Average</f>
        <v>0</v>
      </c>
      <c r="N19" s="221">
        <f>SUM(Inputs!N66:N72)/Indexation.Average</f>
        <v>0</v>
      </c>
      <c r="O19" s="221">
        <f>SUM(Inputs!O66:O72)/Indexation.Average</f>
        <v>0</v>
      </c>
      <c r="P19" s="221">
        <f>SUM(Inputs!P66:P72)/Indexation.Average</f>
        <v>0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 ht="13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 ht="13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 ht="13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 ht="13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38.805335538995237</v>
      </c>
      <c r="M30" s="221">
        <f t="shared" ref="M30:P30" si="2">M14-M18+M22</f>
        <v>42.83609148086417</v>
      </c>
      <c r="N30" s="221">
        <f t="shared" si="2"/>
        <v>44.158538149079988</v>
      </c>
      <c r="O30" s="221">
        <f t="shared" si="2"/>
        <v>44.033315689093627</v>
      </c>
      <c r="P30" s="221">
        <f t="shared" si="2"/>
        <v>51.051771238106085</v>
      </c>
      <c r="Q30" s="59" t="s">
        <v>178</v>
      </c>
      <c r="R30" s="3"/>
      <c r="S30" s="3"/>
      <c r="T30" s="3"/>
      <c r="X30" s="76"/>
    </row>
    <row r="31" spans="1:24" s="75" customFormat="1" ht="13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0</v>
      </c>
      <c r="M31" s="221">
        <f t="shared" ref="M31:P31" si="3">M15-M19+M23</f>
        <v>0</v>
      </c>
      <c r="N31" s="221">
        <f t="shared" si="3"/>
        <v>0</v>
      </c>
      <c r="O31" s="221">
        <f t="shared" si="3"/>
        <v>0</v>
      </c>
      <c r="P31" s="221">
        <f t="shared" si="3"/>
        <v>0</v>
      </c>
      <c r="Q31" s="59" t="s">
        <v>180</v>
      </c>
      <c r="R31" s="3"/>
      <c r="S31" s="3"/>
      <c r="T31" s="3"/>
      <c r="X31" s="76"/>
    </row>
    <row r="32" spans="1:24" s="75" customFormat="1" ht="13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38.805335538995237</v>
      </c>
      <c r="M32" s="81">
        <f>SUM(M30:M31)</f>
        <v>42.83609148086417</v>
      </c>
      <c r="N32" s="81">
        <f t="shared" ref="N32:P32" si="4">SUM(N30:N31)</f>
        <v>44.158538149079988</v>
      </c>
      <c r="O32" s="81">
        <f t="shared" si="4"/>
        <v>44.033315689093627</v>
      </c>
      <c r="P32" s="81">
        <f t="shared" si="4"/>
        <v>51.051771238106085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4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4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 ht="13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 ht="13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 ht="13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 ht="13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 ht="13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 ht="13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 ht="13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4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 ht="13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 ht="13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0.49502855585734395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 ht="13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100.621430517832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 ht="13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-0.31380466602394286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 ht="13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 ht="13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0.54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 ht="13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95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 ht="13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2.3000000000000007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4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 ht="13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 ht="13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0.49499999999999994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 ht="13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100.625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 ht="13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-0.31562499999999982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 ht="13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 ht="13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0.54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 ht="13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95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 ht="13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2.3000000000000007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4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4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 ht="13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1.0016515763592071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100.16515763592071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 ht="13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-8.8003029780749809E-2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-8.8003029780749813E-4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 ht="13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0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53.600000000000009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0.53600000000000003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4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 ht="13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-0.19406502497000064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0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 ht="13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-0.1282203397357182</v>
      </c>
      <c r="M97" s="153">
        <f>FD.AddInc.Coeff.Water/100*Baseline.Totex.Water</f>
        <v>-0.14142862993811792</v>
      </c>
      <c r="N97" s="153">
        <f>FD.AddInc.Coeff.Water/100*Baseline.Totex.Water</f>
        <v>-0.14867176005204985</v>
      </c>
      <c r="O97" s="153">
        <f>FD.AddInc.Coeff.Water/100*Baseline.Totex.Water</f>
        <v>-0.13731114512193038</v>
      </c>
      <c r="P97" s="153">
        <f>FD.AddInc.Coeff.Water/100*Baseline.Totex.Water</f>
        <v>-0.13637282657395672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0</v>
      </c>
      <c r="M98" s="153">
        <f>FD.AddInc.Coeff.Sewerage/100*Baseline.Totex.Sewerage</f>
        <v>0</v>
      </c>
      <c r="N98" s="153">
        <f>FD.AddInc.Coeff.Sewerage/100*Baseline.Totex.Sewerage</f>
        <v>0</v>
      </c>
      <c r="O98" s="153">
        <f>FD.AddInc.Coeff.Sewerage/100*Baseline.Totex.Sewerage</f>
        <v>0</v>
      </c>
      <c r="P98" s="153">
        <f>FD.AddInc.Coeff.Sewerage/100*Baseline.Totex.Sewerage</f>
        <v>0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 ht="13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0.49793967645177251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0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 ht="13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9.2262370980086855E-2</v>
      </c>
      <c r="M105" s="153">
        <f>IF(SUM(Baseline.Totex.Water)=0,0,$G101*(Baseline.Totex.Water/SUM(Baseline.Totex.Water)))</f>
        <v>0.10176654304185358</v>
      </c>
      <c r="N105" s="153">
        <f>IF(SUM(Baseline.Totex.Water)=0,0,$G101*(Baseline.Totex.Water/SUM(Baseline.Totex.Water)))</f>
        <v>0.10697841784273174</v>
      </c>
      <c r="O105" s="153">
        <f>IF(SUM(Baseline.Totex.Water)=0,0,$G101*(Baseline.Totex.Water/SUM(Baseline.Totex.Water)))</f>
        <v>9.8803761065148654E-2</v>
      </c>
      <c r="P105" s="153">
        <f>IF(SUM(Baseline.Totex.Water)=0,0,$G101*(Baseline.Totex.Water/SUM(Baseline.Totex.Water)))</f>
        <v>9.8128583521951682E-2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0</v>
      </c>
      <c r="M106" s="153">
        <f>IF(SUM(Baseline.Totex.Sewerage)=0,0,$G102*(Baseline.Totex.Sewerage/SUM(Baseline.Totex.Sewerage)))</f>
        <v>0</v>
      </c>
      <c r="N106" s="153">
        <f>IF(SUM(Baseline.Totex.Sewerage)=0,0,$G102*(Baseline.Totex.Sewerage/SUM(Baseline.Totex.Sewerage)))</f>
        <v>0</v>
      </c>
      <c r="O106" s="153">
        <f>IF(SUM(Baseline.Totex.Sewerage)=0,0,$G102*(Baseline.Totex.Sewerage/SUM(Baseline.Totex.Sewerage)))</f>
        <v>0</v>
      </c>
      <c r="P106" s="153">
        <f>IF(SUM(Baseline.Totex.Sewerage)=0,0,$G102*(Baseline.Totex.Sewerage/SUM(Baseline.Totex.Sewerage)))</f>
        <v>0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 ht="13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0.10628295793603681</v>
      </c>
      <c r="M109" s="153">
        <f>M105*(1+WACC)^Calcs!M7</f>
        <v>0.11315774602955266</v>
      </c>
      <c r="N109" s="153">
        <f>N105*(1+WACC)^Calcs!N7</f>
        <v>0.1148195079569326</v>
      </c>
      <c r="O109" s="153">
        <f>O105*(1+WACC)^Calcs!O7</f>
        <v>0.10236069646349401</v>
      </c>
      <c r="P109" s="153">
        <f>P105*(1+WACC)^Calcs!P7</f>
        <v>9.8128583521951682E-2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0</v>
      </c>
      <c r="M110" s="153">
        <f>M106*(1+WACC)^Calcs!M7</f>
        <v>0</v>
      </c>
      <c r="N110" s="153">
        <f>N106*(1+WACC)^Calcs!N7</f>
        <v>0</v>
      </c>
      <c r="O110" s="153">
        <f>O106*(1+WACC)^Calcs!O7</f>
        <v>0</v>
      </c>
      <c r="P110" s="153">
        <f>P106*(1+WACC)^Calcs!P7</f>
        <v>0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 ht="13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0.53474949190796772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0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4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 ht="13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 ht="13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 ht="13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 ht="13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 ht="13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 ht="13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4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 ht="13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41.113837372660349</v>
      </c>
      <c r="M136" s="153">
        <f>Baseline.Totex.Water*(FD.AllExp.Coeff.Water/100)</f>
        <v>45.349074125828068</v>
      </c>
      <c r="N136" s="153">
        <f>Baseline.Totex.Water*(FD.AllExp.Coeff.Water/100)</f>
        <v>47.671582974166903</v>
      </c>
      <c r="O136" s="153">
        <f>Baseline.Totex.Water*(FD.AllExp.Coeff.Water/100)</f>
        <v>44.028803087192109</v>
      </c>
      <c r="P136" s="153">
        <f>Baseline.Totex.Water*(FD.AllExp.Coeff.Water/100)</f>
        <v>43.727931351360994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0</v>
      </c>
      <c r="M137" s="153">
        <f>Baseline.Totex.Sewerage*(FD.AllExp.Coeff.Sewerage/100)</f>
        <v>0</v>
      </c>
      <c r="N137" s="153">
        <f>Baseline.Totex.Sewerage*(FD.AllExp.Coeff.Sewerage/100)</f>
        <v>0</v>
      </c>
      <c r="O137" s="153">
        <f>Baseline.Totex.Sewerage*(FD.AllExp.Coeff.Sewerage/100)</f>
        <v>0</v>
      </c>
      <c r="P137" s="153">
        <f>Baseline.Totex.Sewerage*(FD.AllExp.Coeff.Sewerage/100)</f>
        <v>0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 ht="13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42.480657611500497</v>
      </c>
      <c r="M140" s="153">
        <f>Inputs!M46</f>
        <v>46.686993803929397</v>
      </c>
      <c r="N140" s="153">
        <f>Inputs!N46</f>
        <v>49.009502652268203</v>
      </c>
      <c r="O140" s="153">
        <f>Inputs!O46</f>
        <v>45.366722765293403</v>
      </c>
      <c r="P140" s="153">
        <f>Inputs!P46</f>
        <v>45.065851029462401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0</v>
      </c>
      <c r="M141" s="153">
        <f>Inputs!M47</f>
        <v>0</v>
      </c>
      <c r="N141" s="153">
        <f>Inputs!N47</f>
        <v>0</v>
      </c>
      <c r="O141" s="153">
        <f>Inputs!O47</f>
        <v>0</v>
      </c>
      <c r="P141" s="153">
        <f>Inputs!P47</f>
        <v>0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 ht="13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1.3668202388401482</v>
      </c>
      <c r="M144" s="153">
        <f t="shared" ref="M144:P144" si="5">M140-M136</f>
        <v>1.3379196781013292</v>
      </c>
      <c r="N144" s="153">
        <f t="shared" si="5"/>
        <v>1.3379196781013007</v>
      </c>
      <c r="O144" s="153">
        <f t="shared" si="5"/>
        <v>1.3379196781012936</v>
      </c>
      <c r="P144" s="153">
        <f t="shared" si="5"/>
        <v>1.3379196781014073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</v>
      </c>
      <c r="M145" s="153">
        <f t="shared" ref="M145:P145" si="6">M141-M137</f>
        <v>0</v>
      </c>
      <c r="N145" s="153">
        <f t="shared" si="6"/>
        <v>0</v>
      </c>
      <c r="O145" s="153">
        <f t="shared" si="6"/>
        <v>0</v>
      </c>
      <c r="P145" s="153">
        <f t="shared" si="6"/>
        <v>0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 ht="13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 ht="13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41.115295860266869</v>
      </c>
      <c r="M148" s="153">
        <f>Baseline.Totex.Water*(AllExp.Coeff.Water/100)</f>
        <v>45.350682855803335</v>
      </c>
      <c r="N148" s="153">
        <f>Baseline.Totex.Water*(AllExp.Coeff.Water/100)</f>
        <v>47.673274093687581</v>
      </c>
      <c r="O148" s="153">
        <f>Baseline.Totex.Water*(AllExp.Coeff.Water/100)</f>
        <v>44.030364981379961</v>
      </c>
      <c r="P148" s="153">
        <f>Baseline.Totex.Water*(AllExp.Coeff.Water/100)</f>
        <v>43.729482572312634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 ht="13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0</v>
      </c>
      <c r="M149" s="153">
        <f>Baseline.Totex.Sewerage*(AllExp.Coeff.Sewerage/100)</f>
        <v>0</v>
      </c>
      <c r="N149" s="153">
        <f>Baseline.Totex.Sewerage*(AllExp.Coeff.Sewerage/100)</f>
        <v>0</v>
      </c>
      <c r="O149" s="153">
        <f>Baseline.Totex.Sewerage*(AllExp.Coeff.Sewerage/100)</f>
        <v>0</v>
      </c>
      <c r="P149" s="153">
        <f>Baseline.Totex.Sewerage*(AllExp.Coeff.Sewerage/100)</f>
        <v>0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 ht="13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42.482116099107017</v>
      </c>
      <c r="M152" s="153">
        <f t="shared" ref="M152:P152" si="7">M148+M144</f>
        <v>46.688602533904664</v>
      </c>
      <c r="N152" s="153">
        <f t="shared" si="7"/>
        <v>49.011193771788882</v>
      </c>
      <c r="O152" s="153">
        <f t="shared" si="7"/>
        <v>45.368284659481255</v>
      </c>
      <c r="P152" s="153">
        <f t="shared" si="7"/>
        <v>45.067402250414041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0</v>
      </c>
      <c r="M153" s="153">
        <f t="shared" ref="M153:P153" si="8">M149+M145</f>
        <v>0</v>
      </c>
      <c r="N153" s="153">
        <f t="shared" si="8"/>
        <v>0</v>
      </c>
      <c r="O153" s="153">
        <f t="shared" si="8"/>
        <v>0</v>
      </c>
      <c r="P153" s="153">
        <f t="shared" si="8"/>
        <v>0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 ht="13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1.4584876065200092E-3</v>
      </c>
      <c r="M156" s="153">
        <f t="shared" si="9"/>
        <v>1.6087299752669537E-3</v>
      </c>
      <c r="N156" s="153">
        <f t="shared" si="9"/>
        <v>1.6911195206787966E-3</v>
      </c>
      <c r="O156" s="153">
        <f t="shared" si="9"/>
        <v>1.5618941878514647E-3</v>
      </c>
      <c r="P156" s="153">
        <f t="shared" si="9"/>
        <v>1.5512209516401754E-3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0</v>
      </c>
      <c r="M157" s="153">
        <f t="shared" si="9"/>
        <v>0</v>
      </c>
      <c r="N157" s="153">
        <f t="shared" si="9"/>
        <v>0</v>
      </c>
      <c r="O157" s="153">
        <f t="shared" si="9"/>
        <v>0</v>
      </c>
      <c r="P157" s="153">
        <f t="shared" si="9"/>
        <v>0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4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 ht="13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 ht="13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-2.3099603212716318</v>
      </c>
      <c r="M162" s="218">
        <f>(Actual.Totex.Water-SUM(Inputs!M60:M64))/Indexation.Average-M148</f>
        <v>-2.5145913749391653</v>
      </c>
      <c r="N162" s="218">
        <f>(Actual.Totex.Water-SUM(Inputs!N60:N64))/Indexation.Average-N148</f>
        <v>-3.5147359446075939</v>
      </c>
      <c r="O162" s="218">
        <f>(Actual.Totex.Water-SUM(Inputs!O60:O64))/Indexation.Average-O148</f>
        <v>2.950707713665679E-3</v>
      </c>
      <c r="P162" s="218">
        <f>(Actual.Totex.Water-SUM(Inputs!P60:P64))/Indexation.Average-P148</f>
        <v>7.3222886657934509</v>
      </c>
      <c r="Q162" s="161"/>
      <c r="R162" s="3"/>
      <c r="S162" s="3"/>
      <c r="T162" s="3"/>
      <c r="W162" s="211" t="s">
        <v>279</v>
      </c>
      <c r="X162" s="76"/>
    </row>
    <row r="163" spans="1:24" s="75" customFormat="1" ht="13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0</v>
      </c>
      <c r="M163" s="218">
        <f>(Actual.Totex.Sewerage-SUM(Inputs!M66:M72))/Indexation.Average-M149</f>
        <v>0</v>
      </c>
      <c r="N163" s="218">
        <f>(Actual.Totex.Sewerage-SUM(Inputs!N66:N72))/Indexation.Average-N149</f>
        <v>0</v>
      </c>
      <c r="O163" s="218">
        <f>(Actual.Totex.Sewerage-SUM(Inputs!O66:O72))/Indexation.Average-O149</f>
        <v>0</v>
      </c>
      <c r="P163" s="218">
        <f>(Actual.Totex.Sewerage-SUM(Inputs!P66:P72))/Indexation.Average-P149</f>
        <v>0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 ht="13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 ht="13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-2.3085018336651117</v>
      </c>
      <c r="M166" s="153">
        <f t="shared" ref="L166:P167" si="10">M162+M156</f>
        <v>-2.5129826449638983</v>
      </c>
      <c r="N166" s="153">
        <f t="shared" si="10"/>
        <v>-3.5130448250869151</v>
      </c>
      <c r="O166" s="153">
        <f t="shared" si="10"/>
        <v>4.5126019015171437E-3</v>
      </c>
      <c r="P166" s="153">
        <f t="shared" si="10"/>
        <v>7.3238398867450911</v>
      </c>
      <c r="Q166" s="89" t="s">
        <v>283</v>
      </c>
      <c r="R166" s="3"/>
      <c r="S166" s="3"/>
      <c r="T166" s="3"/>
      <c r="X166" s="76"/>
    </row>
    <row r="167" spans="1:24" s="75" customFormat="1" ht="13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0</v>
      </c>
      <c r="M167" s="153">
        <f t="shared" si="10"/>
        <v>0</v>
      </c>
      <c r="N167" s="153">
        <f t="shared" si="10"/>
        <v>0</v>
      </c>
      <c r="O167" s="153">
        <f t="shared" si="10"/>
        <v>0</v>
      </c>
      <c r="P167" s="153">
        <f t="shared" si="10"/>
        <v>0</v>
      </c>
      <c r="Q167" s="89" t="s">
        <v>285</v>
      </c>
      <c r="R167" s="3"/>
      <c r="S167" s="3"/>
      <c r="T167" s="3"/>
      <c r="X167" s="76"/>
    </row>
    <row r="168" spans="1:24" s="75" customFormat="1" ht="13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 ht="13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-2.6593117072142896</v>
      </c>
      <c r="M170" s="153">
        <f>M166*(1+WACC)^Calcs!M7</f>
        <v>-2.7942724928619027</v>
      </c>
      <c r="N170" s="153">
        <f>N166*(1+WACC)^Calcs!N7</f>
        <v>-3.7705369585864856</v>
      </c>
      <c r="O170" s="153">
        <f>O166*(1+WACC)^Calcs!O7</f>
        <v>4.6750555699717608E-3</v>
      </c>
      <c r="P170" s="153">
        <f>P166*(1+WACC)^Calcs!P7</f>
        <v>7.3238398867450911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0</v>
      </c>
      <c r="M171" s="153">
        <f>M167*(1+WACC)^Calcs!M7</f>
        <v>0</v>
      </c>
      <c r="N171" s="153">
        <f>N167*(1+WACC)^Calcs!N7</f>
        <v>0</v>
      </c>
      <c r="O171" s="153">
        <f>O167*(1+WACC)^Calcs!O7</f>
        <v>0</v>
      </c>
      <c r="P171" s="153">
        <f>P167*(1+WACC)^Calcs!P7</f>
        <v>0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 ht="13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 ht="13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-1.8956062163476144</v>
      </c>
      <c r="Q174" s="89"/>
      <c r="R174" s="3"/>
      <c r="S174" s="3"/>
      <c r="T174" s="3"/>
      <c r="X174" s="76"/>
    </row>
    <row r="175" spans="1:24" s="75" customFormat="1" ht="13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0</v>
      </c>
      <c r="Q175" s="89"/>
      <c r="R175" s="3"/>
      <c r="S175" s="3"/>
      <c r="T175" s="3"/>
      <c r="X175" s="76"/>
    </row>
    <row r="176" spans="1:24" s="75" customFormat="1" ht="13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4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 ht="13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 ht="13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 ht="13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 ht="13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 ht="13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 ht="13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 ht="13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4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4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 ht="13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0.60233886265262715</v>
      </c>
      <c r="H192" s="89" t="s">
        <v>302</v>
      </c>
    </row>
    <row r="193" spans="1:24" ht="13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</v>
      </c>
      <c r="H193" s="89" t="s">
        <v>304</v>
      </c>
    </row>
    <row r="194" spans="1:24"/>
    <row r="195" spans="1:24" s="22" customFormat="1" ht="14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-0.60704780048410412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4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-0.75380892395554244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0</v>
      </c>
    </row>
    <row r="204" spans="1:24"/>
    <row r="205" spans="1:24" ht="13" thickBot="1"/>
    <row r="206" spans="1:24" ht="13.5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O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17.90625" style="7" customWidth="1"/>
    <col min="7" max="7" width="11.54296875" style="7" customWidth="1"/>
    <col min="8" max="8" width="4.08984375" style="7" customWidth="1"/>
    <col min="9" max="21" width="13.08984375" style="7" customWidth="1"/>
    <col min="22" max="22" width="15.90625" style="7" bestFit="1" customWidth="1"/>
    <col min="23" max="16384" width="9.08984375" style="7" hidden="1"/>
  </cols>
  <sheetData>
    <row r="1" spans="1:24" ht="32.5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3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3">
      <c r="V4" s="96"/>
    </row>
    <row r="5" spans="1:24" ht="13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3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5"/>
    <row r="8" spans="1:24" ht="12.5"/>
    <row r="9" spans="1:24" s="22" customFormat="1" ht="14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5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5">
      <c r="A11" s="72"/>
      <c r="D11" s="30" t="s">
        <v>41</v>
      </c>
      <c r="E11" s="91" t="s">
        <v>306</v>
      </c>
      <c r="F11" s="33" t="s">
        <v>28</v>
      </c>
      <c r="P11" s="88">
        <f>Calcs!P197</f>
        <v>-0.60704780048410412</v>
      </c>
      <c r="X11" s="74"/>
    </row>
    <row r="12" spans="1:24" s="3" customFormat="1" ht="12.5">
      <c r="A12" s="72"/>
      <c r="D12" s="30" t="s">
        <v>41</v>
      </c>
      <c r="E12" s="91" t="s">
        <v>307</v>
      </c>
      <c r="F12" s="33" t="s">
        <v>28</v>
      </c>
      <c r="P12" s="88">
        <f>Calcs!P198</f>
        <v>0</v>
      </c>
      <c r="X12" s="74"/>
    </row>
    <row r="13" spans="1:24" s="3" customFormat="1" ht="12.5">
      <c r="E13" s="91"/>
      <c r="F13" s="33"/>
      <c r="P13" s="153"/>
      <c r="X13" s="74"/>
    </row>
    <row r="14" spans="1:24" s="3" customFormat="1" ht="13">
      <c r="A14" s="72"/>
      <c r="D14" s="30" t="s">
        <v>41</v>
      </c>
      <c r="E14" s="78" t="s">
        <v>316</v>
      </c>
      <c r="F14" s="33" t="s">
        <v>28</v>
      </c>
      <c r="P14" s="156">
        <f>SUM(P11:P12)</f>
        <v>-0.60704780048410412</v>
      </c>
      <c r="X14" s="74"/>
    </row>
    <row r="15" spans="1:24" s="3" customFormat="1" ht="12.5">
      <c r="E15" s="91"/>
      <c r="F15" s="91"/>
      <c r="G15" s="91"/>
      <c r="X15" s="74"/>
    </row>
    <row r="16" spans="1:24" s="22" customFormat="1" ht="14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5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5">
      <c r="A18" s="72"/>
      <c r="D18" s="30" t="s">
        <v>41</v>
      </c>
      <c r="E18" s="91" t="s">
        <v>309</v>
      </c>
      <c r="F18" s="33" t="s">
        <v>28</v>
      </c>
      <c r="P18" s="88">
        <f>Calcs!P202</f>
        <v>-0.75380892395554244</v>
      </c>
      <c r="X18" s="74"/>
    </row>
    <row r="19" spans="1:24" s="3" customFormat="1" ht="12.5">
      <c r="A19" s="72"/>
      <c r="D19" s="30" t="s">
        <v>41</v>
      </c>
      <c r="E19" s="91" t="s">
        <v>310</v>
      </c>
      <c r="F19" s="33" t="s">
        <v>28</v>
      </c>
      <c r="P19" s="88">
        <f>Calcs!P203</f>
        <v>0</v>
      </c>
      <c r="X19" s="74"/>
    </row>
    <row r="20" spans="1:24" customFormat="1" ht="14.5">
      <c r="G20" s="7"/>
    </row>
    <row r="21" spans="1:24" s="3" customFormat="1" ht="13">
      <c r="A21" s="72"/>
      <c r="D21" s="30" t="s">
        <v>41</v>
      </c>
      <c r="E21" s="78" t="s">
        <v>318</v>
      </c>
      <c r="F21" s="33" t="s">
        <v>28</v>
      </c>
      <c r="P21" s="156">
        <f>SUM(P18:P19)</f>
        <v>-0.75380892395554244</v>
      </c>
      <c r="X21" s="74"/>
    </row>
    <row r="22" spans="1:24" ht="13" thickBot="1"/>
    <row r="23" spans="1:24" ht="13.5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5"/>
    <row r="25" spans="1:24" ht="12.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-0.75380892395554244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pane xSplit="3" ySplit="2" topLeftCell="E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.90625" style="262" customWidth="1"/>
    <col min="2" max="2" width="20.54296875" style="262" customWidth="1"/>
    <col min="3" max="3" width="22.90625" style="262" customWidth="1"/>
    <col min="4" max="4" width="3.26953125" style="262" customWidth="1"/>
    <col min="5" max="5" width="15.26953125" style="262" customWidth="1"/>
    <col min="6" max="6" width="7.36328125" style="262" customWidth="1"/>
    <col min="7" max="7" width="14.08984375" style="262" customWidth="1"/>
    <col min="8" max="16384" width="8.90625" style="262"/>
  </cols>
  <sheetData>
    <row r="1" spans="1:7">
      <c r="C1" s="262" t="s">
        <v>468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7">
      <c r="B4" s="262" t="s">
        <v>435</v>
      </c>
      <c r="C4" s="91" t="s">
        <v>306</v>
      </c>
      <c r="D4" s="262" t="s">
        <v>381</v>
      </c>
      <c r="E4" s="262" t="s">
        <v>404</v>
      </c>
      <c r="F4" s="265"/>
      <c r="G4" s="266">
        <f>'Totex menu adjustments'!P11</f>
        <v>-0.60704780048410412</v>
      </c>
    </row>
    <row r="5" spans="1:7">
      <c r="B5" s="262" t="s">
        <v>437</v>
      </c>
      <c r="C5" s="91" t="s">
        <v>307</v>
      </c>
      <c r="D5" s="262" t="s">
        <v>381</v>
      </c>
      <c r="E5" s="262" t="s">
        <v>404</v>
      </c>
      <c r="F5" s="266"/>
      <c r="G5" s="266">
        <f>'Totex menu adjustments'!P12</f>
        <v>0</v>
      </c>
    </row>
    <row r="6" spans="1:7">
      <c r="B6" s="262" t="s">
        <v>463</v>
      </c>
      <c r="C6" s="264" t="s">
        <v>464</v>
      </c>
      <c r="D6" s="262" t="s">
        <v>381</v>
      </c>
      <c r="E6" s="262" t="s">
        <v>404</v>
      </c>
      <c r="F6" s="266"/>
      <c r="G6" s="266">
        <f>'Totex menu adjustments'!P14</f>
        <v>-0.60704780048410412</v>
      </c>
    </row>
    <row r="7" spans="1:7">
      <c r="B7" s="262" t="s">
        <v>436</v>
      </c>
      <c r="C7" s="91" t="s">
        <v>309</v>
      </c>
      <c r="D7" s="262" t="s">
        <v>381</v>
      </c>
      <c r="E7" s="262" t="s">
        <v>404</v>
      </c>
      <c r="F7" s="266">
        <f>'Totex menu adjustments'!P18</f>
        <v>-0.75380892395554244</v>
      </c>
      <c r="G7" s="266"/>
    </row>
    <row r="8" spans="1:7">
      <c r="B8" s="262" t="s">
        <v>438</v>
      </c>
      <c r="C8" s="91" t="s">
        <v>310</v>
      </c>
      <c r="D8" s="262" t="s">
        <v>381</v>
      </c>
      <c r="E8" s="262" t="s">
        <v>404</v>
      </c>
      <c r="F8" s="266">
        <f>'Totex menu adjustments'!P19</f>
        <v>0</v>
      </c>
      <c r="G8" s="266"/>
    </row>
    <row r="9" spans="1:7">
      <c r="B9" s="262" t="s">
        <v>465</v>
      </c>
      <c r="C9" s="264" t="s">
        <v>466</v>
      </c>
      <c r="D9" s="262" t="s">
        <v>381</v>
      </c>
      <c r="E9" s="262" t="s">
        <v>404</v>
      </c>
      <c r="F9" s="266">
        <f>'Totex menu adjustments'!P21</f>
        <v>-0.75380892395554244</v>
      </c>
      <c r="G9" s="266"/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P2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4296875" style="3" customWidth="1"/>
    <col min="4" max="4" width="11.54296875" style="3" customWidth="1"/>
    <col min="5" max="5" width="53.08984375" style="3" customWidth="1"/>
    <col min="6" max="7" width="2.54296875" style="3" customWidth="1"/>
    <col min="8" max="21" width="11" style="3" customWidth="1"/>
    <col min="22" max="22" width="22.36328125" style="134" bestFit="1" customWidth="1"/>
    <col min="23" max="26" width="8.90625" style="3" hidden="1" customWidth="1"/>
    <col min="27" max="259" width="0" style="3" hidden="1" customWidth="1"/>
    <col min="260" max="16384" width="0" style="3" hidden="1"/>
  </cols>
  <sheetData>
    <row r="1" spans="1:24" s="72" customFormat="1" ht="32.5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5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4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3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3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3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F_Inputs!G34</f>
        <v>242.5</v>
      </c>
      <c r="J11" s="128">
        <f>F_Inputs!H34</f>
        <v>249.5</v>
      </c>
      <c r="K11" s="128">
        <f>F_Inputs!I34</f>
        <v>255.7</v>
      </c>
      <c r="L11" s="128">
        <f>F_Inputs!J34</f>
        <v>258</v>
      </c>
      <c r="M11" s="128">
        <f>F_Inputs!K34</f>
        <v>261.39999999999998</v>
      </c>
      <c r="N11" s="128">
        <f>F_Inputs!L34</f>
        <v>270.60000000000002</v>
      </c>
      <c r="O11" s="128">
        <f>F_Inputs!M34</f>
        <v>279.7</v>
      </c>
      <c r="P11" s="128">
        <f>F_Inputs!N34</f>
        <v>288.10000000000002</v>
      </c>
      <c r="Q11" s="128">
        <f>F_Inputs!O34</f>
        <v>296.7</v>
      </c>
      <c r="R11" s="128"/>
      <c r="S11" s="128"/>
      <c r="T11" s="128"/>
      <c r="U11" s="128"/>
      <c r="V11" s="125"/>
    </row>
    <row r="12" spans="1:24" s="72" customFormat="1" ht="13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F_Inputs!G35</f>
        <v>242.4</v>
      </c>
      <c r="J12" s="128">
        <f>F_Inputs!H35</f>
        <v>250</v>
      </c>
      <c r="K12" s="128">
        <f>F_Inputs!I35</f>
        <v>255.9</v>
      </c>
      <c r="L12" s="128">
        <f>F_Inputs!J35</f>
        <v>258.5</v>
      </c>
      <c r="M12" s="128">
        <f>F_Inputs!K35</f>
        <v>262.10000000000002</v>
      </c>
      <c r="N12" s="128">
        <f>F_Inputs!L35</f>
        <v>271.7</v>
      </c>
      <c r="O12" s="128">
        <f>F_Inputs!M35</f>
        <v>280.7</v>
      </c>
      <c r="P12" s="128">
        <f>F_Inputs!N35</f>
        <v>289.10000000000002</v>
      </c>
      <c r="Q12" s="128">
        <f>F_Inputs!O35</f>
        <v>297.8</v>
      </c>
      <c r="R12" s="128"/>
      <c r="S12" s="128"/>
      <c r="T12" s="128"/>
      <c r="U12" s="128"/>
      <c r="V12" s="125"/>
    </row>
    <row r="13" spans="1:24" s="72" customFormat="1" ht="13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F_Inputs!G36</f>
        <v>241.8</v>
      </c>
      <c r="J13" s="128">
        <f>F_Inputs!H36</f>
        <v>249.7</v>
      </c>
      <c r="K13" s="128">
        <f>F_Inputs!I36</f>
        <v>256.3</v>
      </c>
      <c r="L13" s="128">
        <f>F_Inputs!J36</f>
        <v>258.89999999999998</v>
      </c>
      <c r="M13" s="128">
        <f>F_Inputs!K36</f>
        <v>263.10000000000002</v>
      </c>
      <c r="N13" s="128">
        <f>F_Inputs!L36</f>
        <v>272.3</v>
      </c>
      <c r="O13" s="128">
        <f>F_Inputs!M36</f>
        <v>281.3</v>
      </c>
      <c r="P13" s="128">
        <f>F_Inputs!N36</f>
        <v>289.7</v>
      </c>
      <c r="Q13" s="128">
        <f>F_Inputs!O36</f>
        <v>298.39999999999998</v>
      </c>
      <c r="R13" s="128"/>
      <c r="S13" s="128"/>
      <c r="T13" s="128"/>
      <c r="U13" s="128"/>
      <c r="V13" s="125"/>
    </row>
    <row r="14" spans="1:24" s="72" customFormat="1" ht="13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F_Inputs!G37</f>
        <v>242.1</v>
      </c>
      <c r="J14" s="128">
        <f>F_Inputs!H37</f>
        <v>249.7</v>
      </c>
      <c r="K14" s="128">
        <f>F_Inputs!I37</f>
        <v>256</v>
      </c>
      <c r="L14" s="128">
        <f>F_Inputs!J37</f>
        <v>258.60000000000002</v>
      </c>
      <c r="M14" s="128">
        <f>F_Inputs!K37</f>
        <v>263.39999999999998</v>
      </c>
      <c r="N14" s="128">
        <f>F_Inputs!L37</f>
        <v>272.89999999999998</v>
      </c>
      <c r="O14" s="128">
        <f>F_Inputs!M37</f>
        <v>281.89999999999998</v>
      </c>
      <c r="P14" s="128">
        <f>F_Inputs!N37</f>
        <v>290.39999999999998</v>
      </c>
      <c r="Q14" s="128">
        <f>F_Inputs!O37</f>
        <v>299.10000000000002</v>
      </c>
      <c r="R14" s="128"/>
      <c r="S14" s="128"/>
      <c r="T14" s="128"/>
      <c r="U14" s="128"/>
      <c r="V14" s="125"/>
    </row>
    <row r="15" spans="1:24" s="72" customFormat="1" ht="13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F_Inputs!G38</f>
        <v>243</v>
      </c>
      <c r="J15" s="128">
        <f>F_Inputs!H38</f>
        <v>251</v>
      </c>
      <c r="K15" s="128">
        <f>F_Inputs!I38</f>
        <v>257</v>
      </c>
      <c r="L15" s="128">
        <f>F_Inputs!J38</f>
        <v>259.8</v>
      </c>
      <c r="M15" s="128">
        <f>F_Inputs!K38</f>
        <v>264.39999999999998</v>
      </c>
      <c r="N15" s="128">
        <f>F_Inputs!L38</f>
        <v>274.7</v>
      </c>
      <c r="O15" s="128">
        <f>F_Inputs!M38</f>
        <v>283.8</v>
      </c>
      <c r="P15" s="128">
        <f>F_Inputs!N38</f>
        <v>292.3</v>
      </c>
      <c r="Q15" s="128">
        <f>F_Inputs!O38</f>
        <v>301.10000000000002</v>
      </c>
      <c r="R15" s="128"/>
      <c r="S15" s="128"/>
      <c r="T15" s="128"/>
      <c r="U15" s="128"/>
      <c r="V15" s="125"/>
    </row>
    <row r="16" spans="1:24" s="72" customFormat="1" ht="13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F_Inputs!G39</f>
        <v>244.2</v>
      </c>
      <c r="J16" s="128">
        <f>F_Inputs!H39</f>
        <v>251.9</v>
      </c>
      <c r="K16" s="128">
        <f>F_Inputs!I39</f>
        <v>257.60000000000002</v>
      </c>
      <c r="L16" s="128">
        <f>F_Inputs!J39</f>
        <v>259.60000000000002</v>
      </c>
      <c r="M16" s="128">
        <f>F_Inputs!K39</f>
        <v>264.89999999999998</v>
      </c>
      <c r="N16" s="128">
        <f>F_Inputs!L39</f>
        <v>275.10000000000002</v>
      </c>
      <c r="O16" s="128">
        <f>F_Inputs!M39</f>
        <v>284.2</v>
      </c>
      <c r="P16" s="128">
        <f>F_Inputs!N39</f>
        <v>292.7</v>
      </c>
      <c r="Q16" s="128">
        <f>F_Inputs!O39</f>
        <v>301.5</v>
      </c>
      <c r="R16" s="128"/>
      <c r="S16" s="128"/>
      <c r="T16" s="128"/>
      <c r="U16" s="128"/>
      <c r="V16" s="125"/>
    </row>
    <row r="17" spans="2:22" s="72" customFormat="1" ht="13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F_Inputs!G40</f>
        <v>245.6</v>
      </c>
      <c r="J17" s="128">
        <f>F_Inputs!H40</f>
        <v>251.9</v>
      </c>
      <c r="K17" s="128">
        <f>F_Inputs!I40</f>
        <v>257.7</v>
      </c>
      <c r="L17" s="128">
        <f>F_Inputs!J40</f>
        <v>259.5</v>
      </c>
      <c r="M17" s="128">
        <f>F_Inputs!K40</f>
        <v>264.8</v>
      </c>
      <c r="N17" s="128">
        <f>F_Inputs!L40</f>
        <v>275.3</v>
      </c>
      <c r="O17" s="128">
        <f>F_Inputs!M40</f>
        <v>284.39999999999998</v>
      </c>
      <c r="P17" s="128">
        <f>F_Inputs!N40</f>
        <v>292.89999999999998</v>
      </c>
      <c r="Q17" s="128">
        <f>F_Inputs!O40</f>
        <v>301.7</v>
      </c>
      <c r="R17" s="128"/>
      <c r="S17" s="128"/>
      <c r="T17" s="128"/>
      <c r="U17" s="128"/>
      <c r="V17" s="125"/>
    </row>
    <row r="18" spans="2:22" s="72" customFormat="1" ht="13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F_Inputs!F41</f>
        <v>238.5</v>
      </c>
      <c r="I18" s="128">
        <f>F_Inputs!G41</f>
        <v>245.6</v>
      </c>
      <c r="J18" s="128">
        <f>F_Inputs!H41</f>
        <v>252.1</v>
      </c>
      <c r="K18" s="128">
        <f>F_Inputs!I41</f>
        <v>257.10000000000002</v>
      </c>
      <c r="L18" s="128">
        <f>F_Inputs!J41</f>
        <v>259.8</v>
      </c>
      <c r="M18" s="128">
        <f>F_Inputs!K41</f>
        <v>265.5</v>
      </c>
      <c r="N18" s="128">
        <f>F_Inputs!L41</f>
        <v>275.8</v>
      </c>
      <c r="O18" s="128">
        <f>F_Inputs!M41</f>
        <v>284.89999999999998</v>
      </c>
      <c r="P18" s="128">
        <f>F_Inputs!N41</f>
        <v>293.39999999999998</v>
      </c>
      <c r="Q18" s="128">
        <f>F_Inputs!O41</f>
        <v>302.2</v>
      </c>
      <c r="R18" s="128"/>
      <c r="S18" s="128"/>
      <c r="T18" s="128"/>
      <c r="U18" s="128"/>
      <c r="V18" s="125"/>
    </row>
    <row r="19" spans="2:22" s="72" customFormat="1" ht="13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F_Inputs!G42</f>
        <v>246.8</v>
      </c>
      <c r="J19" s="128">
        <f>F_Inputs!H42</f>
        <v>253.4</v>
      </c>
      <c r="K19" s="128">
        <f>F_Inputs!I42</f>
        <v>257.5</v>
      </c>
      <c r="L19" s="128">
        <f>F_Inputs!J42</f>
        <v>260.60000000000002</v>
      </c>
      <c r="M19" s="128">
        <f>F_Inputs!K42</f>
        <v>267.10000000000002</v>
      </c>
      <c r="N19" s="128">
        <f>F_Inputs!L42</f>
        <v>278.10000000000002</v>
      </c>
      <c r="O19" s="128">
        <f>F_Inputs!M42</f>
        <v>287.3</v>
      </c>
      <c r="P19" s="128">
        <f>F_Inputs!N42</f>
        <v>295.89999999999998</v>
      </c>
      <c r="Q19" s="128">
        <f>F_Inputs!O42</f>
        <v>304.8</v>
      </c>
      <c r="R19" s="128"/>
      <c r="S19" s="128"/>
      <c r="T19" s="128"/>
      <c r="U19" s="128"/>
      <c r="V19" s="125"/>
    </row>
    <row r="20" spans="2:22" s="72" customFormat="1" ht="13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F_Inputs!G43</f>
        <v>245.8</v>
      </c>
      <c r="J20" s="128">
        <f>F_Inputs!H43</f>
        <v>252.6</v>
      </c>
      <c r="K20" s="128">
        <f>F_Inputs!I43</f>
        <v>255.4</v>
      </c>
      <c r="L20" s="128">
        <f>F_Inputs!J43</f>
        <v>258.8</v>
      </c>
      <c r="M20" s="128">
        <f>F_Inputs!K43</f>
        <v>265.5</v>
      </c>
      <c r="N20" s="128">
        <f>F_Inputs!L43</f>
        <v>276</v>
      </c>
      <c r="O20" s="128">
        <f>F_Inputs!M43</f>
        <v>285.10000000000002</v>
      </c>
      <c r="P20" s="128">
        <f>F_Inputs!N43</f>
        <v>293.7</v>
      </c>
      <c r="Q20" s="128">
        <f>F_Inputs!O43</f>
        <v>302.5</v>
      </c>
      <c r="R20" s="128"/>
      <c r="S20" s="128"/>
      <c r="T20" s="128"/>
      <c r="U20" s="128"/>
      <c r="V20" s="125"/>
    </row>
    <row r="21" spans="2:22" s="72" customFormat="1" ht="13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F_Inputs!G44</f>
        <v>247.6</v>
      </c>
      <c r="J21" s="128">
        <f>F_Inputs!H44</f>
        <v>254.2</v>
      </c>
      <c r="K21" s="128">
        <f>F_Inputs!I44</f>
        <v>256.7</v>
      </c>
      <c r="L21" s="128">
        <f>F_Inputs!J44</f>
        <v>260</v>
      </c>
      <c r="M21" s="128">
        <f>F_Inputs!K44</f>
        <v>268.39999999999998</v>
      </c>
      <c r="N21" s="128">
        <f>F_Inputs!L44</f>
        <v>278.10000000000002</v>
      </c>
      <c r="O21" s="128">
        <f>F_Inputs!M44</f>
        <v>287.3</v>
      </c>
      <c r="P21" s="128">
        <f>F_Inputs!N44</f>
        <v>295.89999999999998</v>
      </c>
      <c r="Q21" s="128">
        <f>F_Inputs!O44</f>
        <v>304.8</v>
      </c>
      <c r="R21" s="128"/>
      <c r="S21" s="128"/>
      <c r="T21" s="128"/>
      <c r="U21" s="128"/>
      <c r="V21" s="125"/>
    </row>
    <row r="22" spans="2:22" s="72" customFormat="1" ht="13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F_Inputs!G45</f>
        <v>248.7</v>
      </c>
      <c r="J22" s="128">
        <f>F_Inputs!H45</f>
        <v>254.8</v>
      </c>
      <c r="K22" s="128">
        <f>F_Inputs!I45</f>
        <v>257.10000000000002</v>
      </c>
      <c r="L22" s="128">
        <f>F_Inputs!J45</f>
        <v>261.10000000000002</v>
      </c>
      <c r="M22" s="128">
        <f>F_Inputs!K45</f>
        <v>269.3</v>
      </c>
      <c r="N22" s="128">
        <f>F_Inputs!L45</f>
        <v>278.3</v>
      </c>
      <c r="O22" s="128">
        <f>F_Inputs!M45</f>
        <v>287.5</v>
      </c>
      <c r="P22" s="128">
        <f>F_Inputs!N45</f>
        <v>296.10000000000002</v>
      </c>
      <c r="Q22" s="128">
        <f>F_Inputs!O45</f>
        <v>305</v>
      </c>
      <c r="R22" s="128"/>
      <c r="S22" s="128"/>
      <c r="T22" s="128"/>
      <c r="U22" s="128"/>
      <c r="V22" s="125"/>
    </row>
    <row r="23" spans="2:22" s="72" customFormat="1" ht="13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3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3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3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288.10000000000002</v>
      </c>
      <c r="Q29" s="133">
        <f t="shared" si="2"/>
        <v>296.7</v>
      </c>
      <c r="R29" s="133">
        <f t="shared" si="2"/>
        <v>296.7</v>
      </c>
      <c r="S29" s="133">
        <f t="shared" si="2"/>
        <v>296.7</v>
      </c>
      <c r="T29" s="133">
        <f t="shared" si="2"/>
        <v>296.7</v>
      </c>
      <c r="U29" s="133">
        <f t="shared" si="2"/>
        <v>296.7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289.10000000000002</v>
      </c>
      <c r="Q30" s="133">
        <f t="shared" si="3"/>
        <v>297.8</v>
      </c>
      <c r="R30" s="133">
        <f t="shared" si="3"/>
        <v>297.8</v>
      </c>
      <c r="S30" s="133">
        <f t="shared" si="3"/>
        <v>297.8</v>
      </c>
      <c r="T30" s="133">
        <f t="shared" si="3"/>
        <v>297.8</v>
      </c>
      <c r="U30" s="133">
        <f t="shared" si="3"/>
        <v>297.8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281.3</v>
      </c>
      <c r="P31" s="133">
        <f t="shared" si="3"/>
        <v>289.7</v>
      </c>
      <c r="Q31" s="133">
        <f t="shared" si="3"/>
        <v>298.39999999999998</v>
      </c>
      <c r="R31" s="133">
        <f t="shared" si="3"/>
        <v>298.39999999999998</v>
      </c>
      <c r="S31" s="133">
        <f t="shared" si="3"/>
        <v>298.39999999999998</v>
      </c>
      <c r="T31" s="133">
        <f t="shared" si="3"/>
        <v>298.39999999999998</v>
      </c>
      <c r="U31" s="133">
        <f t="shared" si="3"/>
        <v>298.39999999999998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281.89999999999998</v>
      </c>
      <c r="P32" s="133">
        <f t="shared" si="3"/>
        <v>290.39999999999998</v>
      </c>
      <c r="Q32" s="133">
        <f t="shared" si="3"/>
        <v>299.10000000000002</v>
      </c>
      <c r="R32" s="133">
        <f t="shared" si="3"/>
        <v>299.10000000000002</v>
      </c>
      <c r="S32" s="133">
        <f t="shared" si="3"/>
        <v>299.10000000000002</v>
      </c>
      <c r="T32" s="133">
        <f t="shared" si="3"/>
        <v>299.10000000000002</v>
      </c>
      <c r="U32" s="133">
        <f t="shared" si="3"/>
        <v>299.10000000000002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283.8</v>
      </c>
      <c r="P33" s="133">
        <f t="shared" si="3"/>
        <v>292.3</v>
      </c>
      <c r="Q33" s="133">
        <f t="shared" si="3"/>
        <v>301.10000000000002</v>
      </c>
      <c r="R33" s="133">
        <f t="shared" si="3"/>
        <v>301.10000000000002</v>
      </c>
      <c r="S33" s="133">
        <f t="shared" si="3"/>
        <v>301.10000000000002</v>
      </c>
      <c r="T33" s="133">
        <f t="shared" si="3"/>
        <v>301.10000000000002</v>
      </c>
      <c r="U33" s="133">
        <f t="shared" si="3"/>
        <v>301.10000000000002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284.2</v>
      </c>
      <c r="P34" s="133">
        <f t="shared" si="3"/>
        <v>292.7</v>
      </c>
      <c r="Q34" s="133">
        <f t="shared" si="3"/>
        <v>301.5</v>
      </c>
      <c r="R34" s="133">
        <f t="shared" si="3"/>
        <v>301.5</v>
      </c>
      <c r="S34" s="133">
        <f t="shared" si="3"/>
        <v>301.5</v>
      </c>
      <c r="T34" s="133">
        <f t="shared" si="3"/>
        <v>301.5</v>
      </c>
      <c r="U34" s="133">
        <f t="shared" si="3"/>
        <v>301.5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284.39999999999998</v>
      </c>
      <c r="P35" s="133">
        <f t="shared" si="3"/>
        <v>292.89999999999998</v>
      </c>
      <c r="Q35" s="133">
        <f t="shared" si="3"/>
        <v>301.7</v>
      </c>
      <c r="R35" s="133">
        <f t="shared" si="3"/>
        <v>301.7</v>
      </c>
      <c r="S35" s="133">
        <f t="shared" si="3"/>
        <v>301.7</v>
      </c>
      <c r="T35" s="133">
        <f t="shared" si="3"/>
        <v>301.7</v>
      </c>
      <c r="U35" s="133">
        <f t="shared" si="3"/>
        <v>301.7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284.89999999999998</v>
      </c>
      <c r="P36" s="133">
        <f t="shared" si="3"/>
        <v>293.39999999999998</v>
      </c>
      <c r="Q36" s="133">
        <f t="shared" si="3"/>
        <v>302.2</v>
      </c>
      <c r="R36" s="133">
        <f t="shared" si="3"/>
        <v>302.2</v>
      </c>
      <c r="S36" s="133">
        <f t="shared" si="3"/>
        <v>302.2</v>
      </c>
      <c r="T36" s="133">
        <f t="shared" si="3"/>
        <v>302.2</v>
      </c>
      <c r="U36" s="133">
        <f t="shared" si="3"/>
        <v>302.2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287.3</v>
      </c>
      <c r="P37" s="133">
        <f t="shared" si="3"/>
        <v>295.89999999999998</v>
      </c>
      <c r="Q37" s="133">
        <f t="shared" si="3"/>
        <v>304.8</v>
      </c>
      <c r="R37" s="133">
        <f t="shared" si="3"/>
        <v>304.8</v>
      </c>
      <c r="S37" s="133">
        <f t="shared" si="3"/>
        <v>304.8</v>
      </c>
      <c r="T37" s="133">
        <f t="shared" si="3"/>
        <v>304.8</v>
      </c>
      <c r="U37" s="133">
        <f t="shared" si="3"/>
        <v>304.8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285.10000000000002</v>
      </c>
      <c r="P38" s="133">
        <f t="shared" si="3"/>
        <v>293.7</v>
      </c>
      <c r="Q38" s="133">
        <f t="shared" si="3"/>
        <v>302.5</v>
      </c>
      <c r="R38" s="133">
        <f t="shared" si="3"/>
        <v>302.5</v>
      </c>
      <c r="S38" s="133">
        <f t="shared" si="3"/>
        <v>302.5</v>
      </c>
      <c r="T38" s="133">
        <f t="shared" si="3"/>
        <v>302.5</v>
      </c>
      <c r="U38" s="133">
        <f t="shared" si="3"/>
        <v>302.5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287.3</v>
      </c>
      <c r="P39" s="133">
        <f t="shared" si="3"/>
        <v>295.89999999999998</v>
      </c>
      <c r="Q39" s="133">
        <f t="shared" si="3"/>
        <v>304.8</v>
      </c>
      <c r="R39" s="133">
        <f t="shared" si="3"/>
        <v>304.8</v>
      </c>
      <c r="S39" s="133">
        <f t="shared" si="3"/>
        <v>304.8</v>
      </c>
      <c r="T39" s="133">
        <f t="shared" si="3"/>
        <v>304.8</v>
      </c>
      <c r="U39" s="133">
        <f t="shared" si="3"/>
        <v>304.8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287.5</v>
      </c>
      <c r="P40" s="133">
        <f t="shared" si="3"/>
        <v>296.10000000000002</v>
      </c>
      <c r="Q40" s="133">
        <f t="shared" si="3"/>
        <v>305</v>
      </c>
      <c r="R40" s="133">
        <f t="shared" si="3"/>
        <v>305</v>
      </c>
      <c r="S40" s="133">
        <f t="shared" si="3"/>
        <v>305</v>
      </c>
      <c r="T40" s="133">
        <f t="shared" si="3"/>
        <v>305</v>
      </c>
      <c r="U40" s="133">
        <f t="shared" si="3"/>
        <v>305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284.00833333333338</v>
      </c>
      <c r="P41" s="129">
        <f t="shared" si="4"/>
        <v>292.51666666666671</v>
      </c>
      <c r="Q41" s="129">
        <f t="shared" si="4"/>
        <v>301.3</v>
      </c>
      <c r="R41" s="129">
        <f t="shared" si="4"/>
        <v>301.3</v>
      </c>
      <c r="S41" s="129">
        <f t="shared" si="4"/>
        <v>301.3</v>
      </c>
      <c r="T41" s="129">
        <f t="shared" si="4"/>
        <v>301.3</v>
      </c>
      <c r="U41" s="129">
        <f t="shared" si="4"/>
        <v>301.3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1.1945492662473793</v>
      </c>
      <c r="Q45" s="185">
        <f t="shared" si="5"/>
        <v>1.230188679245283</v>
      </c>
      <c r="R45" s="185">
        <f t="shared" si="5"/>
        <v>1.2670859538784067</v>
      </c>
      <c r="S45" s="185">
        <f t="shared" si="5"/>
        <v>1.2670859538784067</v>
      </c>
      <c r="T45" s="185">
        <f t="shared" si="5"/>
        <v>1.2670859538784067</v>
      </c>
      <c r="U45" s="185">
        <f t="shared" si="5"/>
        <v>1.2670859538784067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1.1607574673887131</v>
      </c>
      <c r="P49" s="185">
        <f t="shared" si="6"/>
        <v>1.1955314873471614</v>
      </c>
      <c r="Q49" s="185">
        <f t="shared" si="6"/>
        <v>1.231429447225912</v>
      </c>
      <c r="R49" s="185">
        <f t="shared" si="6"/>
        <v>1.231429447225912</v>
      </c>
      <c r="S49" s="185">
        <f t="shared" si="6"/>
        <v>1.231429447225912</v>
      </c>
      <c r="T49" s="185">
        <f t="shared" si="6"/>
        <v>1.231429447225912</v>
      </c>
      <c r="U49" s="185">
        <f t="shared" si="6"/>
        <v>1.231429447225912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3.3101943071933038E-2</v>
      </c>
      <c r="P51" s="139">
        <f t="shared" si="7"/>
        <v>2.9958041137290614E-2</v>
      </c>
      <c r="Q51" s="139">
        <f t="shared" si="7"/>
        <v>3.0026779100905676E-2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K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4.08984375" style="7" customWidth="1"/>
    <col min="7" max="7" width="11.54296875" style="7" customWidth="1"/>
    <col min="8" max="8" width="4.08984375" style="7" customWidth="1"/>
    <col min="9" max="21" width="9.54296875" style="7" customWidth="1"/>
    <col min="22" max="22" width="15.90625" style="7" bestFit="1" customWidth="1"/>
    <col min="23" max="16384" width="9.08984375" style="7" hidden="1"/>
  </cols>
  <sheetData>
    <row r="1" spans="1:22" ht="32.5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3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3">
      <c r="V4" s="96"/>
    </row>
    <row r="5" spans="1:22" ht="13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3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5"/>
    <row r="8" spans="1:22" ht="13" thickBot="1"/>
    <row r="9" spans="1:22" ht="13.5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5"/>
    <row r="11" spans="1:22" ht="12.5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98</vt:i4>
      </vt:variant>
    </vt:vector>
  </HeadingPairs>
  <TitlesOfParts>
    <vt:vector size="105" baseType="lpstr">
      <vt:lpstr>F_Inputs</vt:lpstr>
      <vt:lpstr>Inputs</vt:lpstr>
      <vt:lpstr>Calcs</vt:lpstr>
      <vt:lpstr>Totex menu adjustments</vt:lpstr>
      <vt:lpstr>F_Outputs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2019-01-20T13:18:23Z</dcterms:created>
  <dcterms:modified xsi:type="dcterms:W3CDTF">2019-01-29T09:14:26Z</dcterms:modified>
  <cp:category/>
  <cp:contentStatus/>
</cp:coreProperties>
</file>