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690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N68" i="4"/>
  <c r="M68" i="4"/>
  <c r="L68" i="4"/>
  <c r="P67" i="4"/>
  <c r="O67" i="4"/>
  <c r="N67" i="4"/>
  <c r="M67" i="4"/>
  <c r="L67" i="4"/>
  <c r="N66" i="4"/>
  <c r="M66" i="4"/>
  <c r="L66" i="4"/>
  <c r="P63" i="4"/>
  <c r="O63" i="4"/>
  <c r="N63" i="4"/>
  <c r="M63" i="4"/>
  <c r="L63" i="4"/>
  <c r="O62" i="4"/>
  <c r="N62" i="4"/>
  <c r="M62" i="4"/>
  <c r="L62" i="4"/>
  <c r="N61" i="4"/>
  <c r="M61" i="4"/>
  <c r="L61" i="4"/>
  <c r="N60" i="4"/>
  <c r="M60" i="4"/>
  <c r="L60" i="4"/>
  <c r="N53" i="4"/>
  <c r="M53" i="4"/>
  <c r="L53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31" i="5" l="1"/>
  <c r="N32" i="5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<sst xmlns="http://schemas.openxmlformats.org/spreadsheetml/2006/main" count="966" uniqueCount="470">
  <si>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</si>
  <si>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</si>
  <si>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</si>
  <si>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</si>
  <si>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</si>
  <si>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</si>
  <si>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</si>
  <si>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</si>
  <si>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</si>
  <si>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</si>
  <si>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</si>
  <si>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</si>
  <si>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</si>
  <si>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</si>
  <si>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</si>
  <si>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</si>
  <si>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</si>
  <si>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</si>
  <si>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</si>
  <si>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</si>
  <si>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</si>
  <si>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</si>
  <si>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</si>
  <si>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</si>
  <si>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</si>
  <si>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</si>
  <si>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</si>
  <si>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</si>
  <si>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</si>
  <si>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</si>
  <si>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</si>
  <si>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</si>
  <si>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</si>
  <si>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</si>
  <si>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</si>
  <si>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</si>
  <si>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</si>
  <si>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</si>
  <si>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</si>
  <si>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</si>
  <si>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</si>
  <si>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</si>
  <si>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</si>
  <si>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</si>
  <si>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</si>
  <si>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</si>
  <si>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</si>
  <si>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</si>
  <si>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</si>
  <si>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</si>
  <si>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</si>
  <si>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</si>
  <si>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</si>
  <si>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</si>
  <si>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</si>
  <si>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</si>
  <si>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</si>
  <si>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</si>
  <si>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</si>
  <si>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</si>
  <si>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</si>
  <si>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</si>
  <si>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</si>
  <si>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</si>
  <si>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</si>
  <si>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</si>
  <si>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</si>
  <si>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</si>
  <si>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</si>
  <si>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</si>
  <si>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</si>
  <si>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</si>
  <si>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</si>
  <si>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</si>
  <si>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</si>
  <si>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</si>
  <si>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</si>
  <si>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</si>
  <si>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</si>
  <si>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</si>
  <si>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</si>
  <si>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</si>
  <si>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</si>
  <si>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</si>
  <si>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</si>
  <si>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</si>
  <si>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</si>
  <si>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</si>
  <si>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</si>
  <si>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</si>
  <si>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</si>
  <si>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</si>
  <si>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</si>
  <si>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</si>
  <si>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</si>
  <si>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</si>
  <si>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</si>
  <si>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</si>
  <si>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</si>
  <si>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</si>
  <si>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</si>
  <si>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</si>
  <si>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</si>
  <si>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</si>
  <si>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</si>
  <si>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</si>
  <si>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</si>
  <si>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</si>
  <si>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</si>
  <si>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</si>
  <si>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</si>
  <si>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</si>
  <si>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</si>
  <si>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</si>
  <si>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</si>
  <si>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</si>
  <si>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</si>
  <si>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</si>
  <si>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</si>
  <si>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</si>
  <si>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</si>
  <si>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</si>
  <si>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</si>
  <si>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</si>
  <si>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</si>
  <si>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</si>
  <si>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</si>
  <si>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</si>
  <si>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</si>
  <si>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</si>
  <si>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</si>
  <si>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</si>
  <si>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</si>
  <si>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</si>
  <si>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</si>
  <si>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</si>
  <si>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</si>
  <si>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</si>
  <si>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</si>
  <si>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</si>
  <si>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</si>
  <si>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</si>
  <si>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</si>
  <si>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</si>
  <si>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</si>
  <si>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</si>
  <si>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</si>
  <si>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</si>
  <si>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</si>
  <si>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</si>
  <si>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</si>
  <si>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</si>
  <si>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</si>
  <si>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</si>
  <si>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</si>
  <si>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</si>
  <si>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</si>
  <si>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</si>
  <si>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</si>
  <si>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</si>
  <si>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</si>
  <si>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</si>
  <si>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</si>
  <si>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</si>
  <si>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</si>
  <si>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</si>
  <si>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</si>
  <si>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</si>
  <si>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</si>
  <si>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</si>
  <si>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</si>
  <si>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</si>
  <si>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</si>
  <si>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</si>
  <si>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</si>
  <si>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</si>
  <si>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</si>
  <si>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</si>
  <si>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</si>
  <si>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</si>
  <si>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</si>
  <si>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</si>
  <si>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</si>
  <si>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</si>
  <si>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</si>
  <si>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</si>
  <si>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</si>
  <si>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</si>
  <si>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</si>
  <si>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</si>
  <si>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</si>
  <si>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</si>
  <si>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</si>
  <si>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</si>
  <si>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</si>
  <si>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</si>
  <si>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</si>
  <si>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</si>
  <si>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</si>
  <si>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</si>
  <si>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</si>
  <si>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</si>
  <si>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</si>
  <si>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</si>
  <si>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</si>
  <si>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</si>
  <si>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</si>
  <si>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</si>
  <si>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</si>
  <si>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</si>
  <si>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</si>
  <si>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</si>
  <si>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</si>
  <si>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</si>
  <si>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</si>
  <si>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</si>
  <si>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</si>
  <si>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</si>
  <si>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</si>
  <si>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</si>
  <si>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</si>
  <si>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</si>
  <si>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</si>
  <si>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</si>
  <si>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</si>
  <si>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</si>
  <si>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</si>
  <si>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</si>
  <si>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</si>
  <si>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</si>
  <si>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</si>
  <si>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</si>
  <si>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</si>
  <si>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</si>
  <si>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</si>
  <si>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</si>
  <si>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</si>
  <si>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</si>
  <si>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</si>
  <si>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</si>
  <si>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</si>
  <si>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</si>
  <si>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</si>
  <si>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</si>
  <si>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</si>
  <si>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</si>
  <si>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</si>
  <si>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</si>
  <si>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</si>
  <si>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</si>
  <si>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</si>
  <si>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</si>
  <si>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</si>
  <si>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</si>
  <si>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</si>
  <si>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</si>
  <si>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</si>
  <si>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</si>
  <si>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</si>
  <si>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</si>
  <si>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</si>
  <si>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</si>
  <si>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</si>
  <si>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</si>
  <si>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</si>
  <si>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</si>
  <si>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</si>
  <si>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</si>
  <si>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</si>
  <si>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</si>
  <si>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</si>
  <si>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</si>
  <si>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</si>
  <si>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</si>
  <si>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</si>
  <si>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</si>
  <si>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</si>
  <si>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</si>
  <si>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</si>
  <si>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</si>
  <si>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</si>
  <si>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</si>
  <si>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</si>
  <si>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</si>
  <si>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</si>
  <si>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</si>
  <si>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</si>
  <si>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</si>
  <si>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</si>
  <si>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</si>
  <si>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</si>
  <si>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</si>
  <si>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</si>
  <si>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</si>
  <si>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</si>
  <si>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</si>
  <si>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</si>
  <si>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</si>
  <si>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</si>
  <si>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</si>
  <si>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</si>
  <si>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</si>
  <si>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</si>
  <si>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</si>
  <si>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</si>
  <si>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</si>
  <si>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</si>
  <si>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</si>
  <si>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</si>
  <si>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</si>
  <si>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</si>
  <si>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</si>
  <si>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</si>
  <si>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</si>
  <si>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</si>
  <si>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</si>
  <si>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</si>
  <si>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</si>
  <si>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</si>
  <si>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</si>
  <si>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</si>
  <si>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</si>
  <si>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</si>
  <si>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</si>
  <si>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</si>
  <si>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</si>
  <si>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</si>
  <si>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</si>
  <si>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</si>
  <si>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</si>
  <si>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</si>
  <si>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</si>
  <si>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</si>
  <si>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</si>
  <si>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</si>
  <si>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</si>
  <si>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</si>
  <si>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</si>
  <si>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</si>
  <si>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</si>
  <si>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</si>
  <si>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</si>
  <si>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</si>
  <si>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</si>
  <si>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</si>
  <si>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</si>
  <si>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</si>
  <si>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</si>
  <si>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</si>
  <si>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</si>
  <si>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</si>
  <si>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</si>
  <si>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</si>
  <si>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</si>
  <si>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</si>
  <si>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</si>
  <si>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</si>
  <si>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</si>
  <si>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</si>
  <si>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</si>
  <si>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</si>
  <si>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</si>
  <si>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</si>
  <si>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</si>
  <si>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</si>
  <si>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</si>
  <si>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</si>
  <si>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</si>
  <si>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</si>
  <si>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</si>
  <si>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</si>
  <si>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</si>
  <si>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</si>
  <si>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</si>
  <si>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</si>
  <si>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</si>
  <si>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</si>
  <si>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</si>
  <si>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</si>
  <si>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</si>
  <si>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</si>
  <si>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</si>
  <si>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</si>
  <si>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</si>
  <si>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</si>
  <si>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</si>
  <si>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</si>
  <si>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</si>
  <si>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</si>
  <si>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</si>
  <si>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</si>
  <si>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</si>
  <si>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</si>
  <si>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</si>
  <si>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</si>
  <si>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</si>
  <si>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</si>
  <si>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</si>
  <si>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</si>
  <si>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</si>
  <si>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</si>
  <si>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</si>
  <si>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</si>
  <si>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</si>
  <si>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</si>
  <si>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</si>
  <si>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</si>
  <si>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</si>
  <si>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</si>
  <si>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</si>
  <si>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</si>
  <si>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</si>
  <si>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</si>
  <si>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</si>
  <si>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</si>
  <si>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</si>
  <si>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</si>
  <si>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</si>
  <si>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</si>
  <si>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</si>
  <si>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</si>
  <si>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</si>
  <si>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</si>
  <si>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</si>
  <si>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</si>
  <si>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</si>
  <si>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</si>
  <si>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</si>
  <si>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</si>
  <si>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</si>
  <si>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</si>
  <si>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</si>
  <si>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</si>
  <si>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</si>
  <si>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</si>
  <si>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</si>
  <si>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</si>
  <si>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</si>
  <si>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</si>
  <si>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</si>
  <si>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</si>
  <si>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</si>
  <si>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</si>
  <si>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</si>
  <si>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</si>
  <si>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</si>
  <si>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</si>
  <si>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</si>
  <si>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</si>
  <si>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</si>
  <si>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</si>
  <si>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</si>
  <si>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</si>
  <si>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</si>
  <si>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</si>
  <si>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</si>
  <si>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</si>
  <si>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</si>
  <si>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</si>
  <si>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</si>
  <si>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</si>
  <si>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</si>
  <si>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</si>
  <si>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</si>
  <si>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</si>
  <si>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</si>
  <si>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</si>
  <si>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</si>
  <si>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</si>
  <si>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SWT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</si>
</sst>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2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</cellStyleXfs>
  <cellXfs count="267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</cellXfs>
  <cellStyles count="132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10" xfId="131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22" activePane="bottomLeft" state="frozen"/>
      <selection pane="bottomLeft"/>
    </sheetView>
  </sheetViews>
  <sheetFormatPr defaultRowHeight="14.5"/>
  <cols>
    <col min="1" max="1" width="4.26953125" customWidth="1"/>
    <col min="2" max="2" width="5.6328125" customWidth="1"/>
    <col min="3" max="3" width="12" customWidth="1"/>
    <col min="4" max="4" width="2.6328125" customWidth="1"/>
    <col min="5" max="5" width="15.26953125" customWidth="1"/>
    <col min="6" max="16" width="7.36328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3.9590000000000001</v>
      </c>
      <c r="K5" s="226">
        <v>3.9590000000000001</v>
      </c>
      <c r="L5" s="226">
        <v>3.9590000000000001</v>
      </c>
      <c r="M5" s="226">
        <v>3.9590000000000001</v>
      </c>
      <c r="N5" s="226">
        <v>3.9590000000000001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3.5329999999999999</v>
      </c>
      <c r="K6" s="226">
        <v>3.5329999999999999</v>
      </c>
      <c r="L6" s="226">
        <v>3.5329999999999999</v>
      </c>
      <c r="M6" s="226">
        <v>3.5329999999999999</v>
      </c>
      <c r="N6" s="226">
        <v>3.5329999999999999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91.528362738236495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100.167909247879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91.5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99.5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142.91107292136101</v>
      </c>
      <c r="K12" s="226">
        <v>150.01964783469199</v>
      </c>
      <c r="L12" s="226">
        <v>150.416397249856</v>
      </c>
      <c r="M12" s="226">
        <v>134.91814197461801</v>
      </c>
      <c r="N12" s="226">
        <v>128.53178169577299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192.131855788709</v>
      </c>
      <c r="K13" s="226">
        <v>193.466675826977</v>
      </c>
      <c r="L13" s="226">
        <v>177.02457491159001</v>
      </c>
      <c r="M13" s="226">
        <v>158.992026871875</v>
      </c>
      <c r="N13" s="226">
        <v>156.024818463847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137.23699999999999</v>
      </c>
      <c r="K14" s="226">
        <v>144.446</v>
      </c>
      <c r="L14" s="226">
        <v>144.84200000000001</v>
      </c>
      <c r="M14" s="226">
        <v>129.34399999999999</v>
      </c>
      <c r="N14" s="226">
        <v>122.958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191.76303941028101</v>
      </c>
      <c r="K15" s="226">
        <v>193.21785944854901</v>
      </c>
      <c r="L15" s="226">
        <v>176.77575853316199</v>
      </c>
      <c r="M15" s="226">
        <v>158.74321049344701</v>
      </c>
      <c r="N15" s="226">
        <v>155.77600208541901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122.742</v>
      </c>
      <c r="K16" s="226">
        <v>142.45599999999999</v>
      </c>
      <c r="L16" s="226">
        <v>147.68700000000001</v>
      </c>
      <c r="M16" s="226">
        <v>121.798</v>
      </c>
      <c r="N16" s="226">
        <v>114.818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166.15299999999999</v>
      </c>
      <c r="K17" s="226">
        <v>181.566</v>
      </c>
      <c r="L17" s="226">
        <v>168.72800000000001</v>
      </c>
      <c r="M17" s="226">
        <v>157.684</v>
      </c>
      <c r="N17" s="226">
        <v>153.309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1.0680000000000001</v>
      </c>
      <c r="K18" s="226">
        <v>0.57899999999999996</v>
      </c>
      <c r="L18" s="226">
        <v>1.085</v>
      </c>
      <c r="M18" s="226">
        <v>0.89500000000000002</v>
      </c>
      <c r="N18" s="226">
        <v>0.84299999999999997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3.0510000000000002</v>
      </c>
      <c r="K19" s="226">
        <v>3.2719999999999998</v>
      </c>
      <c r="L19" s="226">
        <v>4.2809999999999997</v>
      </c>
      <c r="M19" s="226">
        <v>3.5310000000000001</v>
      </c>
      <c r="N19" s="226">
        <v>3.3279999999999998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8.6560000000000006</v>
      </c>
      <c r="K20" s="226">
        <v>0</v>
      </c>
      <c r="L20" s="226">
        <v>0</v>
      </c>
      <c r="M20" s="226">
        <v>4.577</v>
      </c>
      <c r="N20" s="226">
        <v>4.7169999999999996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2.347</v>
      </c>
      <c r="K22" s="226">
        <v>2.0099999999999998</v>
      </c>
      <c r="L22" s="226">
        <v>1.827</v>
      </c>
      <c r="M22" s="226">
        <v>1.716</v>
      </c>
      <c r="N22" s="226">
        <v>1.669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7.4669999999999996</v>
      </c>
      <c r="K24" s="226">
        <v>0</v>
      </c>
      <c r="L24" s="226">
        <v>0</v>
      </c>
      <c r="M24" s="226">
        <v>4.7969999999999997</v>
      </c>
      <c r="N24" s="226">
        <v>4.944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1.6140000000000001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0.90800000000000003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0.62351000000000001</v>
      </c>
      <c r="K28" s="227">
        <v>0.57637000000000005</v>
      </c>
      <c r="L28" s="227">
        <v>0.54281999999999997</v>
      </c>
      <c r="M28" s="227">
        <v>0.59411999999999998</v>
      </c>
      <c r="N28" s="227">
        <v>0.62239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0.49670999999999998</v>
      </c>
      <c r="K29" s="227">
        <v>0.49886000000000003</v>
      </c>
      <c r="L29" s="227">
        <v>0.52605999999999997</v>
      </c>
      <c r="M29" s="227">
        <v>0.59167999999999998</v>
      </c>
      <c r="N29" s="227">
        <v>0.60802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0.64400000000000002</v>
      </c>
      <c r="K30" s="226">
        <v>0.9</v>
      </c>
      <c r="L30" s="226">
        <v>0.81499999999999995</v>
      </c>
      <c r="M30" s="226">
        <v>0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1.86</v>
      </c>
      <c r="K31" s="226">
        <v>2.68</v>
      </c>
      <c r="L31" s="226">
        <v>0.32600000000000001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288.10000000000002</v>
      </c>
      <c r="O34" s="229">
        <v>296.7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290.5</v>
      </c>
      <c r="O35" s="229">
        <v>299.2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282.60000000000002</v>
      </c>
      <c r="N36" s="229">
        <v>291.10000000000002</v>
      </c>
      <c r="O36" s="229">
        <v>299.8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282.7</v>
      </c>
      <c r="N37" s="229">
        <v>291.2</v>
      </c>
      <c r="O37" s="229">
        <v>299.89999999999998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284.60000000000002</v>
      </c>
      <c r="N38" s="229">
        <v>293.10000000000002</v>
      </c>
      <c r="O38" s="229">
        <v>301.89999999999998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285</v>
      </c>
      <c r="N39" s="229">
        <v>293.60000000000002</v>
      </c>
      <c r="O39" s="229">
        <v>302.39999999999998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284.7</v>
      </c>
      <c r="N40" s="229">
        <v>293.2</v>
      </c>
      <c r="O40" s="229">
        <v>302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285.2</v>
      </c>
      <c r="N41" s="229">
        <v>293.8</v>
      </c>
      <c r="O41" s="229">
        <v>302.60000000000002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287.60000000000002</v>
      </c>
      <c r="N42" s="229">
        <v>296.2</v>
      </c>
      <c r="O42" s="229">
        <v>305.10000000000002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284.8</v>
      </c>
      <c r="N43" s="229">
        <v>293.3</v>
      </c>
      <c r="O43" s="229">
        <v>302.10000000000002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287</v>
      </c>
      <c r="N44" s="229">
        <v>295.60000000000002</v>
      </c>
      <c r="O44" s="229">
        <v>304.5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287.2</v>
      </c>
      <c r="N45" s="229">
        <v>295.8</v>
      </c>
      <c r="O45" s="229">
        <v>304.7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Yes</v>
      </c>
      <c r="I13" s="150" t="s">
        <v>13</v>
      </c>
      <c r="K13" s="24" t="b">
        <f>CompanyEnhanced="Yes"</f>
        <v>1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3.7000000000000005E-2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20</v>
      </c>
    </row>
    <row r="22" spans="1:27" s="193" customFormat="1" ht="13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91.528362738236495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100.167909247879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3.9590000000000001</v>
      </c>
      <c r="M26" s="35">
        <f>+F_Inputs!K5</f>
        <v>3.9590000000000001</v>
      </c>
      <c r="N26" s="35">
        <f>+F_Inputs!L5</f>
        <v>3.9590000000000001</v>
      </c>
      <c r="O26" s="35">
        <f>+F_Inputs!M5</f>
        <v>3.9590000000000001</v>
      </c>
      <c r="P26" s="35">
        <f>+F_Inputs!N5</f>
        <v>3.9590000000000001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3.5329999999999999</v>
      </c>
      <c r="M27" s="35">
        <f>+F_Inputs!K6</f>
        <v>3.5329999999999999</v>
      </c>
      <c r="N27" s="35">
        <f>+F_Inputs!L6</f>
        <v>3.5329999999999999</v>
      </c>
      <c r="O27" s="35">
        <f>+F_Inputs!M6</f>
        <v>3.5329999999999999</v>
      </c>
      <c r="P27" s="35">
        <f>+F_Inputs!N6</f>
        <v>3.5329999999999999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91.5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99.5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137.23699999999999</v>
      </c>
      <c r="M40" s="35">
        <f>+F_Inputs!K14</f>
        <v>144.446</v>
      </c>
      <c r="N40" s="35">
        <f>+F_Inputs!L14</f>
        <v>144.84200000000001</v>
      </c>
      <c r="O40" s="35">
        <f>+F_Inputs!M14</f>
        <v>129.34399999999999</v>
      </c>
      <c r="P40" s="35">
        <f>+F_Inputs!N14</f>
        <v>122.958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191.76303941028101</v>
      </c>
      <c r="M41" s="35">
        <f>+F_Inputs!K15</f>
        <v>193.21785944854901</v>
      </c>
      <c r="N41" s="35">
        <f>+F_Inputs!L15</f>
        <v>176.77575853316199</v>
      </c>
      <c r="O41" s="35">
        <f>+F_Inputs!M15</f>
        <v>158.74321049344701</v>
      </c>
      <c r="P41" s="35">
        <f>+F_Inputs!N15</f>
        <v>155.77600208541901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142.91107292136101</v>
      </c>
      <c r="M46" s="35">
        <f>+F_Inputs!K12</f>
        <v>150.01964783469199</v>
      </c>
      <c r="N46" s="35">
        <f>+F_Inputs!L12</f>
        <v>150.416397249856</v>
      </c>
      <c r="O46" s="35">
        <f>+F_Inputs!M12</f>
        <v>134.91814197461801</v>
      </c>
      <c r="P46" s="35">
        <f>+F_Inputs!N12</f>
        <v>128.53178169577299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192.131855788709</v>
      </c>
      <c r="M47" s="35">
        <f>+F_Inputs!K13</f>
        <v>193.466675826977</v>
      </c>
      <c r="N47" s="35">
        <f>+F_Inputs!L13</f>
        <v>177.02457491159001</v>
      </c>
      <c r="O47" s="35">
        <f>+F_Inputs!M13</f>
        <v>158.992026871875</v>
      </c>
      <c r="P47" s="35">
        <f>+F_Inputs!N13</f>
        <v>156.024818463847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122.742</v>
      </c>
      <c r="M52" s="35">
        <f>+F_Inputs!K16</f>
        <v>142.45599999999999</v>
      </c>
      <c r="N52" s="35">
        <f>+F_Inputs!L16</f>
        <v>147.68700000000001</v>
      </c>
      <c r="O52" s="35">
        <v>122.834</v>
      </c>
      <c r="P52" s="35">
        <v>118.66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166.15299999999999</v>
      </c>
      <c r="M53" s="35">
        <f>+F_Inputs!K17</f>
        <v>181.566</v>
      </c>
      <c r="N53" s="35">
        <f>+F_Inputs!L17</f>
        <v>168.72800000000001</v>
      </c>
      <c r="O53" s="35">
        <v>159.744</v>
      </c>
      <c r="P53" s="35">
        <v>155.91399999999999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1.0680000000000001</v>
      </c>
      <c r="M60" s="35">
        <f>+F_Inputs!K18</f>
        <v>0.57899999999999996</v>
      </c>
      <c r="N60" s="35">
        <f>+F_Inputs!L18</f>
        <v>1.085</v>
      </c>
      <c r="O60" s="35">
        <v>0.90200000000000002</v>
      </c>
      <c r="P60" s="35">
        <v>0.871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3.0510000000000002</v>
      </c>
      <c r="M61" s="35">
        <f>+F_Inputs!K19</f>
        <v>3.2719999999999998</v>
      </c>
      <c r="N61" s="35">
        <f>+F_Inputs!L19</f>
        <v>4.2809999999999997</v>
      </c>
      <c r="O61" s="35">
        <v>4.63</v>
      </c>
      <c r="P61" s="35">
        <v>5.8769999999999998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8.6560000000000006</v>
      </c>
      <c r="M62" s="35">
        <f>+F_Inputs!K20</f>
        <v>0</v>
      </c>
      <c r="N62" s="35">
        <f>+F_Inputs!L20</f>
        <v>0</v>
      </c>
      <c r="O62" s="35">
        <f>+F_Inputs!M20</f>
        <v>4.577</v>
      </c>
      <c r="P62" s="35">
        <v>4.7169999999999996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0.64400000000000002</v>
      </c>
      <c r="M64" s="230">
        <f>+F_Inputs!K30</f>
        <v>0.9</v>
      </c>
      <c r="N64" s="230">
        <f>+F_Inputs!L30</f>
        <v>0.81499999999999995</v>
      </c>
      <c r="O64" s="230">
        <f>+F_Inputs!M30</f>
        <v>0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2.347</v>
      </c>
      <c r="M66" s="35">
        <f>+F_Inputs!K22</f>
        <v>2.0099999999999998</v>
      </c>
      <c r="N66" s="35">
        <f>+F_Inputs!L22</f>
        <v>1.827</v>
      </c>
      <c r="O66" s="35">
        <v>1.73</v>
      </c>
      <c r="P66" s="35">
        <v>1.6890000000000001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7.4669999999999996</v>
      </c>
      <c r="M68" s="35">
        <f>+F_Inputs!K24</f>
        <v>0</v>
      </c>
      <c r="N68" s="35">
        <f>+F_Inputs!L24</f>
        <v>0</v>
      </c>
      <c r="O68" s="35">
        <v>4.798</v>
      </c>
      <c r="P68" s="35">
        <v>4.944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1.86</v>
      </c>
      <c r="M70" s="230">
        <f>+F_Inputs!K31</f>
        <v>2.68</v>
      </c>
      <c r="N70" s="230">
        <f>+F_Inputs!L31</f>
        <v>0.32600000000000001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1.6140000000000001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0.90800000000000003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115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0.55000000000000004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118</v>
      </c>
      <c r="I107" s="58"/>
    </row>
    <row r="108" spans="1:24" s="3" customFormat="1" ht="13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 ht="13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0.75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8.75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-3.7500000000000006E-2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15</v>
      </c>
      <c r="E125" s="39" t="s">
        <v>142</v>
      </c>
      <c r="F125" s="33"/>
      <c r="L125" s="179">
        <f>+F_Inputs!J28</f>
        <v>0.62351000000000001</v>
      </c>
      <c r="M125" s="179">
        <f>+F_Inputs!K28</f>
        <v>0.57637000000000005</v>
      </c>
      <c r="N125" s="179">
        <f>+F_Inputs!L28</f>
        <v>0.54281999999999997</v>
      </c>
      <c r="O125" s="179">
        <f>+F_Inputs!M28</f>
        <v>0.59411999999999998</v>
      </c>
      <c r="P125" s="179">
        <f>+F_Inputs!N28</f>
        <v>0.62239</v>
      </c>
      <c r="Q125" s="61" t="s">
        <v>143</v>
      </c>
    </row>
    <row r="126" spans="1:27" ht="13">
      <c r="D126" s="30" t="s">
        <v>15</v>
      </c>
      <c r="E126" s="39" t="s">
        <v>144</v>
      </c>
      <c r="F126" s="33"/>
      <c r="L126" s="179">
        <f>+F_Inputs!J29</f>
        <v>0.49670999999999998</v>
      </c>
      <c r="M126" s="179">
        <f>+F_Inputs!K29</f>
        <v>0.49886000000000003</v>
      </c>
      <c r="N126" s="179">
        <f>+F_Inputs!L29</f>
        <v>0.52605999999999997</v>
      </c>
      <c r="O126" s="179">
        <f>+F_Inputs!M29</f>
        <v>0.59167999999999998</v>
      </c>
      <c r="P126" s="179">
        <f>+F_Inputs!N29</f>
        <v>0.60802</v>
      </c>
      <c r="Q126" s="61" t="s">
        <v>145</v>
      </c>
    </row>
    <row r="127" spans="1:27"/>
    <row r="128" spans="1:27" s="22" customFormat="1" ht="14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0.56699999999999995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0.97875000000000001</v>
      </c>
    </row>
    <row r="133" spans="1:24" ht="14.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154</v>
      </c>
      <c r="V139" s="30"/>
    </row>
    <row r="140" spans="1:24" ht="13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X18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 ht="13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 ht="13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115.75959983296927</v>
      </c>
      <c r="M14" s="50">
        <f>Actual.Totex.Water/Indexation.Average</f>
        <v>131.53402987515327</v>
      </c>
      <c r="N14" s="50">
        <f>Actual.Totex.Water/Indexation.Average</f>
        <v>131.4449667161781</v>
      </c>
      <c r="O14" s="50">
        <f>Actual.Totex.Water/Indexation.Average</f>
        <v>105.70751726361451</v>
      </c>
      <c r="P14" s="50">
        <f>Actual.Totex.Water/Indexation.Average</f>
        <v>99.103292845967857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156.70108675960424</v>
      </c>
      <c r="M15" s="50">
        <f>Actual.Totex.Sewerage/Indexation.Average</f>
        <v>167.64550224849833</v>
      </c>
      <c r="N15" s="50">
        <f>Actual.Totex.Sewerage/Indexation.Average</f>
        <v>150.1719605929249</v>
      </c>
      <c r="O15" s="50">
        <f>Actual.Totex.Sewerage/Indexation.Average</f>
        <v>137.47123465619319</v>
      </c>
      <c r="P15" s="50">
        <f>Actual.Totex.Sewerage/Indexation.Average</f>
        <v>130.21735041957047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12.65563596942053</v>
      </c>
      <c r="M18" s="50">
        <f>SUM(INDEX(Actual.Exclusions.Water,,M6))/Indexation.Average</f>
        <v>4.3867452121135875</v>
      </c>
      <c r="N18" s="50">
        <f>SUM(INDEX(Actual.Exclusions.Water,,N6))/Indexation.Average</f>
        <v>5.5012380187335159</v>
      </c>
      <c r="O18" s="50">
        <f>SUM(INDEX(Actual.Exclusions.Water,,O6))/Indexation.Average</f>
        <v>8.6995236825136288</v>
      </c>
      <c r="P18" s="50">
        <f>SUM(INDEX(Actual.Exclusions.Water,,P6))/Indexation.Average</f>
        <v>9.5754192860190592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11.009903443402285</v>
      </c>
      <c r="M19" s="221">
        <f>SUM(Inputs!M66:M72)/Indexation.Average</f>
        <v>4.3304220258498676</v>
      </c>
      <c r="N19" s="221">
        <f>SUM(Inputs!N66:N72)/Indexation.Average</f>
        <v>1.9162215587013851</v>
      </c>
      <c r="O19" s="221">
        <f>SUM(Inputs!O66:O72)/Indexation.Average</f>
        <v>5.6178148777771257</v>
      </c>
      <c r="P19" s="221">
        <f>SUM(Inputs!P66:P72)/Indexation.Average</f>
        <v>5.539795562508889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1.6140000000000001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0.90800000000000003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104.71796386354875</v>
      </c>
      <c r="M30" s="221">
        <f t="shared" ref="M30:P30" si="2">M14-M18+M22</f>
        <v>127.14728466303968</v>
      </c>
      <c r="N30" s="221">
        <f t="shared" si="2"/>
        <v>125.94372869744458</v>
      </c>
      <c r="O30" s="221">
        <f t="shared" si="2"/>
        <v>97.007993581100877</v>
      </c>
      <c r="P30" s="221">
        <f t="shared" si="2"/>
        <v>89.527873559948802</v>
      </c>
      <c r="Q30" s="59" t="s">
        <v>178</v>
      </c>
      <c r="R30" s="3"/>
      <c r="S30" s="3"/>
      <c r="T30" s="3"/>
      <c r="X30" s="76"/>
    </row>
    <row r="31" spans="1:24" s="75" customFormat="1" ht="13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146.59918331620193</v>
      </c>
      <c r="M31" s="221">
        <f t="shared" ref="M31:P31" si="3">M15-M19+M23</f>
        <v>163.31508022264848</v>
      </c>
      <c r="N31" s="221">
        <f t="shared" si="3"/>
        <v>148.25573903422352</v>
      </c>
      <c r="O31" s="221">
        <f t="shared" si="3"/>
        <v>131.85341977841605</v>
      </c>
      <c r="P31" s="221">
        <f t="shared" si="3"/>
        <v>124.67755485706158</v>
      </c>
      <c r="Q31" s="59" t="s">
        <v>180</v>
      </c>
      <c r="R31" s="3"/>
      <c r="S31" s="3"/>
      <c r="T31" s="3"/>
      <c r="X31" s="76"/>
    </row>
    <row r="32" spans="1:24" s="75" customFormat="1" ht="13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251.31714717975069</v>
      </c>
      <c r="M32" s="81">
        <f>SUM(M30:M31)</f>
        <v>290.46236488568815</v>
      </c>
      <c r="N32" s="81">
        <f t="shared" ref="N32:P32" si="4">SUM(N30:N31)</f>
        <v>274.19946773166811</v>
      </c>
      <c r="O32" s="81">
        <f t="shared" si="4"/>
        <v>228.86141335951692</v>
      </c>
      <c r="P32" s="81">
        <f t="shared" si="4"/>
        <v>214.20542841701038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0.52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103.75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-2.1750000000000007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0.59000000000000008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2.5499999999999989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0.566943274523527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97.882090684559131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1.1289658045450306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0.54966418150424201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100.04197731196975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-2.3101618341124563E-2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0.56699999999999995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97.875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1.132625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0.55099999999999993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99.875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6.8624999999999048E-2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0.80189038498038945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80.18903849803894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11.160565171611921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0.11160565171611921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0.8156118429146294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81.561184291462936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10.159537455403919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0.10159537455403919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75.760929737498046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89.025575222355869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1.5493588011834636</v>
      </c>
      <c r="M97" s="153">
        <f>FD.AddInc.Coeff.Water/100*Baseline.Totex.Water</f>
        <v>1.6307459460331148</v>
      </c>
      <c r="N97" s="153">
        <f>FD.AddInc.Coeff.Water/100*Baseline.Totex.Water</f>
        <v>1.6352166506191135</v>
      </c>
      <c r="O97" s="153">
        <f>FD.AddInc.Coeff.Water/100*Baseline.Totex.Water</f>
        <v>1.4602495302307243</v>
      </c>
      <c r="P97" s="153">
        <f>FD.AddInc.Coeff.Water/100*Baseline.Totex.Water</f>
        <v>1.3881537739524787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-4.4300365483903398E-2</v>
      </c>
      <c r="M98" s="153">
        <f>FD.AddInc.Coeff.Sewerage/100*Baseline.Totex.Sewerage</f>
        <v>-4.4636452456694273E-2</v>
      </c>
      <c r="N98" s="153">
        <f>FD.AddInc.Coeff.Sewerage/100*Baseline.Totex.Sewerage</f>
        <v>-4.0838061055959017E-2</v>
      </c>
      <c r="O98" s="153">
        <f>FD.AddInc.Coeff.Sewerage/100*Baseline.Totex.Sewerage</f>
        <v>-3.6672250630644124E-2</v>
      </c>
      <c r="P98" s="153">
        <f>FD.AddInc.Coeff.Sewerage/100*Baseline.Totex.Sewerage</f>
        <v>-3.5986777468835739E-2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68.097205035479149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89.228009129451905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13.767066023381588</v>
      </c>
      <c r="M105" s="153">
        <f>IF(SUM(Baseline.Totex.Water)=0,0,$G101*(Baseline.Totex.Water/SUM(Baseline.Totex.Water)))</f>
        <v>14.490244021753441</v>
      </c>
      <c r="N105" s="153">
        <f>IF(SUM(Baseline.Totex.Water)=0,0,$G101*(Baseline.Totex.Water/SUM(Baseline.Totex.Water)))</f>
        <v>14.529969155247027</v>
      </c>
      <c r="O105" s="153">
        <f>IF(SUM(Baseline.Totex.Water)=0,0,$G101*(Baseline.Totex.Water/SUM(Baseline.Totex.Water)))</f>
        <v>12.975271885338998</v>
      </c>
      <c r="P105" s="153">
        <f>IF(SUM(Baseline.Totex.Water)=0,0,$G101*(Baseline.Totex.Water/SUM(Baseline.Totex.Water)))</f>
        <v>12.334653949758108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19.526538179992382</v>
      </c>
      <c r="M106" s="153">
        <f>IF(SUM(Baseline.Totex.Sewerage)=0,0,$G102*(Baseline.Totex.Sewerage/SUM(Baseline.Totex.Sewerage)))</f>
        <v>19.674677253661734</v>
      </c>
      <c r="N106" s="153">
        <f>IF(SUM(Baseline.Totex.Sewerage)=0,0,$G102*(Baseline.Totex.Sewerage/SUM(Baseline.Totex.Sewerage)))</f>
        <v>18.000437461306941</v>
      </c>
      <c r="O106" s="153">
        <f>IF(SUM(Baseline.Totex.Sewerage)=0,0,$G102*(Baseline.Totex.Sewerage/SUM(Baseline.Totex.Sewerage)))</f>
        <v>16.16424817862308</v>
      </c>
      <c r="P106" s="153">
        <f>IF(SUM(Baseline.Totex.Sewerage)=0,0,$G102*(Baseline.Totex.Sewerage/SUM(Baseline.Totex.Sewerage)))</f>
        <v>15.86210805586777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15.920489649637469</v>
      </c>
      <c r="M109" s="153">
        <f>M105*(1+WACC)^Calcs!M7</f>
        <v>16.158906514695843</v>
      </c>
      <c r="N109" s="153">
        <f>N105*(1+WACC)^Calcs!N7</f>
        <v>15.625078400508837</v>
      </c>
      <c r="O109" s="153">
        <f>O105*(1+WACC)^Calcs!O7</f>
        <v>13.45535694509654</v>
      </c>
      <c r="P109" s="153">
        <f>P105*(1+WACC)^Calcs!P7</f>
        <v>12.334653949758108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22.580849722071751</v>
      </c>
      <c r="M110" s="153">
        <f>M106*(1+WACC)^Calcs!M7</f>
        <v>21.940366909725903</v>
      </c>
      <c r="N110" s="153">
        <f>N106*(1+WACC)^Calcs!N7</f>
        <v>19.357112432328179</v>
      </c>
      <c r="O110" s="153">
        <f>O106*(1+WACC)^Calcs!O7</f>
        <v>16.762325361232133</v>
      </c>
      <c r="P110" s="153">
        <f>P106*(1+WACC)^Calcs!P7</f>
        <v>15.86210805586777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73.49448545969679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96.50276248122573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134.33044479276842</v>
      </c>
      <c r="M136" s="153">
        <f>Baseline.Totex.Water*(FD.AllExp.Coeff.Water/100)</f>
        <v>141.38676471021827</v>
      </c>
      <c r="N136" s="153">
        <f>Baseline.Totex.Water*(FD.AllExp.Coeff.Water/100)</f>
        <v>141.77437778932915</v>
      </c>
      <c r="O136" s="153">
        <f>Baseline.Totex.Water*(FD.AllExp.Coeff.Water/100)</f>
        <v>126.60461137503616</v>
      </c>
      <c r="P136" s="153">
        <f>Baseline.Totex.Water*(FD.AllExp.Coeff.Water/100)</f>
        <v>120.35386106392022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191.84353637957696</v>
      </c>
      <c r="M137" s="153">
        <f>Baseline.Totex.Sewerage*(FD.AllExp.Coeff.Sewerage/100)</f>
        <v>193.29896711219101</v>
      </c>
      <c r="N137" s="153">
        <f>Baseline.Totex.Sewerage*(FD.AllExp.Coeff.Sewerage/100)</f>
        <v>176.84996424480835</v>
      </c>
      <c r="O137" s="153">
        <f>Baseline.Totex.Sewerage*(FD.AllExp.Coeff.Sewerage/100)</f>
        <v>158.80984662614665</v>
      </c>
      <c r="P137" s="153">
        <f>Baseline.Totex.Sewerage*(FD.AllExp.Coeff.Sewerage/100)</f>
        <v>155.84139266378841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142.91107292136101</v>
      </c>
      <c r="M140" s="153">
        <f>Inputs!M46</f>
        <v>150.01964783469199</v>
      </c>
      <c r="N140" s="153">
        <f>Inputs!N46</f>
        <v>150.416397249856</v>
      </c>
      <c r="O140" s="153">
        <f>Inputs!O46</f>
        <v>134.91814197461801</v>
      </c>
      <c r="P140" s="153">
        <f>Inputs!P46</f>
        <v>128.53178169577299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192.131855788709</v>
      </c>
      <c r="M141" s="153">
        <f>Inputs!M47</f>
        <v>193.466675826977</v>
      </c>
      <c r="N141" s="153">
        <f>Inputs!N47</f>
        <v>177.02457491159001</v>
      </c>
      <c r="O141" s="153">
        <f>Inputs!O47</f>
        <v>158.992026871875</v>
      </c>
      <c r="P141" s="153">
        <f>Inputs!P47</f>
        <v>156.024818463847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8.5806281285925934</v>
      </c>
      <c r="M144" s="153">
        <f t="shared" ref="M144:P144" si="5">M140-M136</f>
        <v>8.6328831244737216</v>
      </c>
      <c r="N144" s="153">
        <f t="shared" si="5"/>
        <v>8.6420194605268534</v>
      </c>
      <c r="O144" s="153">
        <f t="shared" si="5"/>
        <v>8.3135305995818527</v>
      </c>
      <c r="P144" s="153">
        <f t="shared" si="5"/>
        <v>8.1779206318527713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0.28831940913204335</v>
      </c>
      <c r="M145" s="153">
        <f t="shared" ref="M145:P145" si="6">M141-M137</f>
        <v>0.16770871478598792</v>
      </c>
      <c r="N145" s="153">
        <f t="shared" si="6"/>
        <v>0.17461066678166048</v>
      </c>
      <c r="O145" s="153">
        <f t="shared" si="6"/>
        <v>0.18218024572834679</v>
      </c>
      <c r="P145" s="153">
        <f t="shared" si="6"/>
        <v>0.18342580005858622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134.32071375000001</v>
      </c>
      <c r="M148" s="153">
        <f>Baseline.Totex.Water*(AllExp.Coeff.Water/100)</f>
        <v>141.37652249999999</v>
      </c>
      <c r="N148" s="153">
        <f>Baseline.Totex.Water*(AllExp.Coeff.Water/100)</f>
        <v>141.76410750000002</v>
      </c>
      <c r="O148" s="153">
        <f>Baseline.Totex.Water*(AllExp.Coeff.Water/100)</f>
        <v>126.59544</v>
      </c>
      <c r="P148" s="153">
        <f>Baseline.Totex.Water*(AllExp.Coeff.Water/100)</f>
        <v>120.34514249999999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191.52333561101815</v>
      </c>
      <c r="M149" s="153">
        <f>Baseline.Totex.Sewerage*(AllExp.Coeff.Sewerage/100)</f>
        <v>192.97633712423831</v>
      </c>
      <c r="N149" s="153">
        <f>Baseline.Totex.Sewerage*(AllExp.Coeff.Sewerage/100)</f>
        <v>176.55478883499555</v>
      </c>
      <c r="O149" s="153">
        <f>Baseline.Totex.Sewerage*(AllExp.Coeff.Sewerage/100)</f>
        <v>158.54478148033022</v>
      </c>
      <c r="P149" s="153">
        <f>Baseline.Totex.Sewerage*(AllExp.Coeff.Sewerage/100)</f>
        <v>155.58128208281224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142.9013418785926</v>
      </c>
      <c r="M152" s="153">
        <f t="shared" ref="M152:P152" si="7">M148+M144</f>
        <v>150.00940562447371</v>
      </c>
      <c r="N152" s="153">
        <f t="shared" si="7"/>
        <v>150.40612696052688</v>
      </c>
      <c r="O152" s="153">
        <f t="shared" si="7"/>
        <v>134.90897059958183</v>
      </c>
      <c r="P152" s="153">
        <f t="shared" si="7"/>
        <v>128.52306313185278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191.8116550201502</v>
      </c>
      <c r="M153" s="153">
        <f t="shared" ref="M153:P153" si="8">M149+M145</f>
        <v>193.1440458390243</v>
      </c>
      <c r="N153" s="153">
        <f t="shared" si="8"/>
        <v>176.72939950177721</v>
      </c>
      <c r="O153" s="153">
        <f t="shared" si="8"/>
        <v>158.72696172605856</v>
      </c>
      <c r="P153" s="153">
        <f t="shared" si="8"/>
        <v>155.76470788287082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-9.7310427684078604E-3</v>
      </c>
      <c r="M156" s="153">
        <f t="shared" si="9"/>
        <v>-1.0242210218279979E-2</v>
      </c>
      <c r="N156" s="153">
        <f t="shared" si="9"/>
        <v>-1.0270289329127991E-2</v>
      </c>
      <c r="O156" s="153">
        <f t="shared" si="9"/>
        <v>-9.1713750361606117E-3</v>
      </c>
      <c r="P156" s="153">
        <f t="shared" si="9"/>
        <v>-8.7185639202260745E-3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-0.32020076855880575</v>
      </c>
      <c r="M157" s="153">
        <f t="shared" si="9"/>
        <v>-0.32262998795269482</v>
      </c>
      <c r="N157" s="153">
        <f t="shared" si="9"/>
        <v>-0.29517540981279922</v>
      </c>
      <c r="O157" s="153">
        <f t="shared" si="9"/>
        <v>-0.26506514581643614</v>
      </c>
      <c r="P157" s="153">
        <f t="shared" si="9"/>
        <v>-0.26011058097617479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-29.602749886451264</v>
      </c>
      <c r="M162" s="218">
        <f>(Actual.Totex.Water-SUM(Inputs!M60:M64))/Indexation.Average-M148</f>
        <v>-14.229237836960323</v>
      </c>
      <c r="N162" s="218">
        <f>(Actual.Totex.Water-SUM(Inputs!N60:N64))/Indexation.Average-N148</f>
        <v>-15.820378802555439</v>
      </c>
      <c r="O162" s="218">
        <f>(Actual.Totex.Water-SUM(Inputs!O60:O64))/Indexation.Average-O148</f>
        <v>-29.58744641889912</v>
      </c>
      <c r="P162" s="218">
        <f>(Actual.Totex.Water-SUM(Inputs!P60:P64))/Indexation.Average-P148</f>
        <v>-30.817268940051207</v>
      </c>
      <c r="Q162" s="161"/>
      <c r="R162" s="3"/>
      <c r="S162" s="3"/>
      <c r="T162" s="3"/>
      <c r="W162" s="211" t="s">
        <v>279</v>
      </c>
      <c r="X162" s="76"/>
    </row>
    <row r="163" spans="1:24" s="75" customFormat="1" ht="13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-44.924152294816224</v>
      </c>
      <c r="M163" s="218">
        <f>(Actual.Totex.Sewerage-SUM(Inputs!M66:M72))/Indexation.Average-M149</f>
        <v>-29.661256901589837</v>
      </c>
      <c r="N163" s="218">
        <f>(Actual.Totex.Sewerage-SUM(Inputs!N66:N72))/Indexation.Average-N149</f>
        <v>-28.299049800772025</v>
      </c>
      <c r="O163" s="218">
        <f>(Actual.Totex.Sewerage-SUM(Inputs!O66:O72))/Indexation.Average-O149</f>
        <v>-26.691361701914133</v>
      </c>
      <c r="P163" s="218">
        <f>(Actual.Totex.Sewerage-SUM(Inputs!P66:P72))/Indexation.Average-P149</f>
        <v>-30.903727225750671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-29.612480929219672</v>
      </c>
      <c r="M166" s="153">
        <f t="shared" ref="L166:P167" si="10">M162+M156</f>
        <v>-14.239480047178603</v>
      </c>
      <c r="N166" s="153">
        <f t="shared" si="10"/>
        <v>-15.830649091884567</v>
      </c>
      <c r="O166" s="153">
        <f t="shared" si="10"/>
        <v>-29.59661779393528</v>
      </c>
      <c r="P166" s="153">
        <f t="shared" si="10"/>
        <v>-30.825987503971433</v>
      </c>
      <c r="Q166" s="89" t="s">
        <v>283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-45.24435306337503</v>
      </c>
      <c r="M167" s="153">
        <f t="shared" si="10"/>
        <v>-29.983886889542532</v>
      </c>
      <c r="N167" s="153">
        <f t="shared" si="10"/>
        <v>-28.594225210584824</v>
      </c>
      <c r="O167" s="153">
        <f t="shared" si="10"/>
        <v>-26.956426847730569</v>
      </c>
      <c r="P167" s="153">
        <f t="shared" si="10"/>
        <v>-31.163837806726846</v>
      </c>
      <c r="Q167" s="89" t="s">
        <v>285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-34.244420367639684</v>
      </c>
      <c r="M170" s="153">
        <f>M166*(1+WACC)^Calcs!M7</f>
        <v>-15.879265149352017</v>
      </c>
      <c r="N170" s="153">
        <f>N166*(1+WACC)^Calcs!N7</f>
        <v>-17.02378928329081</v>
      </c>
      <c r="O170" s="153">
        <f>O166*(1+WACC)^Calcs!O7</f>
        <v>-30.691692652310884</v>
      </c>
      <c r="P170" s="153">
        <f>P166*(1+WACC)^Calcs!P7</f>
        <v>-30.825987503971433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-52.321406276881937</v>
      </c>
      <c r="M171" s="153">
        <f>M167*(1+WACC)^Calcs!M7</f>
        <v>-33.436760931559718</v>
      </c>
      <c r="N171" s="153">
        <f>N167*(1+WACC)^Calcs!N7</f>
        <v>-30.749343370481387</v>
      </c>
      <c r="O171" s="153">
        <f>O167*(1+WACC)^Calcs!O7</f>
        <v>-27.953814641096599</v>
      </c>
      <c r="P171" s="153">
        <f>P167*(1+WACC)^Calcs!P7</f>
        <v>-31.163837806726846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-128.66515495656483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-175.62516302674646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0.59045943109216359</v>
      </c>
      <c r="H192" s="89" t="s">
        <v>302</v>
      </c>
    </row>
    <row r="193" spans="1:24" ht="13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0.54009708585541427</v>
      </c>
      <c r="H193" s="89" t="s">
        <v>304</v>
      </c>
    </row>
    <row r="194" spans="1:24"/>
    <row r="195" spans="1:24" s="22" customFormat="1" ht="14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-2.4770687373415541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1.6481237275979197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-52.69360075952649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-80.770524273118653</v>
      </c>
    </row>
    <row r="204" spans="1:24"/>
    <row r="205" spans="1:24" ht="13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3">
      <c r="V4" s="96"/>
    </row>
    <row r="5" spans="1:24" ht="13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41</v>
      </c>
      <c r="E11" s="91" t="s">
        <v>306</v>
      </c>
      <c r="F11" s="33" t="s">
        <v>28</v>
      </c>
      <c r="P11" s="88">
        <f>Calcs!P197</f>
        <v>-2.4770687373415541</v>
      </c>
      <c r="X11" s="74"/>
    </row>
    <row r="12" spans="1:24" s="3" customFormat="1" ht="12.5">
      <c r="A12" s="72"/>
      <c r="D12" s="30" t="s">
        <v>41</v>
      </c>
      <c r="E12" s="91" t="s">
        <v>307</v>
      </c>
      <c r="F12" s="33" t="s">
        <v>28</v>
      </c>
      <c r="P12" s="88">
        <f>Calcs!P198</f>
        <v>1.6481237275979197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41</v>
      </c>
      <c r="E14" s="78" t="s">
        <v>316</v>
      </c>
      <c r="F14" s="33" t="s">
        <v>28</v>
      </c>
      <c r="P14" s="156">
        <f>SUM(P11:P12)</f>
        <v>-0.82894500974363439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41</v>
      </c>
      <c r="E18" s="91" t="s">
        <v>309</v>
      </c>
      <c r="F18" s="33" t="s">
        <v>28</v>
      </c>
      <c r="P18" s="88">
        <f>Calcs!P202</f>
        <v>-52.69360075952649</v>
      </c>
      <c r="X18" s="74"/>
    </row>
    <row r="19" spans="1:24" s="3" customFormat="1" ht="12.5">
      <c r="A19" s="72"/>
      <c r="D19" s="30" t="s">
        <v>41</v>
      </c>
      <c r="E19" s="91" t="s">
        <v>310</v>
      </c>
      <c r="F19" s="33" t="s">
        <v>28</v>
      </c>
      <c r="P19" s="88">
        <f>Calcs!P203</f>
        <v>-80.770524273118653</v>
      </c>
      <c r="X19" s="74"/>
    </row>
    <row r="20" spans="1:24" customFormat="1" ht="14.5">
      <c r="G20" s="7"/>
    </row>
    <row r="21" spans="1:24" s="3" customFormat="1" ht="13">
      <c r="A21" s="72"/>
      <c r="D21" s="30" t="s">
        <v>41</v>
      </c>
      <c r="E21" s="78" t="s">
        <v>318</v>
      </c>
      <c r="F21" s="33" t="s">
        <v>28</v>
      </c>
      <c r="P21" s="156">
        <f>SUM(P18:P19)</f>
        <v>-133.46412503264514</v>
      </c>
      <c r="X21" s="74"/>
    </row>
    <row r="22" spans="1:24" ht="13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-133.46412503264514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E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.90625" style="262" customWidth="1"/>
    <col min="2" max="2" width="20.54296875" style="262" customWidth="1"/>
    <col min="3" max="3" width="22.90625" style="262" customWidth="1"/>
    <col min="4" max="4" width="3.26953125" style="262" customWidth="1"/>
    <col min="5" max="5" width="15.26953125" style="262" customWidth="1"/>
    <col min="6" max="6" width="8.36328125" style="262" customWidth="1"/>
    <col min="7" max="7" width="14.08984375" style="262" customWidth="1"/>
    <col min="8" max="16384" width="8.90625" style="262"/>
  </cols>
  <sheetData>
    <row r="1" spans="1:7">
      <c r="C1" s="262" t="s">
        <v>468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-2.4770687373415541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1.6481237275979197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-0.82894500974363439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-52.69360075952649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-80.770524273118653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-133.46412503264514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P2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288.10000000000002</v>
      </c>
      <c r="Q11" s="128">
        <f>F_Inputs!O34</f>
        <v>296.7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290.5</v>
      </c>
      <c r="Q12" s="128">
        <f>F_Inputs!O35</f>
        <v>299.2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282.60000000000002</v>
      </c>
      <c r="P13" s="128">
        <f>F_Inputs!N36</f>
        <v>291.10000000000002</v>
      </c>
      <c r="Q13" s="128">
        <f>F_Inputs!O36</f>
        <v>299.8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282.7</v>
      </c>
      <c r="P14" s="128">
        <f>F_Inputs!N37</f>
        <v>291.2</v>
      </c>
      <c r="Q14" s="128">
        <f>F_Inputs!O37</f>
        <v>299.89999999999998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284.60000000000002</v>
      </c>
      <c r="P15" s="128">
        <f>F_Inputs!N38</f>
        <v>293.10000000000002</v>
      </c>
      <c r="Q15" s="128">
        <f>F_Inputs!O38</f>
        <v>301.89999999999998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285</v>
      </c>
      <c r="P16" s="128">
        <f>F_Inputs!N39</f>
        <v>293.60000000000002</v>
      </c>
      <c r="Q16" s="128">
        <f>F_Inputs!O39</f>
        <v>302.39999999999998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284.7</v>
      </c>
      <c r="P17" s="128">
        <f>F_Inputs!N40</f>
        <v>293.2</v>
      </c>
      <c r="Q17" s="128">
        <f>F_Inputs!O40</f>
        <v>302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285.2</v>
      </c>
      <c r="P18" s="128">
        <f>F_Inputs!N41</f>
        <v>293.8</v>
      </c>
      <c r="Q18" s="128">
        <f>F_Inputs!O41</f>
        <v>302.60000000000002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287.60000000000002</v>
      </c>
      <c r="P19" s="128">
        <f>F_Inputs!N42</f>
        <v>296.2</v>
      </c>
      <c r="Q19" s="128">
        <f>F_Inputs!O42</f>
        <v>305.10000000000002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284.8</v>
      </c>
      <c r="P20" s="128">
        <f>F_Inputs!N43</f>
        <v>293.3</v>
      </c>
      <c r="Q20" s="128">
        <f>F_Inputs!O43</f>
        <v>302.10000000000002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287</v>
      </c>
      <c r="P21" s="128">
        <f>F_Inputs!N44</f>
        <v>295.60000000000002</v>
      </c>
      <c r="Q21" s="128">
        <f>F_Inputs!O44</f>
        <v>304.5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287.2</v>
      </c>
      <c r="P22" s="128">
        <f>F_Inputs!N45</f>
        <v>295.8</v>
      </c>
      <c r="Q22" s="128">
        <f>F_Inputs!O45</f>
        <v>304.7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288.10000000000002</v>
      </c>
      <c r="Q29" s="133">
        <f t="shared" si="2"/>
        <v>296.7</v>
      </c>
      <c r="R29" s="133">
        <f t="shared" si="2"/>
        <v>296.7</v>
      </c>
      <c r="S29" s="133">
        <f t="shared" si="2"/>
        <v>296.7</v>
      </c>
      <c r="T29" s="133">
        <f t="shared" si="2"/>
        <v>296.7</v>
      </c>
      <c r="U29" s="133">
        <f t="shared" si="2"/>
        <v>296.7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290.5</v>
      </c>
      <c r="Q30" s="133">
        <f t="shared" si="3"/>
        <v>299.2</v>
      </c>
      <c r="R30" s="133">
        <f t="shared" si="3"/>
        <v>299.2</v>
      </c>
      <c r="S30" s="133">
        <f t="shared" si="3"/>
        <v>299.2</v>
      </c>
      <c r="T30" s="133">
        <f t="shared" si="3"/>
        <v>299.2</v>
      </c>
      <c r="U30" s="133">
        <f t="shared" si="3"/>
        <v>299.2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282.60000000000002</v>
      </c>
      <c r="P31" s="133">
        <f t="shared" si="3"/>
        <v>291.10000000000002</v>
      </c>
      <c r="Q31" s="133">
        <f t="shared" si="3"/>
        <v>299.8</v>
      </c>
      <c r="R31" s="133">
        <f t="shared" si="3"/>
        <v>299.8</v>
      </c>
      <c r="S31" s="133">
        <f t="shared" si="3"/>
        <v>299.8</v>
      </c>
      <c r="T31" s="133">
        <f t="shared" si="3"/>
        <v>299.8</v>
      </c>
      <c r="U31" s="133">
        <f t="shared" si="3"/>
        <v>299.8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282.7</v>
      </c>
      <c r="P32" s="133">
        <f t="shared" si="3"/>
        <v>291.2</v>
      </c>
      <c r="Q32" s="133">
        <f t="shared" si="3"/>
        <v>299.89999999999998</v>
      </c>
      <c r="R32" s="133">
        <f t="shared" si="3"/>
        <v>299.89999999999998</v>
      </c>
      <c r="S32" s="133">
        <f t="shared" si="3"/>
        <v>299.89999999999998</v>
      </c>
      <c r="T32" s="133">
        <f t="shared" si="3"/>
        <v>299.89999999999998</v>
      </c>
      <c r="U32" s="133">
        <f t="shared" si="3"/>
        <v>299.89999999999998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284.60000000000002</v>
      </c>
      <c r="P33" s="133">
        <f t="shared" si="3"/>
        <v>293.10000000000002</v>
      </c>
      <c r="Q33" s="133">
        <f t="shared" si="3"/>
        <v>301.89999999999998</v>
      </c>
      <c r="R33" s="133">
        <f t="shared" si="3"/>
        <v>301.89999999999998</v>
      </c>
      <c r="S33" s="133">
        <f t="shared" si="3"/>
        <v>301.89999999999998</v>
      </c>
      <c r="T33" s="133">
        <f t="shared" si="3"/>
        <v>301.89999999999998</v>
      </c>
      <c r="U33" s="133">
        <f t="shared" si="3"/>
        <v>301.89999999999998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285</v>
      </c>
      <c r="P34" s="133">
        <f t="shared" si="3"/>
        <v>293.60000000000002</v>
      </c>
      <c r="Q34" s="133">
        <f t="shared" si="3"/>
        <v>302.39999999999998</v>
      </c>
      <c r="R34" s="133">
        <f t="shared" si="3"/>
        <v>302.39999999999998</v>
      </c>
      <c r="S34" s="133">
        <f t="shared" si="3"/>
        <v>302.39999999999998</v>
      </c>
      <c r="T34" s="133">
        <f t="shared" si="3"/>
        <v>302.39999999999998</v>
      </c>
      <c r="U34" s="133">
        <f t="shared" si="3"/>
        <v>302.39999999999998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284.7</v>
      </c>
      <c r="P35" s="133">
        <f t="shared" si="3"/>
        <v>293.2</v>
      </c>
      <c r="Q35" s="133">
        <f t="shared" si="3"/>
        <v>302</v>
      </c>
      <c r="R35" s="133">
        <f t="shared" si="3"/>
        <v>302</v>
      </c>
      <c r="S35" s="133">
        <f t="shared" si="3"/>
        <v>302</v>
      </c>
      <c r="T35" s="133">
        <f t="shared" si="3"/>
        <v>302</v>
      </c>
      <c r="U35" s="133">
        <f t="shared" si="3"/>
        <v>302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285.2</v>
      </c>
      <c r="P36" s="133">
        <f t="shared" si="3"/>
        <v>293.8</v>
      </c>
      <c r="Q36" s="133">
        <f t="shared" si="3"/>
        <v>302.60000000000002</v>
      </c>
      <c r="R36" s="133">
        <f t="shared" si="3"/>
        <v>302.60000000000002</v>
      </c>
      <c r="S36" s="133">
        <f t="shared" si="3"/>
        <v>302.60000000000002</v>
      </c>
      <c r="T36" s="133">
        <f t="shared" si="3"/>
        <v>302.60000000000002</v>
      </c>
      <c r="U36" s="133">
        <f t="shared" si="3"/>
        <v>302.60000000000002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287.60000000000002</v>
      </c>
      <c r="P37" s="133">
        <f t="shared" si="3"/>
        <v>296.2</v>
      </c>
      <c r="Q37" s="133">
        <f t="shared" si="3"/>
        <v>305.10000000000002</v>
      </c>
      <c r="R37" s="133">
        <f t="shared" si="3"/>
        <v>305.10000000000002</v>
      </c>
      <c r="S37" s="133">
        <f t="shared" si="3"/>
        <v>305.10000000000002</v>
      </c>
      <c r="T37" s="133">
        <f t="shared" si="3"/>
        <v>305.10000000000002</v>
      </c>
      <c r="U37" s="133">
        <f t="shared" si="3"/>
        <v>305.10000000000002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284.8</v>
      </c>
      <c r="P38" s="133">
        <f t="shared" si="3"/>
        <v>293.3</v>
      </c>
      <c r="Q38" s="133">
        <f t="shared" si="3"/>
        <v>302.10000000000002</v>
      </c>
      <c r="R38" s="133">
        <f t="shared" si="3"/>
        <v>302.10000000000002</v>
      </c>
      <c r="S38" s="133">
        <f t="shared" si="3"/>
        <v>302.10000000000002</v>
      </c>
      <c r="T38" s="133">
        <f t="shared" si="3"/>
        <v>302.10000000000002</v>
      </c>
      <c r="U38" s="133">
        <f t="shared" si="3"/>
        <v>302.10000000000002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287</v>
      </c>
      <c r="P39" s="133">
        <f t="shared" si="3"/>
        <v>295.60000000000002</v>
      </c>
      <c r="Q39" s="133">
        <f t="shared" si="3"/>
        <v>304.5</v>
      </c>
      <c r="R39" s="133">
        <f t="shared" si="3"/>
        <v>304.5</v>
      </c>
      <c r="S39" s="133">
        <f t="shared" si="3"/>
        <v>304.5</v>
      </c>
      <c r="T39" s="133">
        <f t="shared" si="3"/>
        <v>304.5</v>
      </c>
      <c r="U39" s="133">
        <f t="shared" si="3"/>
        <v>304.5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287.2</v>
      </c>
      <c r="P40" s="133">
        <f t="shared" si="3"/>
        <v>295.8</v>
      </c>
      <c r="Q40" s="133">
        <f t="shared" si="3"/>
        <v>304.7</v>
      </c>
      <c r="R40" s="133">
        <f t="shared" si="3"/>
        <v>304.7</v>
      </c>
      <c r="S40" s="133">
        <f t="shared" si="3"/>
        <v>304.7</v>
      </c>
      <c r="T40" s="133">
        <f t="shared" si="3"/>
        <v>304.7</v>
      </c>
      <c r="U40" s="133">
        <f t="shared" si="3"/>
        <v>304.7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284.31666666666666</v>
      </c>
      <c r="P41" s="129">
        <f t="shared" si="4"/>
        <v>292.95833333333331</v>
      </c>
      <c r="Q41" s="129">
        <f t="shared" si="4"/>
        <v>301.74166666666662</v>
      </c>
      <c r="R41" s="129">
        <f t="shared" si="4"/>
        <v>301.74166666666662</v>
      </c>
      <c r="S41" s="129">
        <f t="shared" si="4"/>
        <v>301.74166666666662</v>
      </c>
      <c r="T41" s="129">
        <f t="shared" si="4"/>
        <v>301.74166666666662</v>
      </c>
      <c r="U41" s="129">
        <f t="shared" si="4"/>
        <v>301.74166666666662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1.1958071278825995</v>
      </c>
      <c r="Q45" s="185">
        <f t="shared" si="5"/>
        <v>1.2318658280922432</v>
      </c>
      <c r="R45" s="185">
        <f t="shared" si="5"/>
        <v>1.268763102725367</v>
      </c>
      <c r="S45" s="185">
        <f t="shared" si="5"/>
        <v>1.268763102725367</v>
      </c>
      <c r="T45" s="185">
        <f t="shared" si="5"/>
        <v>1.268763102725367</v>
      </c>
      <c r="U45" s="185">
        <f t="shared" si="5"/>
        <v>1.268763102725367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1.1620176424508704</v>
      </c>
      <c r="P49" s="185">
        <f t="shared" si="6"/>
        <v>1.1973366029767378</v>
      </c>
      <c r="Q49" s="185">
        <f t="shared" si="6"/>
        <v>1.2332345628554884</v>
      </c>
      <c r="R49" s="185">
        <f t="shared" si="6"/>
        <v>1.2332345628554884</v>
      </c>
      <c r="S49" s="185">
        <f t="shared" si="6"/>
        <v>1.2332345628554884</v>
      </c>
      <c r="T49" s="185">
        <f t="shared" si="6"/>
        <v>1.2332345628554884</v>
      </c>
      <c r="U49" s="185">
        <f t="shared" si="6"/>
        <v>1.2332345628554884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3.422352905513959E-2</v>
      </c>
      <c r="P51" s="139">
        <f t="shared" si="7"/>
        <v>3.0394513160208581E-2</v>
      </c>
      <c r="Q51" s="139">
        <f t="shared" si="7"/>
        <v>2.9981510453704896E-2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3">
      <c r="V4" s="96"/>
    </row>
    <row r="5" spans="1:22" ht="13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2019-01-22T14:59:52Z</dcterms:created>
  <dcterms:modified xsi:type="dcterms:W3CDTF">2019-01-29T10:47:25Z</dcterms:modified>
  <cp:category/>
  <cp:contentStatus/>
</cp:coreProperties>
</file>