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690" activeTab="1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O53" i="4"/>
  <c r="N53" i="4"/>
  <c r="M53" i="4"/>
  <c r="L53" i="4"/>
  <c r="P52" i="4"/>
  <c r="O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31" i="5" l="1"/>
  <c r="N32" i="5"/>
  <c r="R36" i="7"/>
  <c r="R45" i="7"/>
  <c r="O30" i="5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O32" i="5" l="1"/>
  <c r="S36" i="7"/>
  <c r="S45" i="7"/>
  <c r="P203" i="5"/>
  <c r="P19" i="8" s="1"/>
  <c r="F8" i="15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s="1"/>
  <c r="M106" i="5" l="1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P12" i="8" s="1"/>
  <c r="G5" i="15" s="1"/>
  <c r="U29" i="7"/>
  <c r="U41" i="7" s="1"/>
  <c r="U49" i="7" s="1"/>
  <c r="T41" i="7"/>
  <c r="T49" i="7" s="1"/>
  <c r="P113" i="5" l="1"/>
  <c r="P197" i="5" s="1"/>
  <c r="P11" i="8" s="1"/>
  <c r="T51" i="7"/>
  <c r="U51" i="7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<sst xmlns="http://schemas.openxmlformats.org/spreadsheetml/2006/main" count="966" uniqueCount="470">
  <si>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</si>
  <si>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</si>
  <si>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</si>
  <si>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</si>
  <si>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</si>
  <si>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</si>
  <si>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</si>
  <si>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</si>
  <si>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</si>
  <si>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</si>
  <si>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</si>
  <si>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</si>
  <si>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</si>
  <si>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</si>
  <si>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</si>
  <si>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</si>
  <si>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</si>
  <si>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</si>
  <si>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</si>
  <si>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</si>
  <si>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</si>
  <si>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</si>
  <si>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</si>
  <si>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</si>
  <si>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</si>
  <si>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</si>
  <si>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</si>
  <si>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</si>
  <si>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</si>
  <si>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</si>
  <si>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</si>
  <si>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</si>
  <si>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</si>
  <si>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</si>
  <si>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</si>
  <si>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</si>
  <si>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</si>
  <si>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</si>
  <si>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</si>
  <si>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</si>
  <si>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</si>
  <si>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</si>
  <si>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</si>
  <si>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</si>
  <si>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</si>
  <si>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</si>
  <si>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</si>
  <si>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</si>
  <si>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</si>
  <si>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</si>
  <si>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</si>
  <si>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</si>
  <si>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</si>
  <si>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</si>
  <si>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</si>
  <si>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</si>
  <si>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</si>
  <si>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</si>
  <si>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</si>
  <si>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</si>
  <si>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</si>
  <si>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</si>
  <si>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</si>
  <si>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</si>
  <si>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</si>
  <si>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</si>
  <si>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</si>
  <si>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</si>
  <si>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</si>
  <si>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</si>
  <si>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</si>
  <si>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</si>
  <si>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</si>
  <si>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</si>
  <si>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</si>
  <si>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</si>
  <si>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</si>
  <si>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</si>
  <si>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</si>
  <si>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</si>
  <si>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</si>
  <si>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</si>
  <si>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</si>
  <si>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</si>
  <si>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</si>
  <si>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</si>
  <si>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</si>
  <si>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</si>
  <si>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</si>
  <si>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</si>
  <si>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</si>
  <si>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</si>
  <si>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</si>
  <si>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</si>
  <si>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</si>
  <si>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</si>
  <si>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</si>
  <si>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</si>
  <si>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</si>
  <si>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</si>
  <si>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</si>
  <si>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</si>
  <si>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</si>
  <si>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</si>
  <si>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</si>
  <si>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</si>
  <si>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</si>
  <si>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</si>
  <si>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</si>
  <si>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</si>
  <si>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</si>
  <si>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</si>
  <si>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</si>
  <si>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</si>
  <si>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</si>
  <si>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</si>
  <si>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</si>
  <si>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</si>
  <si>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</si>
  <si>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</si>
  <si>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</si>
  <si>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</si>
  <si>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</si>
  <si>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</si>
  <si>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</si>
  <si>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</si>
  <si>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</si>
  <si>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</si>
  <si>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</si>
  <si>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</si>
  <si>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</si>
  <si>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</si>
  <si>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</si>
  <si>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</si>
  <si>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</si>
  <si>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</si>
  <si>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</si>
  <si>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</si>
  <si>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</si>
  <si>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</si>
  <si>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</si>
  <si>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</si>
  <si>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</si>
  <si>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</si>
  <si>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</si>
  <si>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</si>
  <si>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</si>
  <si>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</si>
  <si>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</si>
  <si>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</si>
  <si>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</si>
  <si>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</si>
  <si>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</si>
  <si>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</si>
  <si>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</si>
  <si>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</si>
  <si>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</si>
  <si>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</si>
  <si>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</si>
  <si>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</si>
  <si>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</si>
  <si>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</si>
  <si>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</si>
  <si>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</si>
  <si>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</si>
  <si>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</si>
  <si>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</si>
  <si>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</si>
  <si>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</si>
  <si>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</si>
  <si>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</si>
  <si>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</si>
  <si>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</si>
  <si>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</si>
  <si>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</si>
  <si>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</si>
  <si>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</si>
  <si>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</si>
  <si>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</si>
  <si>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</si>
  <si>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</si>
  <si>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</si>
  <si>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</si>
  <si>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</si>
  <si>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</si>
  <si>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</si>
  <si>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</si>
  <si>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</si>
  <si>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</si>
  <si>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</si>
  <si>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</si>
  <si>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</si>
  <si>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</si>
  <si>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</si>
  <si>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</si>
  <si>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</si>
  <si>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</si>
  <si>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</si>
  <si>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</si>
  <si>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</si>
  <si>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</si>
  <si>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</si>
  <si>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</si>
  <si>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</si>
  <si>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</si>
  <si>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</si>
  <si>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</si>
  <si>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</si>
  <si>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</si>
  <si>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</si>
  <si>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</si>
  <si>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</si>
  <si>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</si>
  <si>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</si>
  <si>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</si>
  <si>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</si>
  <si>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</si>
  <si>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</si>
  <si>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</si>
  <si>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</si>
  <si>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</si>
  <si>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</si>
  <si>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</si>
  <si>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</si>
  <si>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</si>
  <si>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</si>
  <si>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</si>
  <si>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</si>
  <si>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</si>
  <si>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</si>
  <si>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</si>
  <si>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</si>
  <si>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</si>
  <si>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</si>
  <si>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</si>
  <si>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</si>
  <si>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</si>
  <si>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</si>
  <si>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</si>
  <si>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</si>
  <si>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</si>
  <si>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</si>
  <si>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</si>
  <si>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</si>
  <si>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</si>
  <si>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</si>
  <si>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</si>
  <si>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</si>
  <si>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</si>
  <si>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</si>
  <si>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</si>
  <si>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</si>
  <si>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</si>
  <si>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</si>
  <si>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</si>
  <si>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</si>
  <si>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</si>
  <si>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</si>
  <si>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</si>
  <si>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</si>
  <si>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</si>
  <si>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</si>
  <si>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</si>
  <si>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</si>
  <si>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</si>
  <si>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</si>
  <si>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</si>
  <si>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</si>
  <si>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</si>
  <si>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</si>
  <si>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</si>
  <si>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</si>
  <si>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</si>
  <si>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</si>
  <si>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</si>
  <si>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</si>
  <si>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</si>
  <si>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</si>
  <si>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</si>
  <si>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</si>
  <si>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</si>
  <si>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</si>
  <si>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</si>
  <si>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</si>
  <si>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</si>
  <si>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</si>
  <si>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</si>
  <si>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</si>
  <si>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</si>
  <si>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</si>
  <si>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</si>
  <si>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</si>
  <si>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</si>
  <si>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</si>
  <si>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</si>
  <si>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</si>
  <si>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</si>
  <si>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</si>
  <si>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</si>
  <si>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</si>
  <si>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</si>
  <si>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</si>
  <si>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</si>
  <si>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</si>
  <si>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</si>
  <si>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</si>
  <si>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</si>
  <si>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</si>
  <si>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</si>
  <si>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</si>
  <si>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</si>
  <si>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</si>
  <si>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</si>
  <si>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</si>
  <si>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</si>
  <si>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</si>
  <si>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</si>
  <si>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</si>
  <si>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</si>
  <si>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</si>
  <si>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</si>
  <si>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</si>
  <si>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</si>
  <si>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</si>
  <si>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</si>
  <si>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</si>
  <si>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</si>
  <si>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</si>
  <si>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</si>
  <si>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</si>
  <si>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</si>
  <si>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</si>
  <si>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</si>
  <si>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</si>
  <si>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</si>
  <si>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</si>
  <si>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</si>
  <si>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</si>
  <si>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</si>
  <si>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</si>
  <si>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</si>
  <si>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</si>
  <si>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</si>
  <si>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</si>
  <si>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</si>
  <si>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</si>
  <si>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</si>
  <si>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</si>
  <si>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</si>
  <si>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</si>
  <si>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</si>
  <si>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</si>
  <si>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</si>
  <si>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</si>
  <si>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</si>
  <si>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</si>
  <si>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</si>
  <si>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</si>
  <si>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</si>
  <si>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</si>
  <si>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</si>
  <si>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</si>
  <si>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</si>
  <si>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</si>
  <si>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</si>
  <si>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</si>
  <si>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</si>
  <si>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</si>
  <si>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</si>
  <si>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</si>
  <si>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</si>
  <si>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</si>
  <si>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</si>
  <si>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</si>
  <si>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</si>
  <si>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</si>
  <si>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</si>
  <si>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</si>
  <si>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</si>
  <si>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</si>
  <si>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</si>
  <si>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</si>
  <si>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</si>
  <si>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</si>
  <si>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</si>
  <si>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</si>
  <si>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</si>
  <si>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</si>
  <si>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</si>
  <si>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</si>
  <si>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</si>
  <si>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</si>
  <si>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</si>
  <si>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</si>
  <si>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</si>
  <si>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</si>
  <si>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</si>
  <si>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</si>
  <si>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</si>
  <si>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</si>
  <si>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</si>
  <si>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</si>
  <si>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</si>
  <si>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</si>
  <si>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</si>
  <si>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</si>
  <si>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</si>
  <si>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</si>
  <si>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</si>
  <si>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</si>
  <si>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</si>
  <si>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</si>
  <si>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</si>
  <si>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</si>
  <si>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</si>
  <si>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</si>
  <si>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</si>
  <si>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</si>
  <si>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</si>
  <si>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</si>
  <si>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</si>
  <si>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</si>
  <si>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</si>
  <si>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</si>
  <si>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</si>
  <si>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</si>
  <si>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</si>
  <si>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</si>
  <si>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</si>
  <si>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</si>
  <si>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</si>
  <si>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</si>
  <si>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</si>
  <si>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</si>
  <si>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</si>
  <si>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</si>
  <si>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</si>
  <si>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</si>
  <si>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</si>
  <si>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</si>
  <si>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</si>
  <si>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</si>
  <si>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</si>
  <si>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</si>
  <si>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</si>
  <si>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</si>
  <si>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</si>
  <si>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</si>
  <si>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</si>
  <si>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</si>
  <si>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</si>
  <si>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</si>
  <si>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</si>
  <si>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</si>
  <si>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</si>
  <si>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</si>
  <si>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</si>
  <si>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</si>
  <si>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</si>
  <si>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</si>
  <si>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</si>
  <si>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</si>
  <si>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</si>
  <si>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</si>
  <si>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</si>
  <si>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</si>
  <si>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</si>
  <si>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</si>
  <si>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</si>
  <si>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WSX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</si>
</sst>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2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</cellStyleXfs>
  <cellXfs count="267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</cellXfs>
  <cellStyles count="132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10" xfId="131"/>
    <cellStyle name="Normal 2" xfId="53"/>
    <cellStyle name="Normal 2 2" xfId="54"/>
    <cellStyle name="Normal 2 3" xfId="55"/>
    <cellStyle name="Normal 2 4" xfId="130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pane="bottomLeft" activeCell="A3" sqref="A3"/>
    </sheetView>
  </sheetViews>
  <sheetFormatPr defaultRowHeight="14.5"/>
  <cols>
    <col min="1" max="1" width="4.36328125" customWidth="1"/>
    <col min="2" max="2" width="5.6328125" customWidth="1"/>
    <col min="3" max="3" width="12" customWidth="1"/>
    <col min="4" max="4" width="2.6328125" customWidth="1"/>
    <col min="5" max="5" width="15.26953125" customWidth="1"/>
    <col min="6" max="16" width="7.36328125" customWidth="1"/>
  </cols>
  <sheetData>
    <row r="1" spans="1:16">
      <c r="C1" t="s">
        <v>467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6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1.49476138358718</v>
      </c>
      <c r="K5" s="226">
        <v>1.49476138358718</v>
      </c>
      <c r="L5" s="226">
        <v>1.49476138358718</v>
      </c>
      <c r="M5" s="226">
        <v>1.49476138358718</v>
      </c>
      <c r="N5" s="226">
        <v>1.49476138358718</v>
      </c>
      <c r="O5" s="226"/>
      <c r="P5" s="226"/>
    </row>
    <row r="6" spans="1:16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2.7444169937101299</v>
      </c>
      <c r="K6" s="226">
        <v>2.7444169937101299</v>
      </c>
      <c r="L6" s="226">
        <v>2.7444169937101299</v>
      </c>
      <c r="M6" s="226">
        <v>2.7444169937101299</v>
      </c>
      <c r="N6" s="226">
        <v>2.7444169937101299</v>
      </c>
      <c r="O6" s="226"/>
      <c r="P6" s="226"/>
    </row>
    <row r="7" spans="1:16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103.78553971412001</v>
      </c>
    </row>
    <row r="8" spans="1:16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102.934313184003</v>
      </c>
    </row>
    <row r="9" spans="1:16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103.8</v>
      </c>
    </row>
    <row r="10" spans="1:16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102.9</v>
      </c>
    </row>
    <row r="11" spans="1:16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147.53962738978299</v>
      </c>
      <c r="K12" s="226">
        <v>154.60334400658601</v>
      </c>
      <c r="L12" s="226">
        <v>143.22180393601499</v>
      </c>
      <c r="M12" s="226">
        <v>124.861050309657</v>
      </c>
      <c r="N12" s="226">
        <v>110.750510667791</v>
      </c>
      <c r="O12" s="226"/>
      <c r="P12" s="226"/>
    </row>
    <row r="13" spans="1:16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190.39644550214001</v>
      </c>
      <c r="K13" s="226">
        <v>202.38331443614899</v>
      </c>
      <c r="L13" s="226">
        <v>233.871501095475</v>
      </c>
      <c r="M13" s="226">
        <v>233.09746139649201</v>
      </c>
      <c r="N13" s="226">
        <v>233.36226316168899</v>
      </c>
      <c r="O13" s="226"/>
      <c r="P13" s="226"/>
    </row>
    <row r="14" spans="1:16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145.31767599140699</v>
      </c>
      <c r="K14" s="226">
        <v>152.40515072783401</v>
      </c>
      <c r="L14" s="226">
        <v>141.13031401265101</v>
      </c>
      <c r="M14" s="226">
        <v>122.941694737818</v>
      </c>
      <c r="N14" s="226">
        <v>108.963443162136</v>
      </c>
      <c r="O14" s="226"/>
      <c r="P14" s="226"/>
    </row>
    <row r="15" spans="1:16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188.577931215826</v>
      </c>
      <c r="K15" s="226">
        <v>200.63534954590699</v>
      </c>
      <c r="L15" s="226">
        <v>231.89422785836001</v>
      </c>
      <c r="M15" s="226">
        <v>231.125824996001</v>
      </c>
      <c r="N15" s="226">
        <v>231.38869837911301</v>
      </c>
      <c r="O15" s="226"/>
      <c r="P15" s="226"/>
    </row>
    <row r="16" spans="1:16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155.71833708058301</v>
      </c>
      <c r="K16" s="226">
        <v>154.02345678699001</v>
      </c>
      <c r="L16" s="226">
        <v>135.182029580918</v>
      </c>
      <c r="M16" s="226">
        <v>138.334</v>
      </c>
      <c r="N16" s="226">
        <v>151.60499999999999</v>
      </c>
      <c r="O16" s="226"/>
      <c r="P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169.81714208888499</v>
      </c>
      <c r="K17" s="226">
        <v>187.54995504712701</v>
      </c>
      <c r="L17" s="226">
        <v>224.09695986593101</v>
      </c>
      <c r="M17" s="226">
        <v>238.73</v>
      </c>
      <c r="N17" s="226">
        <v>233.184</v>
      </c>
      <c r="O17" s="226"/>
      <c r="P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1.6559999999999999</v>
      </c>
      <c r="K18" s="226">
        <v>0.71799999999999997</v>
      </c>
      <c r="L18" s="226">
        <v>0.94608919999999996</v>
      </c>
      <c r="M18" s="226">
        <v>0.95555009199999996</v>
      </c>
      <c r="N18" s="226">
        <v>0.96510559292000098</v>
      </c>
      <c r="O18" s="226"/>
      <c r="P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/>
      <c r="P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2.8</v>
      </c>
      <c r="K20" s="226">
        <v>2.819</v>
      </c>
      <c r="L20" s="226">
        <v>4.1347423971377504</v>
      </c>
      <c r="M20" s="226">
        <v>4.2779999999999996</v>
      </c>
      <c r="N20" s="226">
        <v>4.4240000000000004</v>
      </c>
      <c r="O20" s="226"/>
      <c r="P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0</v>
      </c>
      <c r="N21" s="226">
        <v>0</v>
      </c>
      <c r="O21" s="226"/>
      <c r="P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0.23699999999999999</v>
      </c>
      <c r="K22" s="226">
        <v>0.13600000000000001</v>
      </c>
      <c r="L22" s="226">
        <v>0.48064448999999998</v>
      </c>
      <c r="M22" s="226">
        <v>0.48545093490000002</v>
      </c>
      <c r="N22" s="226">
        <v>0.49030544424900002</v>
      </c>
      <c r="O22" s="226"/>
      <c r="P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/>
      <c r="P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4.8</v>
      </c>
      <c r="K24" s="226">
        <v>4.4390000000000001</v>
      </c>
      <c r="L24" s="226">
        <v>6.3706529516994603</v>
      </c>
      <c r="M24" s="226">
        <v>6.5910000000000002</v>
      </c>
      <c r="N24" s="226">
        <v>6.8170000000000002</v>
      </c>
      <c r="O24" s="226"/>
      <c r="P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</v>
      </c>
      <c r="K25" s="226">
        <v>0</v>
      </c>
      <c r="L25" s="226">
        <v>0</v>
      </c>
      <c r="M25" s="226">
        <v>0</v>
      </c>
      <c r="N25" s="226">
        <v>0</v>
      </c>
      <c r="O25" s="226"/>
      <c r="P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0.51100000000000001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4.4779999999999998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0.46283999999999997</v>
      </c>
      <c r="K28" s="227">
        <v>0.52561000000000002</v>
      </c>
      <c r="L28" s="227">
        <v>0.55395000000000005</v>
      </c>
      <c r="M28" s="227">
        <v>0.61992000000000003</v>
      </c>
      <c r="N28" s="227">
        <v>0.68755999999999995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0.55034000000000005</v>
      </c>
      <c r="K29" s="227">
        <v>0.57713999999999999</v>
      </c>
      <c r="L29" s="227">
        <v>0.51519999999999999</v>
      </c>
      <c r="M29" s="227">
        <v>0.51432999999999995</v>
      </c>
      <c r="N29" s="227">
        <v>0.50578999999999996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-11.7512628748376</v>
      </c>
      <c r="M30" s="226">
        <v>0</v>
      </c>
      <c r="N30" s="226">
        <v>0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0</v>
      </c>
      <c r="K31" s="226">
        <v>0</v>
      </c>
      <c r="L31" s="226">
        <v>-21.148737125162398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288.09100000000001</v>
      </c>
      <c r="O34" s="229">
        <v>296.73372999999998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289.12099999999998</v>
      </c>
      <c r="O35" s="229">
        <v>297.79462999999998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289.94499999999999</v>
      </c>
      <c r="O36" s="229">
        <v>298.64335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281.08699999999999</v>
      </c>
      <c r="N37" s="229">
        <v>289.51961</v>
      </c>
      <c r="O37" s="229">
        <v>298.20519830000001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282.94099999999997</v>
      </c>
      <c r="N38" s="229">
        <v>291.42923000000002</v>
      </c>
      <c r="O38" s="229">
        <v>300.17210690000002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283.35300000000001</v>
      </c>
      <c r="N39" s="229">
        <v>291.85359</v>
      </c>
      <c r="O39" s="229">
        <v>300.60919769999998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283.55900000000003</v>
      </c>
      <c r="N40" s="229">
        <v>292.06576999999999</v>
      </c>
      <c r="O40" s="229">
        <v>300.82774310000002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284.07400000000001</v>
      </c>
      <c r="N41" s="229">
        <v>292.59622000000002</v>
      </c>
      <c r="O41" s="229">
        <v>301.3741066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286.44299999999998</v>
      </c>
      <c r="N42" s="229">
        <v>295.03629000000001</v>
      </c>
      <c r="O42" s="229">
        <v>303.8873787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284.27999999999997</v>
      </c>
      <c r="N43" s="229">
        <v>292.80840000000001</v>
      </c>
      <c r="O43" s="229">
        <v>301.59265199999999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286.44299999999998</v>
      </c>
      <c r="N44" s="229">
        <v>295.03629000000001</v>
      </c>
      <c r="O44" s="229">
        <v>303.8873787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286.649</v>
      </c>
      <c r="N45" s="229">
        <v>295.24847</v>
      </c>
      <c r="O45" s="229">
        <v>304.10592409999998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80" zoomScaleNormal="80" workbookViewId="0">
      <pane xSplit="7" ySplit="7" topLeftCell="H8" activePane="bottomRight" state="frozen"/>
      <selection pane="topRight"/>
      <selection pane="bottomLeft"/>
      <selection pane="bottomRight" activeCell="H12" sqref="H12"/>
    </sheetView>
  </sheetViews>
  <sheetFormatPr defaultColWidth="0" defaultRowHeight="12.5" zeroHeight="1"/>
  <cols>
    <col min="1" max="3" width="3.08984375" style="30" customWidth="1"/>
    <col min="4" max="4" width="10" style="30" customWidth="1"/>
    <col min="5" max="5" width="45" style="39" customWidth="1"/>
    <col min="6" max="6" width="6" style="30" customWidth="1"/>
    <col min="7" max="7" width="10.08984375" style="30" customWidth="1"/>
    <col min="8" max="8" width="12.08984375" style="30" customWidth="1"/>
    <col min="9" max="16" width="14.54296875" style="30" customWidth="1"/>
    <col min="17" max="21" width="13.54296875" style="30" customWidth="1"/>
    <col min="22" max="22" width="10.54296875" style="45" customWidth="1"/>
    <col min="23" max="24" width="9.08984375" style="30" customWidth="1"/>
    <col min="25" max="25" width="9.08984375" style="30" hidden="1" customWidth="1"/>
    <col min="26" max="27" width="13.08984375" style="30" hidden="1" customWidth="1"/>
    <col min="28" max="16384" width="9.08984375" style="30" hidden="1"/>
  </cols>
  <sheetData>
    <row r="1" spans="1:24" s="2" customFormat="1" ht="32.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 ht="13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 ht="13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 ht="13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 ht="13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4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 ht="13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 ht="13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 ht="13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 ht="13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 ht="13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 ht="13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 ht="13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4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4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4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 ht="13">
      <c r="E21" s="90" t="s">
        <v>20</v>
      </c>
    </row>
    <row r="22" spans="1:27" s="193" customFormat="1" ht="13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103.78553971412001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 ht="13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102.934313184003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 ht="13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 ht="13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 ht="13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1.49476138358718</v>
      </c>
      <c r="M26" s="35">
        <f>+F_Inputs!K5</f>
        <v>1.49476138358718</v>
      </c>
      <c r="N26" s="35">
        <f>+F_Inputs!L5</f>
        <v>1.49476138358718</v>
      </c>
      <c r="O26" s="35">
        <f>+F_Inputs!M5</f>
        <v>1.49476138358718</v>
      </c>
      <c r="P26" s="35">
        <f>+F_Inputs!N5</f>
        <v>1.49476138358718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 ht="13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2.7444169937101299</v>
      </c>
      <c r="M27" s="35">
        <f>+F_Inputs!K6</f>
        <v>2.7444169937101299</v>
      </c>
      <c r="N27" s="35">
        <f>+F_Inputs!L6</f>
        <v>2.7444169937101299</v>
      </c>
      <c r="O27" s="35">
        <f>+F_Inputs!M6</f>
        <v>2.7444169937101299</v>
      </c>
      <c r="P27" s="35">
        <f>+F_Inputs!N6</f>
        <v>2.7444169937101299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 ht="13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4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 ht="13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103.8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 ht="13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102.9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4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4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4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 ht="13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 ht="13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 ht="13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145.31767599140699</v>
      </c>
      <c r="M40" s="35">
        <f>+F_Inputs!K14</f>
        <v>152.40515072783401</v>
      </c>
      <c r="N40" s="35">
        <f>+F_Inputs!L14</f>
        <v>141.13031401265101</v>
      </c>
      <c r="O40" s="35">
        <f>+F_Inputs!M14</f>
        <v>122.941694737818</v>
      </c>
      <c r="P40" s="35">
        <f>+F_Inputs!N14</f>
        <v>108.963443162136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 ht="13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188.577931215826</v>
      </c>
      <c r="M41" s="35">
        <f>+F_Inputs!K15</f>
        <v>200.63534954590699</v>
      </c>
      <c r="N41" s="35">
        <f>+F_Inputs!L15</f>
        <v>231.89422785836001</v>
      </c>
      <c r="O41" s="35">
        <f>+F_Inputs!M15</f>
        <v>231.125824996001</v>
      </c>
      <c r="P41" s="35">
        <f>+F_Inputs!N15</f>
        <v>231.38869837911301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 ht="13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 ht="13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 ht="13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 ht="13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147.53962738978299</v>
      </c>
      <c r="M46" s="35">
        <f>+F_Inputs!K12</f>
        <v>154.60334400658601</v>
      </c>
      <c r="N46" s="35">
        <f>+F_Inputs!L12</f>
        <v>143.22180393601499</v>
      </c>
      <c r="O46" s="35">
        <f>+F_Inputs!M12</f>
        <v>124.861050309657</v>
      </c>
      <c r="P46" s="35">
        <f>+F_Inputs!N12</f>
        <v>110.750510667791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 ht="13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190.39644550214001</v>
      </c>
      <c r="M47" s="35">
        <f>+F_Inputs!K13</f>
        <v>202.38331443614899</v>
      </c>
      <c r="N47" s="35">
        <f>+F_Inputs!L13</f>
        <v>233.871501095475</v>
      </c>
      <c r="O47" s="35">
        <f>+F_Inputs!M13</f>
        <v>233.09746139649201</v>
      </c>
      <c r="P47" s="35">
        <f>+F_Inputs!N13</f>
        <v>233.36226316168899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4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 ht="13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 ht="13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 ht="13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155.71833708058301</v>
      </c>
      <c r="M52" s="35">
        <f>+F_Inputs!K16</f>
        <v>154.02345678699001</v>
      </c>
      <c r="N52" s="35">
        <f>+F_Inputs!L16</f>
        <v>135.182029580918</v>
      </c>
      <c r="O52" s="35">
        <f>+F_Inputs!M16</f>
        <v>138.334</v>
      </c>
      <c r="P52" s="35">
        <f>+F_Inputs!N16</f>
        <v>151.60499999999999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 ht="13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169.81714208888499</v>
      </c>
      <c r="M53" s="35">
        <f>+F_Inputs!K17</f>
        <v>187.54995504712701</v>
      </c>
      <c r="N53" s="35">
        <f>+F_Inputs!L17</f>
        <v>224.09695986593101</v>
      </c>
      <c r="O53" s="35">
        <f>+F_Inputs!M17</f>
        <v>238.73</v>
      </c>
      <c r="P53" s="35">
        <f>+F_Inputs!N17</f>
        <v>233.184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 ht="13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4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4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4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 ht="13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1.6559999999999999</v>
      </c>
      <c r="M60" s="35">
        <f>+F_Inputs!K18</f>
        <v>0.71799999999999997</v>
      </c>
      <c r="N60" s="35">
        <f>+F_Inputs!L18</f>
        <v>0.94608919999999996</v>
      </c>
      <c r="O60" s="35">
        <f>+F_Inputs!M18</f>
        <v>0.95555009199999996</v>
      </c>
      <c r="P60" s="35">
        <f>+F_Inputs!N18</f>
        <v>0.96510559292000098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 ht="13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 ht="13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2.8</v>
      </c>
      <c r="M62" s="35">
        <f>+F_Inputs!K20</f>
        <v>2.819</v>
      </c>
      <c r="N62" s="35">
        <f>+F_Inputs!L20</f>
        <v>4.1347423971377504</v>
      </c>
      <c r="O62" s="35">
        <f>+F_Inputs!M20</f>
        <v>4.2779999999999996</v>
      </c>
      <c r="P62" s="35">
        <f>+F_Inputs!N20</f>
        <v>4.4240000000000004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</v>
      </c>
      <c r="M63" s="35">
        <f>+F_Inputs!K21</f>
        <v>0</v>
      </c>
      <c r="N63" s="35">
        <f>+F_Inputs!L21</f>
        <v>0</v>
      </c>
      <c r="O63" s="35">
        <f>+F_Inputs!M21</f>
        <v>0</v>
      </c>
      <c r="P63" s="35">
        <f>+F_Inputs!N21</f>
        <v>0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 ht="13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-11.7512628748376</v>
      </c>
      <c r="O64" s="230">
        <f>+F_Inputs!M30</f>
        <v>0</v>
      </c>
      <c r="P64" s="230">
        <f>+F_Inputs!N30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 ht="13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0.23699999999999999</v>
      </c>
      <c r="M66" s="35">
        <f>+F_Inputs!K22</f>
        <v>0.13600000000000001</v>
      </c>
      <c r="N66" s="35">
        <f>+F_Inputs!L22</f>
        <v>0.48064448999999998</v>
      </c>
      <c r="O66" s="35">
        <f>+F_Inputs!M22</f>
        <v>0.48545093490000002</v>
      </c>
      <c r="P66" s="35">
        <f>+F_Inputs!N22</f>
        <v>0.49030544424900002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 ht="13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4.8</v>
      </c>
      <c r="M68" s="35">
        <f>+F_Inputs!K24</f>
        <v>4.4390000000000001</v>
      </c>
      <c r="N68" s="35">
        <f>+F_Inputs!L24</f>
        <v>6.3706529516994603</v>
      </c>
      <c r="O68" s="35">
        <f>+F_Inputs!M24</f>
        <v>6.5910000000000002</v>
      </c>
      <c r="P68" s="35">
        <f>+F_Inputs!N24</f>
        <v>6.8170000000000002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</v>
      </c>
      <c r="M69" s="35">
        <f>+F_Inputs!K25</f>
        <v>0</v>
      </c>
      <c r="N69" s="35">
        <f>+F_Inputs!L25</f>
        <v>0</v>
      </c>
      <c r="O69" s="35">
        <f>+F_Inputs!M25</f>
        <v>0</v>
      </c>
      <c r="P69" s="35">
        <f>+F_Inputs!N25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 ht="13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0</v>
      </c>
      <c r="M70" s="230">
        <f>+F_Inputs!K31</f>
        <v>0</v>
      </c>
      <c r="N70" s="230">
        <f>+F_Inputs!L31</f>
        <v>-21.148737125162398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 ht="13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 ht="13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 ht="13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 ht="13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0.51100000000000001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 ht="13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 ht="13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 ht="13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4.4779999999999998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 ht="13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5"/>
    <row r="81" spans="1:24" s="22" customFormat="1" ht="14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 ht="13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4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 ht="13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 ht="13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 ht="13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 ht="13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 ht="13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 ht="13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 ht="13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 ht="13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 ht="13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 ht="13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 ht="13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 ht="13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 ht="13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 ht="13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 ht="13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 ht="13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 ht="13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 ht="13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 ht="13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 ht="13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 ht="13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 ht="13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 ht="13">
      <c r="E107" s="54" t="s">
        <v>118</v>
      </c>
      <c r="I107" s="58"/>
    </row>
    <row r="108" spans="1:24" s="3" customFormat="1" ht="13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 ht="13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4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 ht="13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 ht="13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 ht="13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 ht="13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 ht="13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 ht="13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 ht="13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 ht="13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 ht="13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 ht="13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4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 ht="13">
      <c r="D125" s="30" t="s">
        <v>15</v>
      </c>
      <c r="E125" s="39" t="s">
        <v>142</v>
      </c>
      <c r="F125" s="33"/>
      <c r="L125" s="179">
        <f>+F_Inputs!J28</f>
        <v>0.46283999999999997</v>
      </c>
      <c r="M125" s="179">
        <f>+F_Inputs!K28</f>
        <v>0.52561000000000002</v>
      </c>
      <c r="N125" s="179">
        <f>+F_Inputs!L28</f>
        <v>0.55395000000000005</v>
      </c>
      <c r="O125" s="179">
        <f>+F_Inputs!M28</f>
        <v>0.61992000000000003</v>
      </c>
      <c r="P125" s="179">
        <f>+F_Inputs!N28</f>
        <v>0.68755999999999995</v>
      </c>
      <c r="Q125" s="61" t="s">
        <v>143</v>
      </c>
    </row>
    <row r="126" spans="1:27" ht="13">
      <c r="D126" s="30" t="s">
        <v>15</v>
      </c>
      <c r="E126" s="39" t="s">
        <v>144</v>
      </c>
      <c r="F126" s="33"/>
      <c r="L126" s="179">
        <f>+F_Inputs!J29</f>
        <v>0.55034000000000005</v>
      </c>
      <c r="M126" s="179">
        <f>+F_Inputs!K29</f>
        <v>0.57713999999999999</v>
      </c>
      <c r="N126" s="179">
        <f>+F_Inputs!L29</f>
        <v>0.51519999999999999</v>
      </c>
      <c r="O126" s="179">
        <f>+F_Inputs!M29</f>
        <v>0.51432999999999995</v>
      </c>
      <c r="P126" s="179">
        <f>+F_Inputs!N29</f>
        <v>0.50578999999999996</v>
      </c>
      <c r="Q126" s="61" t="s">
        <v>145</v>
      </c>
    </row>
    <row r="127" spans="1:27"/>
    <row r="128" spans="1:27" s="22" customFormat="1" ht="14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0.49239999999999995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1.0095000000000001</v>
      </c>
    </row>
    <row r="133" spans="1:24" ht="14.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 ht="13">
      <c r="E139" s="49" t="s">
        <v>154</v>
      </c>
      <c r="V139" s="30"/>
    </row>
    <row r="140" spans="1:24" ht="13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4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 ht="13">
      <c r="D143" s="3"/>
      <c r="F143" s="33"/>
      <c r="Q143" s="61"/>
      <c r="V143" s="30"/>
    </row>
    <row r="144" spans="1:24" ht="13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 ht="13">
      <c r="D145" s="3"/>
      <c r="F145" s="33"/>
      <c r="Q145" s="61"/>
      <c r="V145" s="30"/>
    </row>
    <row r="146" spans="1:27" ht="13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 ht="13">
      <c r="E148" s="30"/>
      <c r="F148" s="33"/>
      <c r="Q148" s="61"/>
      <c r="V148" s="30"/>
    </row>
    <row r="149" spans="1:27" s="22" customFormat="1" ht="14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 ht="13">
      <c r="D150" s="3"/>
      <c r="F150" s="33"/>
      <c r="Q150" s="61"/>
      <c r="V150" s="30"/>
    </row>
    <row r="151" spans="1:27" ht="13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X18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54296875" style="3" customWidth="1"/>
    <col min="4" max="4" width="9.36328125" style="3" bestFit="1" customWidth="1"/>
    <col min="5" max="5" width="49.7265625" style="91" customWidth="1"/>
    <col min="6" max="6" width="20.36328125" style="91" customWidth="1"/>
    <col min="7" max="7" width="14.54296875" style="91" customWidth="1"/>
    <col min="8" max="8" width="14.36328125" style="3" customWidth="1"/>
    <col min="9" max="9" width="11.36328125" style="3" customWidth="1"/>
    <col min="10" max="10" width="11.54296875" style="3" customWidth="1"/>
    <col min="11" max="17" width="11.08984375" style="3" customWidth="1"/>
    <col min="18" max="20" width="11.54296875" style="3" customWidth="1"/>
    <col min="21" max="21" width="9.54296875" style="3" customWidth="1"/>
    <col min="22" max="22" width="3.54296875" style="3" customWidth="1"/>
    <col min="23" max="23" width="106.08984375" style="3" bestFit="1" customWidth="1"/>
    <col min="24" max="24" width="3.54296875" style="74" customWidth="1"/>
    <col min="25" max="25" width="13.54296875" style="3" hidden="1" customWidth="1"/>
    <col min="26" max="38" width="9.08984375" style="3" hidden="1" customWidth="1"/>
    <col min="39" max="39" width="10.08984375" style="3" hidden="1" customWidth="1"/>
    <col min="40" max="16384" width="9.08984375" style="3" hidden="1"/>
  </cols>
  <sheetData>
    <row r="1" spans="1:29" s="2" customFormat="1" ht="32.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 ht="13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 ht="13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4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4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 ht="13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146.86001847048044</v>
      </c>
      <c r="M14" s="50">
        <f>Actual.Totex.Water/Indexation.Average</f>
        <v>142.2146204195985</v>
      </c>
      <c r="N14" s="50">
        <f>Actual.Totex.Water/Indexation.Average</f>
        <v>120.31524358196164</v>
      </c>
      <c r="O14" s="50">
        <f>Actual.Totex.Water/Indexation.Average</f>
        <v>119.43393825265115</v>
      </c>
      <c r="P14" s="50">
        <f>Actual.Totex.Water/Indexation.Average</f>
        <v>127.0793890345961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160.15678751354719</v>
      </c>
      <c r="M15" s="50">
        <f>Actual.Totex.Sewerage/Indexation.Average</f>
        <v>173.17067298149925</v>
      </c>
      <c r="N15" s="50">
        <f>Actual.Totex.Sewerage/Indexation.Average</f>
        <v>199.45166081492616</v>
      </c>
      <c r="O15" s="50">
        <f>Actual.Totex.Sewerage/Indexation.Average</f>
        <v>206.11320484519644</v>
      </c>
      <c r="P15" s="50">
        <f>Actual.Totex.Sewerage/Indexation.Average</f>
        <v>195.46110123441352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 ht="13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4.2025123988179356</v>
      </c>
      <c r="M18" s="50">
        <f>SUM(INDEX(Actual.Exclusions.Water,,M6))/Indexation.Average</f>
        <v>3.2658214723733439</v>
      </c>
      <c r="N18" s="50">
        <f>SUM(INDEX(Actual.Exclusions.Water,,N6))/Indexation.Average</f>
        <v>-5.9368435764814107</v>
      </c>
      <c r="O18" s="50">
        <f>SUM(INDEX(Actual.Exclusions.Water,,O6))/Indexation.Average</f>
        <v>4.5185095387257261</v>
      </c>
      <c r="P18" s="50">
        <f>SUM(INDEX(Actual.Exclusions.Water,,P6))/Indexation.Average</f>
        <v>4.5172932699528294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4.7504611653603996</v>
      </c>
      <c r="M19" s="221">
        <f>SUM(Inputs!M66:M72)/Indexation.Average</f>
        <v>4.2242389697789227</v>
      </c>
      <c r="N19" s="221">
        <f>SUM(Inputs!N66:N72)/Indexation.Average</f>
        <v>-12.725063704451644</v>
      </c>
      <c r="O19" s="221">
        <f>SUM(Inputs!O66:O72)/Indexation.Average</f>
        <v>6.109621669342042</v>
      </c>
      <c r="P19" s="221">
        <f>SUM(Inputs!P66:P72)/Indexation.Average</f>
        <v>6.1251799831426457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 ht="13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0.51100000000000001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4.4779999999999998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 ht="13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 ht="13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 ht="13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143.16850607166251</v>
      </c>
      <c r="M30" s="221">
        <f t="shared" ref="M30:P30" si="2">M14-M18+M22</f>
        <v>138.94879894722516</v>
      </c>
      <c r="N30" s="221">
        <f t="shared" si="2"/>
        <v>126.25208715844305</v>
      </c>
      <c r="O30" s="221">
        <f t="shared" si="2"/>
        <v>114.91542871392542</v>
      </c>
      <c r="P30" s="221">
        <f t="shared" si="2"/>
        <v>122.56209576464327</v>
      </c>
      <c r="Q30" s="59" t="s">
        <v>178</v>
      </c>
      <c r="R30" s="3"/>
      <c r="S30" s="3"/>
      <c r="T30" s="3"/>
      <c r="X30" s="76"/>
    </row>
    <row r="31" spans="1:24" s="75" customFormat="1" ht="13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159.88432634818679</v>
      </c>
      <c r="M31" s="221">
        <f t="shared" ref="M31:P31" si="3">M15-M19+M23</f>
        <v>168.94643401172033</v>
      </c>
      <c r="N31" s="221">
        <f t="shared" si="3"/>
        <v>212.17672451937781</v>
      </c>
      <c r="O31" s="221">
        <f t="shared" si="3"/>
        <v>200.0035831758544</v>
      </c>
      <c r="P31" s="221">
        <f t="shared" si="3"/>
        <v>189.33592125127086</v>
      </c>
      <c r="Q31" s="59" t="s">
        <v>180</v>
      </c>
      <c r="R31" s="3"/>
      <c r="S31" s="3"/>
      <c r="T31" s="3"/>
      <c r="X31" s="76"/>
    </row>
    <row r="32" spans="1:24" s="75" customFormat="1" ht="13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303.05283241984932</v>
      </c>
      <c r="M32" s="81">
        <f>SUM(M30:M31)</f>
        <v>307.89523295894548</v>
      </c>
      <c r="N32" s="81">
        <f t="shared" ref="N32:P32" si="4">SUM(N30:N31)</f>
        <v>338.42881167782087</v>
      </c>
      <c r="O32" s="81">
        <f t="shared" si="4"/>
        <v>314.91901188977982</v>
      </c>
      <c r="P32" s="81">
        <f t="shared" si="4"/>
        <v>311.89801701591415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4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4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 ht="13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 ht="13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 ht="13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 ht="13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 ht="13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 ht="13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 ht="13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4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 ht="13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 ht="13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0.49242892057175991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 ht="13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100.94638492852999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 ht="13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-0.48035761972858992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 ht="13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 ht="13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0.49413137363199394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 ht="13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100.73357829600076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 ht="13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-0.37109424493128174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4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 ht="13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 ht="13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0.49239999999999995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 ht="13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100.95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 ht="13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-0.48221999999999809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 ht="13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 ht="13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0.49419999999999997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 ht="13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100.72499999999999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 ht="13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-0.3667050000000005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4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4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 ht="13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0.96286089524417251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96.28608952441725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 ht="13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1.8142895181769494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1.8142895181769494E-2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 ht="13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0.85855303956252993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85.855303956252996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6.9818987848197658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6.9818987848197664E-2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4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 ht="13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12.169497141521719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75.657393483912628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 ht="13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-0.69804452943722717</v>
      </c>
      <c r="M97" s="153">
        <f>FD.AddInc.Coeff.Water/100*Baseline.Totex.Water</f>
        <v>-0.73208975437999313</v>
      </c>
      <c r="N97" s="153">
        <f>FD.AddInc.Coeff.Water/100*Baseline.Totex.Water</f>
        <v>-0.67793021710665502</v>
      </c>
      <c r="O97" s="153">
        <f>FD.AddInc.Coeff.Water/100*Baseline.Totex.Water</f>
        <v>-0.59055979849657159</v>
      </c>
      <c r="P97" s="153">
        <f>FD.AddInc.Coeff.Water/100*Baseline.Totex.Water</f>
        <v>-0.52341420194795141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-0.69980184995240136</v>
      </c>
      <c r="M98" s="153">
        <f>FD.AddInc.Coeff.Sewerage/100*Baseline.Totex.Sewerage</f>
        <v>-0.74454623546262133</v>
      </c>
      <c r="N98" s="153">
        <f>FD.AddInc.Coeff.Sewerage/100*Baseline.Totex.Sewerage</f>
        <v>-0.86054613391020707</v>
      </c>
      <c r="O98" s="153">
        <f>FD.AddInc.Coeff.Sewerage/100*Baseline.Totex.Sewerage</f>
        <v>-0.85769463511010557</v>
      </c>
      <c r="P98" s="153">
        <f>FD.AddInc.Coeff.Sewerage/100*Baseline.Totex.Sewerage</f>
        <v>-0.85867014310629042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 ht="13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15.391535642890117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79.67865248145425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 ht="13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3.3345278930076656</v>
      </c>
      <c r="M105" s="153">
        <f>IF(SUM(Baseline.Totex.Water)=0,0,$G101*(Baseline.Totex.Water/SUM(Baseline.Totex.Water)))</f>
        <v>3.4971604291968665</v>
      </c>
      <c r="N105" s="153">
        <f>IF(SUM(Baseline.Totex.Water)=0,0,$G101*(Baseline.Totex.Water/SUM(Baseline.Totex.Water)))</f>
        <v>3.2384427112083971</v>
      </c>
      <c r="O105" s="153">
        <f>IF(SUM(Baseline.Totex.Water)=0,0,$G101*(Baseline.Totex.Water/SUM(Baseline.Totex.Water)))</f>
        <v>2.8210780795939061</v>
      </c>
      <c r="P105" s="153">
        <f>IF(SUM(Baseline.Totex.Water)=0,0,$G101*(Baseline.Totex.Water/SUM(Baseline.Totex.Water)))</f>
        <v>2.5003265298832833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13.866122137948411</v>
      </c>
      <c r="M106" s="153">
        <f>IF(SUM(Baseline.Totex.Sewerage)=0,0,$G102*(Baseline.Totex.Sewerage/SUM(Baseline.Totex.Sewerage)))</f>
        <v>14.752703267327192</v>
      </c>
      <c r="N106" s="153">
        <f>IF(SUM(Baseline.Totex.Sewerage)=0,0,$G102*(Baseline.Totex.Sewerage/SUM(Baseline.Totex.Sewerage)))</f>
        <v>17.051166410820223</v>
      </c>
      <c r="O106" s="153">
        <f>IF(SUM(Baseline.Totex.Sewerage)=0,0,$G102*(Baseline.Totex.Sewerage/SUM(Baseline.Totex.Sewerage)))</f>
        <v>16.994665801910557</v>
      </c>
      <c r="P106" s="153">
        <f>IF(SUM(Baseline.Totex.Sewerage)=0,0,$G102*(Baseline.Totex.Sewerage/SUM(Baseline.Totex.Sewerage)))</f>
        <v>17.013994863447856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 ht="13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3.8412571021567037</v>
      </c>
      <c r="M109" s="153">
        <f>M105*(1+WACC)^Calcs!M7</f>
        <v>3.8886138788158302</v>
      </c>
      <c r="N109" s="153">
        <f>N105*(1+WACC)^Calcs!N7</f>
        <v>3.475807608169128</v>
      </c>
      <c r="O109" s="153">
        <f>O105*(1+WACC)^Calcs!O7</f>
        <v>2.922636890459287</v>
      </c>
      <c r="P109" s="153">
        <f>P105*(1+WACC)^Calcs!P7</f>
        <v>2.5003265298832833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15.973277732496143</v>
      </c>
      <c r="M110" s="153">
        <f>M106*(1+WACC)^Calcs!M7</f>
        <v>16.404042032625537</v>
      </c>
      <c r="N110" s="153">
        <f>N106*(1+WACC)^Calcs!N7</f>
        <v>18.300948704067704</v>
      </c>
      <c r="O110" s="153">
        <f>O106*(1+WACC)^Calcs!O7</f>
        <v>17.606473770779338</v>
      </c>
      <c r="P110" s="153">
        <f>P106*(1+WACC)^Calcs!P7</f>
        <v>17.013994863447856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 ht="13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16.628642009484231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85.298737103416585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4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 ht="13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 ht="13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 ht="13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 ht="13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 ht="13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 ht="13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4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 ht="13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146.6929405754797</v>
      </c>
      <c r="M136" s="153">
        <f>Baseline.Totex.Water*(FD.AllExp.Coeff.Water/100)</f>
        <v>153.84749010462565</v>
      </c>
      <c r="N136" s="153">
        <f>Baseline.Totex.Water*(FD.AllExp.Coeff.Water/100)</f>
        <v>142.46595003405378</v>
      </c>
      <c r="O136" s="153">
        <f>Baseline.Totex.Water*(FD.AllExp.Coeff.Water/100)</f>
        <v>124.10519640769606</v>
      </c>
      <c r="P136" s="153">
        <f>Baseline.Totex.Water*(FD.AllExp.Coeff.Water/100)</f>
        <v>109.9946567658298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189.96129799027253</v>
      </c>
      <c r="M137" s="153">
        <f>Baseline.Totex.Sewerage*(FD.AllExp.Coeff.Sewerage/100)</f>
        <v>202.10716692428102</v>
      </c>
      <c r="N137" s="153">
        <f>Baseline.Totex.Sewerage*(FD.AllExp.Coeff.Sewerage/100)</f>
        <v>233.59535358360748</v>
      </c>
      <c r="O137" s="153">
        <f>Baseline.Totex.Sewerage*(FD.AllExp.Coeff.Sewerage/100)</f>
        <v>232.82131388462437</v>
      </c>
      <c r="P137" s="153">
        <f>Baseline.Totex.Sewerage*(FD.AllExp.Coeff.Sewerage/100)</f>
        <v>233.08611564982084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 ht="13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147.53962738978299</v>
      </c>
      <c r="M140" s="153">
        <f>Inputs!M46</f>
        <v>154.60334400658601</v>
      </c>
      <c r="N140" s="153">
        <f>Inputs!N46</f>
        <v>143.22180393601499</v>
      </c>
      <c r="O140" s="153">
        <f>Inputs!O46</f>
        <v>124.861050309657</v>
      </c>
      <c r="P140" s="153">
        <f>Inputs!P46</f>
        <v>110.750510667791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190.39644550214001</v>
      </c>
      <c r="M141" s="153">
        <f>Inputs!M47</f>
        <v>202.38331443614899</v>
      </c>
      <c r="N141" s="153">
        <f>Inputs!N47</f>
        <v>233.871501095475</v>
      </c>
      <c r="O141" s="153">
        <f>Inputs!O47</f>
        <v>233.09746139649201</v>
      </c>
      <c r="P141" s="153">
        <f>Inputs!P47</f>
        <v>233.36226316168899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 ht="13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0.84668681430329684</v>
      </c>
      <c r="M144" s="153">
        <f t="shared" ref="M144:P144" si="5">M140-M136</f>
        <v>0.75585390196036428</v>
      </c>
      <c r="N144" s="153">
        <f t="shared" si="5"/>
        <v>0.75585390196121693</v>
      </c>
      <c r="O144" s="153">
        <f t="shared" si="5"/>
        <v>0.75585390196094693</v>
      </c>
      <c r="P144" s="153">
        <f t="shared" si="5"/>
        <v>0.75585390196120272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0.43514751186748413</v>
      </c>
      <c r="M145" s="153">
        <f t="shared" ref="M145:P145" si="6">M141-M137</f>
        <v>0.27614751186797548</v>
      </c>
      <c r="N145" s="153">
        <f t="shared" si="6"/>
        <v>0.27614751186752073</v>
      </c>
      <c r="O145" s="153">
        <f t="shared" si="6"/>
        <v>0.27614751186763442</v>
      </c>
      <c r="P145" s="153">
        <f t="shared" si="6"/>
        <v>0.27614751186814601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 ht="13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 ht="13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146.69819391332535</v>
      </c>
      <c r="M148" s="153">
        <f>Baseline.Totex.Water*(AllExp.Coeff.Water/100)</f>
        <v>153.85299965974843</v>
      </c>
      <c r="N148" s="153">
        <f>Baseline.Totex.Water*(AllExp.Coeff.Water/100)</f>
        <v>142.47105199577121</v>
      </c>
      <c r="O148" s="153">
        <f>Baseline.Totex.Water*(AllExp.Coeff.Water/100)</f>
        <v>124.10964083782727</v>
      </c>
      <c r="P148" s="153">
        <f>Baseline.Totex.Water*(AllExp.Coeff.Water/100)</f>
        <v>109.9985958721763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 ht="13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189.94512121714072</v>
      </c>
      <c r="M149" s="153">
        <f>Baseline.Totex.Sewerage*(AllExp.Coeff.Sewerage/100)</f>
        <v>202.0899558301148</v>
      </c>
      <c r="N149" s="153">
        <f>Baseline.Totex.Sewerage*(AllExp.Coeff.Sewerage/100)</f>
        <v>233.57546101033313</v>
      </c>
      <c r="O149" s="153">
        <f>Baseline.Totex.Sewerage*(AllExp.Coeff.Sewerage/100)</f>
        <v>232.801487227222</v>
      </c>
      <c r="P149" s="153">
        <f>Baseline.Totex.Sewerage*(AllExp.Coeff.Sewerage/100)</f>
        <v>233.06626644236158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 ht="13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147.54488072762865</v>
      </c>
      <c r="M152" s="153">
        <f t="shared" ref="M152:P152" si="7">M148+M144</f>
        <v>154.6088535617088</v>
      </c>
      <c r="N152" s="153">
        <f t="shared" si="7"/>
        <v>143.22690589773242</v>
      </c>
      <c r="O152" s="153">
        <f t="shared" si="7"/>
        <v>124.86549473978822</v>
      </c>
      <c r="P152" s="153">
        <f t="shared" si="7"/>
        <v>110.7544497741375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190.38026872900821</v>
      </c>
      <c r="M153" s="153">
        <f t="shared" ref="M153:P153" si="8">M149+M145</f>
        <v>202.36610334198278</v>
      </c>
      <c r="N153" s="153">
        <f t="shared" si="8"/>
        <v>233.85160852220065</v>
      </c>
      <c r="O153" s="153">
        <f t="shared" si="8"/>
        <v>233.07763473908963</v>
      </c>
      <c r="P153" s="153">
        <f t="shared" si="8"/>
        <v>233.34241395422973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 ht="13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5.2533378456587343E-3</v>
      </c>
      <c r="M156" s="153">
        <f t="shared" si="9"/>
        <v>5.5095551227850592E-3</v>
      </c>
      <c r="N156" s="153">
        <f t="shared" si="9"/>
        <v>5.1019617174290488E-3</v>
      </c>
      <c r="O156" s="153">
        <f t="shared" si="9"/>
        <v>4.4444301312154266E-3</v>
      </c>
      <c r="P156" s="153">
        <f t="shared" si="9"/>
        <v>3.939106346493304E-3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-1.6176773131803657E-2</v>
      </c>
      <c r="M157" s="153">
        <f t="shared" si="9"/>
        <v>-1.7211094166214025E-2</v>
      </c>
      <c r="N157" s="153">
        <f t="shared" si="9"/>
        <v>-1.9892573274347569E-2</v>
      </c>
      <c r="O157" s="153">
        <f t="shared" si="9"/>
        <v>-1.9826657402376213E-2</v>
      </c>
      <c r="P157" s="153">
        <f t="shared" si="9"/>
        <v>-1.9849207459259333E-2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4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 ht="13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 ht="13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-3.5296878416628488</v>
      </c>
      <c r="M162" s="218">
        <f>(Actual.Totex.Water-SUM(Inputs!M60:M64))/Indexation.Average-M148</f>
        <v>-14.904200712523306</v>
      </c>
      <c r="N162" s="218">
        <f>(Actual.Totex.Water-SUM(Inputs!N60:N64))/Indexation.Average-N148</f>
        <v>-16.218964837328144</v>
      </c>
      <c r="O162" s="218">
        <f>(Actual.Totex.Water-SUM(Inputs!O60:O64))/Indexation.Average-O148</f>
        <v>-9.1942121239018633</v>
      </c>
      <c r="P162" s="218">
        <f>(Actual.Totex.Water-SUM(Inputs!P60:P64))/Indexation.Average-P148</f>
        <v>12.563499892466979</v>
      </c>
      <c r="Q162" s="161"/>
      <c r="R162" s="3"/>
      <c r="S162" s="3"/>
      <c r="T162" s="3"/>
      <c r="W162" s="211" t="s">
        <v>279</v>
      </c>
      <c r="X162" s="76"/>
    </row>
    <row r="163" spans="1:24" s="75" customFormat="1" ht="13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-30.060794868953934</v>
      </c>
      <c r="M163" s="218">
        <f>(Actual.Totex.Sewerage-SUM(Inputs!M66:M72))/Indexation.Average-M149</f>
        <v>-33.143521818394476</v>
      </c>
      <c r="N163" s="218">
        <f>(Actual.Totex.Sewerage-SUM(Inputs!N66:N72))/Indexation.Average-N149</f>
        <v>-21.398736490955315</v>
      </c>
      <c r="O163" s="218">
        <f>(Actual.Totex.Sewerage-SUM(Inputs!O66:O72))/Indexation.Average-O149</f>
        <v>-32.797904051367595</v>
      </c>
      <c r="P163" s="218">
        <f>(Actual.Totex.Sewerage-SUM(Inputs!P66:P72))/Indexation.Average-P149</f>
        <v>-43.73034519109072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 ht="13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 ht="13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-3.52443450381719</v>
      </c>
      <c r="M166" s="153">
        <f t="shared" ref="L166:P167" si="10">M162+M156</f>
        <v>-14.898691157400521</v>
      </c>
      <c r="N166" s="153">
        <f t="shared" si="10"/>
        <v>-16.213862875610715</v>
      </c>
      <c r="O166" s="153">
        <f t="shared" si="10"/>
        <v>-9.1897676937706478</v>
      </c>
      <c r="P166" s="153">
        <f t="shared" si="10"/>
        <v>12.567438998813472</v>
      </c>
      <c r="Q166" s="89" t="s">
        <v>283</v>
      </c>
      <c r="R166" s="3"/>
      <c r="S166" s="3"/>
      <c r="T166" s="3"/>
      <c r="X166" s="76"/>
    </row>
    <row r="167" spans="1:24" s="75" customFormat="1" ht="13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-30.076971642085738</v>
      </c>
      <c r="M167" s="153">
        <f t="shared" si="10"/>
        <v>-33.16073291256069</v>
      </c>
      <c r="N167" s="153">
        <f t="shared" si="10"/>
        <v>-21.418629064229663</v>
      </c>
      <c r="O167" s="153">
        <f t="shared" si="10"/>
        <v>-32.817730708769972</v>
      </c>
      <c r="P167" s="153">
        <f t="shared" si="10"/>
        <v>-43.750194398549979</v>
      </c>
      <c r="Q167" s="89" t="s">
        <v>285</v>
      </c>
      <c r="R167" s="3"/>
      <c r="S167" s="3"/>
      <c r="T167" s="3"/>
      <c r="X167" s="76"/>
    </row>
    <row r="168" spans="1:24" s="75" customFormat="1" ht="13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 ht="13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-4.0600227388299723</v>
      </c>
      <c r="M170" s="153">
        <f>M166*(1+WACC)^Calcs!M7</f>
        <v>-16.566371026954389</v>
      </c>
      <c r="N170" s="153">
        <f>N166*(1+WACC)^Calcs!N7</f>
        <v>-17.402274168941478</v>
      </c>
      <c r="O170" s="153">
        <f>O166*(1+WACC)^Calcs!O7</f>
        <v>-9.520599330746391</v>
      </c>
      <c r="P170" s="153">
        <f>P166*(1+WACC)^Calcs!P7</f>
        <v>12.567438998813472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-34.647597692553482</v>
      </c>
      <c r="M171" s="153">
        <f>M167*(1+WACC)^Calcs!M7</f>
        <v>-36.872568143836048</v>
      </c>
      <c r="N171" s="153">
        <f>N167*(1+WACC)^Calcs!N7</f>
        <v>-22.988528900121441</v>
      </c>
      <c r="O171" s="153">
        <f>O167*(1+WACC)^Calcs!O7</f>
        <v>-33.999169014285691</v>
      </c>
      <c r="P171" s="153">
        <f>P167*(1+WACC)^Calcs!P7</f>
        <v>-43.750194398549979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 ht="13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 ht="13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-34.981828266658759</v>
      </c>
      <c r="Q174" s="89"/>
      <c r="R174" s="3"/>
      <c r="S174" s="3"/>
      <c r="T174" s="3"/>
      <c r="X174" s="76"/>
    </row>
    <row r="175" spans="1:24" s="75" customFormat="1" ht="13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-172.25805814934665</v>
      </c>
      <c r="Q175" s="89"/>
      <c r="R175" s="3"/>
      <c r="S175" s="3"/>
      <c r="T175" s="3"/>
      <c r="X175" s="76"/>
    </row>
    <row r="176" spans="1:24" s="75" customFormat="1" ht="13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4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 ht="13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 ht="13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 ht="13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 ht="13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 ht="13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 ht="13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 ht="13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4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4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 ht="13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0.56156826424560269</v>
      </c>
      <c r="H192" s="89" t="s">
        <v>302</v>
      </c>
    </row>
    <row r="193" spans="1:24" ht="13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0.53058870052651097</v>
      </c>
      <c r="H193" s="89" t="s">
        <v>304</v>
      </c>
    </row>
    <row r="194" spans="1:24"/>
    <row r="195" spans="1:24" s="22" customFormat="1" ht="14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-3.0160425703610869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-6.0994421252654121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4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-15.337143686813439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-80.859878920664656</v>
      </c>
    </row>
    <row r="204" spans="1:24"/>
    <row r="205" spans="1:24" ht="13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O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17.90625" style="7" customWidth="1"/>
    <col min="7" max="7" width="11.54296875" style="7" customWidth="1"/>
    <col min="8" max="8" width="4.08984375" style="7" customWidth="1"/>
    <col min="9" max="21" width="13.08984375" style="7" customWidth="1"/>
    <col min="22" max="22" width="15.90625" style="7" bestFit="1" customWidth="1"/>
    <col min="23" max="16384" width="9.08984375" style="7" hidden="1"/>
  </cols>
  <sheetData>
    <row r="1" spans="1:24" ht="32.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3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3">
      <c r="V4" s="96"/>
    </row>
    <row r="5" spans="1:24" ht="13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5"/>
    <row r="8" spans="1:24" ht="12.5"/>
    <row r="9" spans="1:24" s="22" customFormat="1" ht="14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5">
      <c r="A11" s="72"/>
      <c r="D11" s="30" t="s">
        <v>41</v>
      </c>
      <c r="E11" s="91" t="s">
        <v>306</v>
      </c>
      <c r="F11" s="33" t="s">
        <v>28</v>
      </c>
      <c r="P11" s="88">
        <f>Calcs!P197</f>
        <v>-3.0160425703610869</v>
      </c>
      <c r="X11" s="74"/>
    </row>
    <row r="12" spans="1:24" s="3" customFormat="1" ht="12.5">
      <c r="A12" s="72"/>
      <c r="D12" s="30" t="s">
        <v>41</v>
      </c>
      <c r="E12" s="91" t="s">
        <v>307</v>
      </c>
      <c r="F12" s="33" t="s">
        <v>28</v>
      </c>
      <c r="P12" s="88">
        <f>Calcs!P198</f>
        <v>-6.0994421252654121</v>
      </c>
      <c r="X12" s="74"/>
    </row>
    <row r="13" spans="1:24" s="3" customFormat="1" ht="12.5">
      <c r="E13" s="91"/>
      <c r="F13" s="33"/>
      <c r="P13" s="153"/>
      <c r="X13" s="74"/>
    </row>
    <row r="14" spans="1:24" s="3" customFormat="1" ht="13">
      <c r="A14" s="72"/>
      <c r="D14" s="30" t="s">
        <v>41</v>
      </c>
      <c r="E14" s="78" t="s">
        <v>316</v>
      </c>
      <c r="F14" s="33" t="s">
        <v>28</v>
      </c>
      <c r="P14" s="156">
        <f>SUM(P11:P12)</f>
        <v>-9.115484695626499</v>
      </c>
      <c r="X14" s="74"/>
    </row>
    <row r="15" spans="1:24" s="3" customFormat="1" ht="12.5">
      <c r="E15" s="91"/>
      <c r="F15" s="91"/>
      <c r="G15" s="91"/>
      <c r="X15" s="74"/>
    </row>
    <row r="16" spans="1:24" s="22" customFormat="1" ht="14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5">
      <c r="A18" s="72"/>
      <c r="D18" s="30" t="s">
        <v>41</v>
      </c>
      <c r="E18" s="91" t="s">
        <v>309</v>
      </c>
      <c r="F18" s="33" t="s">
        <v>28</v>
      </c>
      <c r="P18" s="88">
        <f>Calcs!P202</f>
        <v>-15.337143686813439</v>
      </c>
      <c r="X18" s="74"/>
    </row>
    <row r="19" spans="1:24" s="3" customFormat="1" ht="12.5">
      <c r="A19" s="72"/>
      <c r="D19" s="30" t="s">
        <v>41</v>
      </c>
      <c r="E19" s="91" t="s">
        <v>310</v>
      </c>
      <c r="F19" s="33" t="s">
        <v>28</v>
      </c>
      <c r="P19" s="88">
        <f>Calcs!P203</f>
        <v>-80.859878920664656</v>
      </c>
      <c r="X19" s="74"/>
    </row>
    <row r="20" spans="1:24" customFormat="1" ht="14.5">
      <c r="G20" s="7"/>
    </row>
    <row r="21" spans="1:24" s="3" customFormat="1" ht="13">
      <c r="A21" s="72"/>
      <c r="D21" s="30" t="s">
        <v>41</v>
      </c>
      <c r="E21" s="78" t="s">
        <v>318</v>
      </c>
      <c r="F21" s="33" t="s">
        <v>28</v>
      </c>
      <c r="P21" s="156">
        <f>SUM(P18:P19)</f>
        <v>-96.19702260747809</v>
      </c>
      <c r="X21" s="74"/>
    </row>
    <row r="22" spans="1:24" ht="13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5"/>
    <row r="25" spans="1:24" ht="12.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-96.19702260747809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pane xSplit="3" ySplit="2" topLeftCell="E3" activePane="bottomRight" state="frozen"/>
      <selection pane="topRight"/>
      <selection pane="bottomLeft"/>
      <selection pane="bottomRight"/>
    </sheetView>
  </sheetViews>
  <sheetFormatPr defaultColWidth="8.90625" defaultRowHeight="14.5"/>
  <cols>
    <col min="1" max="1" width="3.90625" style="262" customWidth="1"/>
    <col min="2" max="2" width="20.54296875" style="262" customWidth="1"/>
    <col min="3" max="3" width="22.90625" style="262" customWidth="1"/>
    <col min="4" max="4" width="3.26953125" style="262" customWidth="1"/>
    <col min="5" max="5" width="15.26953125" style="262" customWidth="1"/>
    <col min="6" max="6" width="7.36328125" style="262" customWidth="1"/>
    <col min="7" max="7" width="14.08984375" style="262" customWidth="1"/>
    <col min="8" max="16384" width="8.90625" style="262"/>
  </cols>
  <sheetData>
    <row r="1" spans="1:7">
      <c r="C1" s="262" t="s">
        <v>468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-3.0160425703610869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-6.0994421252654121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-9.115484695626499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-15.337143686813439</v>
      </c>
      <c r="G7" s="266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-80.859878920664656</v>
      </c>
      <c r="G8" s="266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-96.19702260747809</v>
      </c>
      <c r="G9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P2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4296875" style="3" customWidth="1"/>
    <col min="4" max="4" width="11.54296875" style="3" customWidth="1"/>
    <col min="5" max="5" width="53.08984375" style="3" customWidth="1"/>
    <col min="6" max="7" width="2.54296875" style="3" customWidth="1"/>
    <col min="8" max="21" width="11" style="3" customWidth="1"/>
    <col min="22" max="22" width="22.36328125" style="134" bestFit="1" customWidth="1"/>
    <col min="23" max="26" width="8.90625" style="3" hidden="1" customWidth="1"/>
    <col min="27" max="259" width="0" style="3" hidden="1" customWidth="1"/>
    <col min="260" max="16384" width="0" style="3" hidden="1"/>
  </cols>
  <sheetData>
    <row r="1" spans="1:24" s="72" customFormat="1" ht="32.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4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3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3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3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288.09100000000001</v>
      </c>
      <c r="Q11" s="128">
        <f>F_Inputs!O34</f>
        <v>296.73372999999998</v>
      </c>
      <c r="R11" s="128"/>
      <c r="S11" s="128"/>
      <c r="T11" s="128"/>
      <c r="U11" s="128"/>
      <c r="V11" s="125"/>
    </row>
    <row r="12" spans="1:24" s="72" customFormat="1" ht="13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289.12099999999998</v>
      </c>
      <c r="Q12" s="128">
        <f>F_Inputs!O35</f>
        <v>297.79462999999998</v>
      </c>
      <c r="R12" s="128"/>
      <c r="S12" s="128"/>
      <c r="T12" s="128"/>
      <c r="U12" s="128"/>
      <c r="V12" s="125"/>
    </row>
    <row r="13" spans="1:24" s="72" customFormat="1" ht="13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</v>
      </c>
      <c r="P13" s="128">
        <f>F_Inputs!N36</f>
        <v>289.94499999999999</v>
      </c>
      <c r="Q13" s="128">
        <f>F_Inputs!O36</f>
        <v>298.64335</v>
      </c>
      <c r="R13" s="128"/>
      <c r="S13" s="128"/>
      <c r="T13" s="128"/>
      <c r="U13" s="128"/>
      <c r="V13" s="125"/>
    </row>
    <row r="14" spans="1:24" s="72" customFormat="1" ht="13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281.08699999999999</v>
      </c>
      <c r="P14" s="128">
        <f>F_Inputs!N37</f>
        <v>289.51961</v>
      </c>
      <c r="Q14" s="128">
        <f>F_Inputs!O37</f>
        <v>298.20519830000001</v>
      </c>
      <c r="R14" s="128"/>
      <c r="S14" s="128"/>
      <c r="T14" s="128"/>
      <c r="U14" s="128"/>
      <c r="V14" s="125"/>
    </row>
    <row r="15" spans="1:24" s="72" customFormat="1" ht="13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282.94099999999997</v>
      </c>
      <c r="P15" s="128">
        <f>F_Inputs!N38</f>
        <v>291.42923000000002</v>
      </c>
      <c r="Q15" s="128">
        <f>F_Inputs!O38</f>
        <v>300.17210690000002</v>
      </c>
      <c r="R15" s="128"/>
      <c r="S15" s="128"/>
      <c r="T15" s="128"/>
      <c r="U15" s="128"/>
      <c r="V15" s="125"/>
    </row>
    <row r="16" spans="1:24" s="72" customFormat="1" ht="13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283.35300000000001</v>
      </c>
      <c r="P16" s="128">
        <f>F_Inputs!N39</f>
        <v>291.85359</v>
      </c>
      <c r="Q16" s="128">
        <f>F_Inputs!O39</f>
        <v>300.60919769999998</v>
      </c>
      <c r="R16" s="128"/>
      <c r="S16" s="128"/>
      <c r="T16" s="128"/>
      <c r="U16" s="128"/>
      <c r="V16" s="125"/>
    </row>
    <row r="17" spans="2:22" s="72" customFormat="1" ht="13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283.55900000000003</v>
      </c>
      <c r="P17" s="128">
        <f>F_Inputs!N40</f>
        <v>292.06576999999999</v>
      </c>
      <c r="Q17" s="128">
        <f>F_Inputs!O40</f>
        <v>300.82774310000002</v>
      </c>
      <c r="R17" s="128"/>
      <c r="S17" s="128"/>
      <c r="T17" s="128"/>
      <c r="U17" s="128"/>
      <c r="V17" s="125"/>
    </row>
    <row r="18" spans="2:22" s="72" customFormat="1" ht="13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284.07400000000001</v>
      </c>
      <c r="P18" s="128">
        <f>F_Inputs!N41</f>
        <v>292.59622000000002</v>
      </c>
      <c r="Q18" s="128">
        <f>F_Inputs!O41</f>
        <v>301.3741066</v>
      </c>
      <c r="R18" s="128"/>
      <c r="S18" s="128"/>
      <c r="T18" s="128"/>
      <c r="U18" s="128"/>
      <c r="V18" s="125"/>
    </row>
    <row r="19" spans="2:22" s="72" customFormat="1" ht="13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286.44299999999998</v>
      </c>
      <c r="P19" s="128">
        <f>F_Inputs!N42</f>
        <v>295.03629000000001</v>
      </c>
      <c r="Q19" s="128">
        <f>F_Inputs!O42</f>
        <v>303.8873787</v>
      </c>
      <c r="R19" s="128"/>
      <c r="S19" s="128"/>
      <c r="T19" s="128"/>
      <c r="U19" s="128"/>
      <c r="V19" s="125"/>
    </row>
    <row r="20" spans="2:22" s="72" customFormat="1" ht="13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284.27999999999997</v>
      </c>
      <c r="P20" s="128">
        <f>F_Inputs!N43</f>
        <v>292.80840000000001</v>
      </c>
      <c r="Q20" s="128">
        <f>F_Inputs!O43</f>
        <v>301.59265199999999</v>
      </c>
      <c r="R20" s="128"/>
      <c r="S20" s="128"/>
      <c r="T20" s="128"/>
      <c r="U20" s="128"/>
      <c r="V20" s="125"/>
    </row>
    <row r="21" spans="2:22" s="72" customFormat="1" ht="13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286.44299999999998</v>
      </c>
      <c r="P21" s="128">
        <f>F_Inputs!N44</f>
        <v>295.03629000000001</v>
      </c>
      <c r="Q21" s="128">
        <f>F_Inputs!O44</f>
        <v>303.8873787</v>
      </c>
      <c r="R21" s="128"/>
      <c r="S21" s="128"/>
      <c r="T21" s="128"/>
      <c r="U21" s="128"/>
      <c r="V21" s="125"/>
    </row>
    <row r="22" spans="2:22" s="72" customFormat="1" ht="13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286.649</v>
      </c>
      <c r="P22" s="128">
        <f>F_Inputs!N45</f>
        <v>295.24847</v>
      </c>
      <c r="Q22" s="128">
        <f>F_Inputs!O45</f>
        <v>304.10592409999998</v>
      </c>
      <c r="R22" s="128"/>
      <c r="S22" s="128"/>
      <c r="T22" s="128"/>
      <c r="U22" s="128"/>
      <c r="V22" s="125"/>
    </row>
    <row r="23" spans="2:22" s="72" customFormat="1" ht="13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3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3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3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288.09100000000001</v>
      </c>
      <c r="Q29" s="133">
        <f t="shared" si="2"/>
        <v>296.73372999999998</v>
      </c>
      <c r="R29" s="133">
        <f t="shared" si="2"/>
        <v>296.73372999999998</v>
      </c>
      <c r="S29" s="133">
        <f t="shared" si="2"/>
        <v>296.73372999999998</v>
      </c>
      <c r="T29" s="133">
        <f t="shared" si="2"/>
        <v>296.73372999999998</v>
      </c>
      <c r="U29" s="133">
        <f t="shared" si="2"/>
        <v>296.73372999999998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289.12099999999998</v>
      </c>
      <c r="Q30" s="133">
        <f t="shared" si="3"/>
        <v>297.79462999999998</v>
      </c>
      <c r="R30" s="133">
        <f t="shared" si="3"/>
        <v>297.79462999999998</v>
      </c>
      <c r="S30" s="133">
        <f t="shared" si="3"/>
        <v>297.79462999999998</v>
      </c>
      <c r="T30" s="133">
        <f t="shared" si="3"/>
        <v>297.79462999999998</v>
      </c>
      <c r="U30" s="133">
        <f t="shared" si="3"/>
        <v>297.79462999999998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289.94499999999999</v>
      </c>
      <c r="Q31" s="133">
        <f t="shared" si="3"/>
        <v>298.64335</v>
      </c>
      <c r="R31" s="133">
        <f t="shared" si="3"/>
        <v>298.64335</v>
      </c>
      <c r="S31" s="133">
        <f t="shared" si="3"/>
        <v>298.64335</v>
      </c>
      <c r="T31" s="133">
        <f t="shared" si="3"/>
        <v>298.64335</v>
      </c>
      <c r="U31" s="133">
        <f t="shared" si="3"/>
        <v>298.64335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281.08699999999999</v>
      </c>
      <c r="P32" s="133">
        <f t="shared" si="3"/>
        <v>289.51961</v>
      </c>
      <c r="Q32" s="133">
        <f t="shared" si="3"/>
        <v>298.20519830000001</v>
      </c>
      <c r="R32" s="133">
        <f t="shared" si="3"/>
        <v>298.20519830000001</v>
      </c>
      <c r="S32" s="133">
        <f t="shared" si="3"/>
        <v>298.20519830000001</v>
      </c>
      <c r="T32" s="133">
        <f t="shared" si="3"/>
        <v>298.20519830000001</v>
      </c>
      <c r="U32" s="133">
        <f t="shared" si="3"/>
        <v>298.20519830000001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282.94099999999997</v>
      </c>
      <c r="P33" s="133">
        <f t="shared" si="3"/>
        <v>291.42923000000002</v>
      </c>
      <c r="Q33" s="133">
        <f t="shared" si="3"/>
        <v>300.17210690000002</v>
      </c>
      <c r="R33" s="133">
        <f t="shared" si="3"/>
        <v>300.17210690000002</v>
      </c>
      <c r="S33" s="133">
        <f t="shared" si="3"/>
        <v>300.17210690000002</v>
      </c>
      <c r="T33" s="133">
        <f t="shared" si="3"/>
        <v>300.17210690000002</v>
      </c>
      <c r="U33" s="133">
        <f t="shared" si="3"/>
        <v>300.17210690000002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283.35300000000001</v>
      </c>
      <c r="P34" s="133">
        <f t="shared" si="3"/>
        <v>291.85359</v>
      </c>
      <c r="Q34" s="133">
        <f t="shared" si="3"/>
        <v>300.60919769999998</v>
      </c>
      <c r="R34" s="133">
        <f t="shared" si="3"/>
        <v>300.60919769999998</v>
      </c>
      <c r="S34" s="133">
        <f t="shared" si="3"/>
        <v>300.60919769999998</v>
      </c>
      <c r="T34" s="133">
        <f t="shared" si="3"/>
        <v>300.60919769999998</v>
      </c>
      <c r="U34" s="133">
        <f t="shared" si="3"/>
        <v>300.60919769999998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283.55900000000003</v>
      </c>
      <c r="P35" s="133">
        <f t="shared" si="3"/>
        <v>292.06576999999999</v>
      </c>
      <c r="Q35" s="133">
        <f t="shared" si="3"/>
        <v>300.82774310000002</v>
      </c>
      <c r="R35" s="133">
        <f t="shared" si="3"/>
        <v>300.82774310000002</v>
      </c>
      <c r="S35" s="133">
        <f t="shared" si="3"/>
        <v>300.82774310000002</v>
      </c>
      <c r="T35" s="133">
        <f t="shared" si="3"/>
        <v>300.82774310000002</v>
      </c>
      <c r="U35" s="133">
        <f t="shared" si="3"/>
        <v>300.82774310000002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284.07400000000001</v>
      </c>
      <c r="P36" s="133">
        <f t="shared" si="3"/>
        <v>292.59622000000002</v>
      </c>
      <c r="Q36" s="133">
        <f t="shared" si="3"/>
        <v>301.3741066</v>
      </c>
      <c r="R36" s="133">
        <f t="shared" si="3"/>
        <v>301.3741066</v>
      </c>
      <c r="S36" s="133">
        <f t="shared" si="3"/>
        <v>301.3741066</v>
      </c>
      <c r="T36" s="133">
        <f t="shared" si="3"/>
        <v>301.3741066</v>
      </c>
      <c r="U36" s="133">
        <f t="shared" si="3"/>
        <v>301.3741066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286.44299999999998</v>
      </c>
      <c r="P37" s="133">
        <f t="shared" si="3"/>
        <v>295.03629000000001</v>
      </c>
      <c r="Q37" s="133">
        <f t="shared" si="3"/>
        <v>303.8873787</v>
      </c>
      <c r="R37" s="133">
        <f t="shared" si="3"/>
        <v>303.8873787</v>
      </c>
      <c r="S37" s="133">
        <f t="shared" si="3"/>
        <v>303.8873787</v>
      </c>
      <c r="T37" s="133">
        <f t="shared" si="3"/>
        <v>303.8873787</v>
      </c>
      <c r="U37" s="133">
        <f t="shared" si="3"/>
        <v>303.8873787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284.27999999999997</v>
      </c>
      <c r="P38" s="133">
        <f t="shared" si="3"/>
        <v>292.80840000000001</v>
      </c>
      <c r="Q38" s="133">
        <f t="shared" si="3"/>
        <v>301.59265199999999</v>
      </c>
      <c r="R38" s="133">
        <f t="shared" si="3"/>
        <v>301.59265199999999</v>
      </c>
      <c r="S38" s="133">
        <f t="shared" si="3"/>
        <v>301.59265199999999</v>
      </c>
      <c r="T38" s="133">
        <f t="shared" si="3"/>
        <v>301.59265199999999</v>
      </c>
      <c r="U38" s="133">
        <f t="shared" si="3"/>
        <v>301.59265199999999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286.44299999999998</v>
      </c>
      <c r="P39" s="133">
        <f t="shared" si="3"/>
        <v>295.03629000000001</v>
      </c>
      <c r="Q39" s="133">
        <f t="shared" si="3"/>
        <v>303.8873787</v>
      </c>
      <c r="R39" s="133">
        <f t="shared" si="3"/>
        <v>303.8873787</v>
      </c>
      <c r="S39" s="133">
        <f t="shared" si="3"/>
        <v>303.8873787</v>
      </c>
      <c r="T39" s="133">
        <f t="shared" si="3"/>
        <v>303.8873787</v>
      </c>
      <c r="U39" s="133">
        <f t="shared" si="3"/>
        <v>303.8873787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286.649</v>
      </c>
      <c r="P40" s="133">
        <f t="shared" si="3"/>
        <v>295.24847</v>
      </c>
      <c r="Q40" s="133">
        <f t="shared" si="3"/>
        <v>304.10592409999998</v>
      </c>
      <c r="R40" s="133">
        <f t="shared" si="3"/>
        <v>304.10592409999998</v>
      </c>
      <c r="S40" s="133">
        <f t="shared" si="3"/>
        <v>304.10592409999998</v>
      </c>
      <c r="T40" s="133">
        <f t="shared" si="3"/>
        <v>304.10592409999998</v>
      </c>
      <c r="U40" s="133">
        <f t="shared" si="3"/>
        <v>304.10592409999998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283.3940833333333</v>
      </c>
      <c r="P41" s="129">
        <f t="shared" si="4"/>
        <v>291.8959058333333</v>
      </c>
      <c r="Q41" s="129">
        <f t="shared" si="4"/>
        <v>300.65278300833336</v>
      </c>
      <c r="R41" s="129">
        <f t="shared" si="4"/>
        <v>300.65278300833336</v>
      </c>
      <c r="S41" s="129">
        <f t="shared" si="4"/>
        <v>300.65278300833336</v>
      </c>
      <c r="T41" s="129">
        <f t="shared" si="4"/>
        <v>300.65278300833336</v>
      </c>
      <c r="U41" s="129">
        <f t="shared" si="4"/>
        <v>300.65278300833336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1.1910859538784067</v>
      </c>
      <c r="Q45" s="185">
        <f t="shared" si="5"/>
        <v>1.2268185324947589</v>
      </c>
      <c r="R45" s="185">
        <f t="shared" si="5"/>
        <v>1.2636230884696018</v>
      </c>
      <c r="S45" s="185">
        <f t="shared" si="5"/>
        <v>1.2636230884696018</v>
      </c>
      <c r="T45" s="185">
        <f t="shared" si="5"/>
        <v>1.2636230884696018</v>
      </c>
      <c r="U45" s="185">
        <f t="shared" si="5"/>
        <v>1.2636230884696018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1.1582469943121827</v>
      </c>
      <c r="P49" s="185">
        <f t="shared" si="6"/>
        <v>1.1929944041415483</v>
      </c>
      <c r="Q49" s="185">
        <f t="shared" si="6"/>
        <v>1.228784236265795</v>
      </c>
      <c r="R49" s="185">
        <f t="shared" si="6"/>
        <v>1.228784236265795</v>
      </c>
      <c r="S49" s="185">
        <f t="shared" si="6"/>
        <v>1.228784236265795</v>
      </c>
      <c r="T49" s="185">
        <f t="shared" si="6"/>
        <v>1.228784236265795</v>
      </c>
      <c r="U49" s="185">
        <f t="shared" si="6"/>
        <v>1.228784236265795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3.0867561914577291E-2</v>
      </c>
      <c r="P51" s="139">
        <f t="shared" si="7"/>
        <v>3.0000000000000027E-2</v>
      </c>
      <c r="Q51" s="139">
        <f t="shared" si="7"/>
        <v>3.0000000000000249E-2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4296875" style="7" customWidth="1"/>
    <col min="4" max="4" width="9.54296875" style="7" customWidth="1"/>
    <col min="5" max="5" width="29.36328125" style="7" customWidth="1"/>
    <col min="6" max="6" width="4.08984375" style="7" customWidth="1"/>
    <col min="7" max="7" width="11.54296875" style="7" customWidth="1"/>
    <col min="8" max="8" width="4.08984375" style="7" customWidth="1"/>
    <col min="9" max="21" width="9.54296875" style="7" customWidth="1"/>
    <col min="22" max="22" width="15.90625" style="7" bestFit="1" customWidth="1"/>
    <col min="23" max="16384" width="9.08984375" style="7" hidden="1"/>
  </cols>
  <sheetData>
    <row r="1" spans="1:22" ht="32.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3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3">
      <c r="V4" s="96"/>
    </row>
    <row r="5" spans="1:22" ht="13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3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5"/>
    <row r="8" spans="1:22" ht="13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5"/>
    <row r="11" spans="1:22" ht="12.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2019-01-20T12:20:46Z</dcterms:created>
  <dcterms:modified xsi:type="dcterms:W3CDTF">2019-01-28T16:42:31Z</dcterms:modified>
  <cp:category/>
  <cp:contentStatus/>
</cp:coreProperties>
</file>