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690" activeTab="1"/>
  </bookViews>
  <sheets>
    <sheet name="F_Inputs" sheetId="14" r:id="rId1"/>
    <sheet name="Inputs" sheetId="4" r:id="rId2"/>
    <sheet name="Calcs" sheetId="5" r:id="rId3"/>
    <sheet name="Totex menu adjustments" sheetId="8" r:id="rId4"/>
    <sheet name="F_Outputs" sheetId="15" r:id="rId5"/>
    <sheet name="RPI" sheetId="7" r:id="rId6"/>
    <sheet name="Timeline" sheetId="6" r:id="rId7"/>
  </sheets>
  <definedNames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2">Calcs!$A$1:$AM$333</definedName>
    <definedName name="_xlnm.Print_Area" localSheetId="0">F_Inputs!$A$1:$P$45</definedName>
    <definedName name="_xlnm.Print_Area" localSheetId="4">F_Outputs!$A$1:$G$9</definedName>
    <definedName name="_xlnm.Print_Area" localSheetId="1">Inputs!$A$1:$AA$165</definedName>
    <definedName name="_xlnm.Print_Area" localSheetId="5">RPI!$A$1:$IY$59</definedName>
    <definedName name="_xlnm.Print_Area" localSheetId="6">Timeline!$A$1:$V$11</definedName>
    <definedName name="_xlnm.Print_Area" localSheetId="3">'Totex menu adjustments'!$A$1:$X$51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H33" i="4" l="1"/>
  <c r="H32" i="4"/>
  <c r="H23" i="4"/>
  <c r="H22" i="4"/>
  <c r="H13" i="4"/>
  <c r="H15" i="4" s="1"/>
  <c r="H12" i="4"/>
  <c r="I12" i="7" l="1"/>
  <c r="I13" i="7"/>
  <c r="I14" i="7"/>
  <c r="I15" i="7"/>
  <c r="I16" i="7"/>
  <c r="I17" i="7"/>
  <c r="I18" i="7"/>
  <c r="I19" i="7"/>
  <c r="I20" i="7"/>
  <c r="I21" i="7"/>
  <c r="I22" i="7"/>
  <c r="J12" i="7"/>
  <c r="K12" i="7"/>
  <c r="L12" i="7"/>
  <c r="M12" i="7"/>
  <c r="N12" i="7"/>
  <c r="O12" i="7"/>
  <c r="P12" i="7"/>
  <c r="Q12" i="7"/>
  <c r="J13" i="7"/>
  <c r="K13" i="7"/>
  <c r="L13" i="7"/>
  <c r="M13" i="7"/>
  <c r="N13" i="7"/>
  <c r="O13" i="7"/>
  <c r="P13" i="7"/>
  <c r="Q13" i="7"/>
  <c r="J14" i="7"/>
  <c r="K14" i="7"/>
  <c r="L14" i="7"/>
  <c r="M14" i="7"/>
  <c r="N14" i="7"/>
  <c r="O14" i="7"/>
  <c r="P14" i="7"/>
  <c r="Q14" i="7"/>
  <c r="J15" i="7"/>
  <c r="K15" i="7"/>
  <c r="L15" i="7"/>
  <c r="M15" i="7"/>
  <c r="N15" i="7"/>
  <c r="O15" i="7"/>
  <c r="P15" i="7"/>
  <c r="Q15" i="7"/>
  <c r="J16" i="7"/>
  <c r="K16" i="7"/>
  <c r="L16" i="7"/>
  <c r="M16" i="7"/>
  <c r="N16" i="7"/>
  <c r="O16" i="7"/>
  <c r="P16" i="7"/>
  <c r="Q16" i="7"/>
  <c r="J17" i="7"/>
  <c r="K17" i="7"/>
  <c r="L17" i="7"/>
  <c r="M17" i="7"/>
  <c r="N17" i="7"/>
  <c r="O17" i="7"/>
  <c r="P17" i="7"/>
  <c r="Q17" i="7"/>
  <c r="J18" i="7"/>
  <c r="K18" i="7"/>
  <c r="L18" i="7"/>
  <c r="M18" i="7"/>
  <c r="N18" i="7"/>
  <c r="O18" i="7"/>
  <c r="P18" i="7"/>
  <c r="Q18" i="7"/>
  <c r="J19" i="7"/>
  <c r="K19" i="7"/>
  <c r="L19" i="7"/>
  <c r="M19" i="7"/>
  <c r="N19" i="7"/>
  <c r="O19" i="7"/>
  <c r="P19" i="7"/>
  <c r="Q19" i="7"/>
  <c r="J20" i="7"/>
  <c r="K20" i="7"/>
  <c r="L20" i="7"/>
  <c r="M20" i="7"/>
  <c r="N20" i="7"/>
  <c r="O20" i="7"/>
  <c r="P20" i="7"/>
  <c r="Q20" i="7"/>
  <c r="J21" i="7"/>
  <c r="K21" i="7"/>
  <c r="L21" i="7"/>
  <c r="M21" i="7"/>
  <c r="N21" i="7"/>
  <c r="O21" i="7"/>
  <c r="P21" i="7"/>
  <c r="Q21" i="7"/>
  <c r="J22" i="7"/>
  <c r="K22" i="7"/>
  <c r="L22" i="7"/>
  <c r="M22" i="7"/>
  <c r="N22" i="7"/>
  <c r="O22" i="7"/>
  <c r="P22" i="7"/>
  <c r="Q22" i="7"/>
  <c r="Q11" i="7"/>
  <c r="P11" i="7"/>
  <c r="O11" i="7"/>
  <c r="N11" i="7"/>
  <c r="M11" i="7"/>
  <c r="L11" i="7"/>
  <c r="K11" i="7"/>
  <c r="J11" i="7"/>
  <c r="I11" i="7"/>
  <c r="H18" i="7"/>
  <c r="K78" i="4" l="1"/>
  <c r="K75" i="4"/>
  <c r="M125" i="4" l="1"/>
  <c r="N125" i="4"/>
  <c r="O125" i="4"/>
  <c r="P125" i="4"/>
  <c r="M126" i="4"/>
  <c r="N126" i="4"/>
  <c r="O126" i="4"/>
  <c r="P126" i="4"/>
  <c r="L126" i="4"/>
  <c r="L125" i="4"/>
  <c r="P64" i="4" l="1"/>
  <c r="O64" i="4"/>
  <c r="N64" i="4"/>
  <c r="M64" i="4"/>
  <c r="P72" i="4"/>
  <c r="O72" i="4"/>
  <c r="N72" i="4"/>
  <c r="M72" i="4"/>
  <c r="P71" i="4"/>
  <c r="O71" i="4"/>
  <c r="N71" i="4"/>
  <c r="M71" i="4"/>
  <c r="P70" i="4"/>
  <c r="O70" i="4"/>
  <c r="N70" i="4"/>
  <c r="M70" i="4"/>
  <c r="L72" i="4"/>
  <c r="L71" i="4"/>
  <c r="L70" i="4"/>
  <c r="L64" i="4"/>
  <c r="P69" i="4" l="1"/>
  <c r="O69" i="4"/>
  <c r="N69" i="4"/>
  <c r="M69" i="4"/>
  <c r="L69" i="4"/>
  <c r="P68" i="4"/>
  <c r="O68" i="4"/>
  <c r="N68" i="4"/>
  <c r="M68" i="4"/>
  <c r="L68" i="4"/>
  <c r="P67" i="4"/>
  <c r="O67" i="4"/>
  <c r="N67" i="4"/>
  <c r="M67" i="4"/>
  <c r="L67" i="4"/>
  <c r="P66" i="4"/>
  <c r="O66" i="4"/>
  <c r="N66" i="4"/>
  <c r="M66" i="4"/>
  <c r="L66" i="4"/>
  <c r="P63" i="4"/>
  <c r="O63" i="4"/>
  <c r="N63" i="4"/>
  <c r="M63" i="4"/>
  <c r="L63" i="4"/>
  <c r="P62" i="4"/>
  <c r="O62" i="4"/>
  <c r="N62" i="4"/>
  <c r="M62" i="4"/>
  <c r="L62" i="4"/>
  <c r="P61" i="4"/>
  <c r="O61" i="4"/>
  <c r="N61" i="4"/>
  <c r="M61" i="4"/>
  <c r="L61" i="4"/>
  <c r="P60" i="4"/>
  <c r="O60" i="4"/>
  <c r="N60" i="4"/>
  <c r="M60" i="4"/>
  <c r="L60" i="4"/>
  <c r="P53" i="4"/>
  <c r="O53" i="4"/>
  <c r="N53" i="4"/>
  <c r="M53" i="4"/>
  <c r="L53" i="4"/>
  <c r="P52" i="4"/>
  <c r="O52" i="4"/>
  <c r="N52" i="4"/>
  <c r="M52" i="4"/>
  <c r="L52" i="4"/>
  <c r="P47" i="4"/>
  <c r="O47" i="4"/>
  <c r="N47" i="4"/>
  <c r="M47" i="4"/>
  <c r="L47" i="4"/>
  <c r="P46" i="4"/>
  <c r="O46" i="4"/>
  <c r="N46" i="4"/>
  <c r="M46" i="4"/>
  <c r="L46" i="4"/>
  <c r="P41" i="4"/>
  <c r="O41" i="4"/>
  <c r="N41" i="4"/>
  <c r="M41" i="4"/>
  <c r="L41" i="4"/>
  <c r="P40" i="4"/>
  <c r="O40" i="4"/>
  <c r="N40" i="4"/>
  <c r="M40" i="4"/>
  <c r="L40" i="4"/>
  <c r="P27" i="4" l="1"/>
  <c r="O27" i="4"/>
  <c r="N27" i="4"/>
  <c r="M27" i="4"/>
  <c r="L27" i="4"/>
  <c r="P26" i="4"/>
  <c r="O26" i="4"/>
  <c r="N26" i="4"/>
  <c r="M26" i="4"/>
  <c r="L26" i="4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L166" i="5"/>
  <c r="L170" i="5" s="1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0" i="4" s="1"/>
  <c r="N123" i="5" s="1"/>
  <c r="N126" i="5" s="1"/>
  <c r="N14" i="5"/>
  <c r="N15" i="5"/>
  <c r="N162" i="5"/>
  <c r="N166" i="5" s="1"/>
  <c r="N170" i="5" s="1"/>
  <c r="N163" i="5"/>
  <c r="N167" i="5" s="1"/>
  <c r="N171" i="5" s="1"/>
  <c r="N51" i="7"/>
  <c r="N30" i="5" l="1"/>
  <c r="Q36" i="7"/>
  <c r="Q45" i="7"/>
  <c r="Q29" i="7"/>
  <c r="P41" i="7"/>
  <c r="P49" i="7" s="1"/>
  <c r="O19" i="5"/>
  <c r="O135" i="4"/>
  <c r="O140" i="4" s="1"/>
  <c r="O123" i="5" s="1"/>
  <c r="O126" i="5" s="1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31" i="5" l="1"/>
  <c r="N32" i="5"/>
  <c r="R36" i="7"/>
  <c r="R45" i="7"/>
  <c r="O30" i="5"/>
  <c r="P135" i="4"/>
  <c r="P140" i="4" s="1"/>
  <c r="P123" i="5" s="1"/>
  <c r="P126" i="5" s="1"/>
  <c r="P130" i="5" s="1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O32" i="5" l="1"/>
  <c r="S36" i="7"/>
  <c r="S45" i="7"/>
  <c r="P203" i="5"/>
  <c r="P19" i="8" s="1"/>
  <c r="F8" i="15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s="1"/>
  <c r="M106" i="5" l="1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41" i="8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P12" i="8" s="1"/>
  <c r="G5" i="15" s="1"/>
  <c r="U29" i="7"/>
  <c r="U41" i="7" s="1"/>
  <c r="U49" i="7" s="1"/>
  <c r="T41" i="7"/>
  <c r="T49" i="7" s="1"/>
  <c r="P113" i="5" l="1"/>
  <c r="P197" i="5" s="1"/>
  <c r="P11" i="8" s="1"/>
  <c r="T51" i="7"/>
  <c r="U51" i="7"/>
  <c r="G4" i="15" l="1"/>
  <c r="P14" i="8"/>
  <c r="G6" i="15" s="1"/>
</calcChain>
</file>

<file path=xl/sharedStrings.xml><?xml version="1.0" encoding="utf-8"?>
<sst xmlns="http://schemas.openxmlformats.org/spreadsheetml/2006/main" count="966" uniqueCount="470">
  <si>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</si>
  <si>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</si>
  <si>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</si>
  <si>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</si>
  <si>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</si>
  <si>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</si>
  <si>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</si>
  <si>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</si>
  <si>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</si>
  <si>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</si>
  <si>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</si>
  <si>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</si>
  <si>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</si>
  <si>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</si>
  <si>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</si>
  <si>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</si>
  <si>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</si>
  <si>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</si>
  <si>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</si>
  <si>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</si>
  <si>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</si>
  <si>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</si>
  <si>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</si>
  <si>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</si>
  <si>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</si>
  <si>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</si>
  <si>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</si>
  <si>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</si>
  <si>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</si>
  <si>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</si>
  <si>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</si>
  <si>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</si>
  <si>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</si>
  <si>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</si>
  <si>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</si>
  <si>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</si>
  <si>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</si>
  <si>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</si>
  <si>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</si>
  <si>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</si>
  <si>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</si>
  <si>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</si>
  <si>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</si>
  <si>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</si>
  <si>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</si>
  <si>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</si>
  <si>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</si>
  <si>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</si>
  <si>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</si>
  <si>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</si>
  <si>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</si>
  <si>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</si>
  <si>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</si>
  <si>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</si>
  <si>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</si>
  <si>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</si>
  <si>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</si>
  <si>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</si>
  <si>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</si>
  <si>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</si>
  <si>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</si>
  <si>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</si>
  <si>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</si>
  <si>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</si>
  <si>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</si>
  <si>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</si>
  <si>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</si>
  <si>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</si>
  <si>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</si>
  <si>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</si>
  <si>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</si>
  <si>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</si>
  <si>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</si>
  <si>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</si>
  <si>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</si>
  <si>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</si>
  <si>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</si>
  <si>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</si>
  <si>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</si>
  <si>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</si>
  <si>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</si>
  <si>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</si>
  <si>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</si>
  <si>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</si>
  <si>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</si>
  <si>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</si>
  <si>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</si>
  <si>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</si>
  <si>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</si>
  <si>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</si>
  <si>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</si>
  <si>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</si>
  <si>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</si>
  <si>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</si>
  <si>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</si>
  <si>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</si>
  <si>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</si>
  <si>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</si>
  <si>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</si>
  <si>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</si>
  <si>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</si>
  <si>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</si>
  <si>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</si>
  <si>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</si>
  <si>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</si>
  <si>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</si>
  <si>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</si>
  <si>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</si>
  <si>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</si>
  <si>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</si>
  <si>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</si>
  <si>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</si>
  <si>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</si>
  <si>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</si>
  <si>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</si>
  <si>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</si>
  <si>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</si>
  <si>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</si>
  <si>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</si>
  <si>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</si>
  <si>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</si>
  <si>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</si>
  <si>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</si>
  <si>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</si>
  <si>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</si>
  <si>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</si>
  <si>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</si>
  <si>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</si>
  <si>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</si>
  <si>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</si>
  <si>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</si>
  <si>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</si>
  <si>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</si>
  <si>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</si>
  <si>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</si>
  <si>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</si>
  <si>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</si>
  <si>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</si>
  <si>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</si>
  <si>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</si>
  <si>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</si>
  <si>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</si>
  <si>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</si>
  <si>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</si>
  <si>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</si>
  <si>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</si>
  <si>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</si>
  <si>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</si>
  <si>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</si>
  <si>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</si>
  <si>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</si>
  <si>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</si>
  <si>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</si>
  <si>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</si>
  <si>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</si>
  <si>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</si>
  <si>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</si>
  <si>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</si>
  <si>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</si>
  <si>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</si>
  <si>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</si>
  <si>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</si>
  <si>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</si>
  <si>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</si>
  <si>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</si>
  <si>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</si>
  <si>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</si>
  <si>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</si>
  <si>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</si>
  <si>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</si>
  <si>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</si>
  <si>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</si>
  <si>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</si>
  <si>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</si>
  <si>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</si>
  <si>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</si>
  <si>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</si>
  <si>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</si>
  <si>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</si>
  <si>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</si>
  <si>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</si>
  <si>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</si>
  <si>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</si>
  <si>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</si>
  <si>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</si>
  <si>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</si>
  <si>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</si>
  <si>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</si>
  <si>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</si>
  <si>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</si>
  <si>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</si>
  <si>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</si>
  <si>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</si>
  <si>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</si>
  <si>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</si>
  <si>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</si>
  <si>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</si>
  <si>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</si>
  <si>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</si>
  <si>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</si>
  <si>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</si>
  <si>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</si>
  <si>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</si>
  <si>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</si>
  <si>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</si>
  <si>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</si>
  <si>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</si>
  <si>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</si>
  <si>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</si>
  <si>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</si>
  <si>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</si>
  <si>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</si>
  <si>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</si>
  <si>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</si>
  <si>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</si>
  <si>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</si>
  <si>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</si>
  <si>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</si>
  <si>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</si>
  <si>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</si>
  <si>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</si>
  <si>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</si>
  <si>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</si>
  <si>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</si>
  <si>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</si>
  <si>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</si>
  <si>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</si>
  <si>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</si>
  <si>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</si>
  <si>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</si>
  <si>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</si>
  <si>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</si>
  <si>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</si>
  <si>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</si>
  <si>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</si>
  <si>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</si>
  <si>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</si>
  <si>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</si>
  <si>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</si>
  <si>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</si>
  <si>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</si>
  <si>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</si>
  <si>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</si>
  <si>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</si>
  <si>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</si>
  <si>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</si>
  <si>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</si>
  <si>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</si>
  <si>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</si>
  <si>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</si>
  <si>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</si>
  <si>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</si>
  <si>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</si>
  <si>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</si>
  <si>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</si>
  <si>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</si>
  <si>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</si>
  <si>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</si>
  <si>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</si>
  <si>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</si>
  <si>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</si>
  <si>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</si>
  <si>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</si>
  <si>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</si>
  <si>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</si>
  <si>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</si>
  <si>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</si>
  <si>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</si>
  <si>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</si>
  <si>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</si>
  <si>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</si>
  <si>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</si>
  <si>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</si>
  <si>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</si>
  <si>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</si>
  <si>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</si>
  <si>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</si>
  <si>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</si>
  <si>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</si>
  <si>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</si>
  <si>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</si>
  <si>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</si>
  <si>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</si>
  <si>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</si>
  <si>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</si>
  <si>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</si>
  <si>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</si>
  <si>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</si>
  <si>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</si>
  <si>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</si>
  <si>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</si>
  <si>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</si>
  <si>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</si>
  <si>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</si>
  <si>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</si>
  <si>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</si>
  <si>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</si>
  <si>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</si>
  <si>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</si>
  <si>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</si>
  <si>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</si>
  <si>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</si>
  <si>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</si>
  <si>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</si>
  <si>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</si>
  <si>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</si>
  <si>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</si>
  <si>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</si>
  <si>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</si>
  <si>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</si>
  <si>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</si>
  <si>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</si>
  <si>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</si>
  <si>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</si>
  <si>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</si>
  <si>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</si>
  <si>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</si>
  <si>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</si>
  <si>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</si>
  <si>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</si>
  <si>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</si>
  <si>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</si>
  <si>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</si>
  <si>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</si>
  <si>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</si>
  <si>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</si>
  <si>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</si>
  <si>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</si>
  <si>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</si>
  <si>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</si>
  <si>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</si>
  <si>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</si>
  <si>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</si>
  <si>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</si>
  <si>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</si>
  <si>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</si>
  <si>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</si>
  <si>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</si>
  <si>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</si>
  <si>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</si>
  <si>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</si>
  <si>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</si>
  <si>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</si>
  <si>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</si>
  <si>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</si>
  <si>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</si>
  <si>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</si>
  <si>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</si>
  <si>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</si>
  <si>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</si>
  <si>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</si>
  <si>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</si>
  <si>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</si>
  <si>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</si>
  <si>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</si>
  <si>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</si>
  <si>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</si>
  <si>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</si>
  <si>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</si>
  <si>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</si>
  <si>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</si>
  <si>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</si>
  <si>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</si>
  <si>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</si>
  <si>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</si>
  <si>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</si>
  <si>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</si>
  <si>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</si>
  <si>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</si>
  <si>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</si>
  <si>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</si>
  <si>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</si>
  <si>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</si>
  <si>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</si>
  <si>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</si>
  <si>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</si>
  <si>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</si>
  <si>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</si>
  <si>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</si>
  <si>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</si>
  <si>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</si>
  <si>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</si>
  <si>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</si>
  <si>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</si>
  <si>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</si>
  <si>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</si>
  <si>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</si>
  <si>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</si>
  <si>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</si>
  <si>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</si>
  <si>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</si>
  <si>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</si>
  <si>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</si>
  <si>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</si>
  <si>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</si>
  <si>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</si>
  <si>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</si>
  <si>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</si>
  <si>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</si>
  <si>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</si>
  <si>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</si>
  <si>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</si>
  <si>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</si>
  <si>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</si>
  <si>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</si>
  <si>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</si>
  <si>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</si>
  <si>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</si>
  <si>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</si>
  <si>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</si>
  <si>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</si>
  <si>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</si>
  <si>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</si>
  <si>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</si>
  <si>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</si>
  <si>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</si>
  <si>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</si>
  <si>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</si>
  <si>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</si>
  <si>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</si>
  <si>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</si>
  <si>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</si>
  <si>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</si>
  <si>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</si>
  <si>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</si>
  <si>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</si>
  <si>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</si>
  <si>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</si>
  <si>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</si>
  <si>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</si>
  <si>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</si>
  <si>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</si>
  <si>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</si>
  <si>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</si>
  <si>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</si>
  <si>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</si>
  <si>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</si>
  <si>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</si>
  <si>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</si>
  <si>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</si>
  <si>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</si>
  <si>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</si>
  <si>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</si>
  <si>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</si>
  <si>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</si>
  <si>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</si>
  <si>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</si>
  <si>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</si>
  <si>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</si>
  <si>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</si>
  <si>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</si>
  <si>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</si>
  <si>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</si>
  <si>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</si>
  <si>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</si>
  <si>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</si>
  <si>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</si>
  <si>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</si>
  <si>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</si>
  <si>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</si>
  <si>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</si>
  <si>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</si>
  <si>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</si>
  <si>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</si>
  <si>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</si>
  <si>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</si>
  <si>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</si>
  <si>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 Totex IN</t>
  </si>
  <si>
    <t>PR19_Totex_PD</t>
  </si>
  <si>
    <t>WSX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</si>
</sst>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</numFmts>
  <fonts count="7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2">
    <xf numFmtId="0" fontId="0" fillId="0" borderId="0"/>
    <xf numFmtId="0" fontId="3" fillId="0" borderId="0"/>
    <xf numFmtId="0" fontId="5" fillId="0" borderId="0" applyNumberFormat="0" applyFill="0" applyAlignment="0"/>
    <xf numFmtId="37" fontId="3" fillId="0" borderId="0" applyFill="0" applyBorder="0" applyProtection="0">
      <protection locked="0"/>
    </xf>
    <xf numFmtId="0" fontId="8" fillId="0" borderId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5" fillId="7" borderId="5" applyNumberFormat="0" applyFont="0" applyAlignment="0" applyProtection="0"/>
    <xf numFmtId="171" fontId="3" fillId="0" borderId="0">
      <alignment vertical="top"/>
    </xf>
    <xf numFmtId="9" fontId="3" fillId="0" borderId="0" applyFont="0" applyFill="0" applyBorder="0" applyAlignment="0" applyProtection="0"/>
    <xf numFmtId="0" fontId="3" fillId="0" borderId="0"/>
    <xf numFmtId="0" fontId="3" fillId="0" borderId="0">
      <alignment vertical="top"/>
    </xf>
    <xf numFmtId="166" fontId="33" fillId="0" borderId="3">
      <alignment horizontal="center"/>
    </xf>
    <xf numFmtId="0" fontId="34" fillId="0" borderId="9" applyNumberFormat="0" applyAlignment="0" applyProtection="0"/>
    <xf numFmtId="0" fontId="35" fillId="0" borderId="0" applyNumberFormat="0" applyAlignment="0" applyProtection="0"/>
    <xf numFmtId="0" fontId="36" fillId="0" borderId="10" applyNumberFormat="0" applyFill="0" applyAlignment="0">
      <alignment vertical="top"/>
    </xf>
    <xf numFmtId="0" fontId="37" fillId="0" borderId="11" applyNumberFormat="0" applyFill="0" applyAlignment="0"/>
    <xf numFmtId="0" fontId="15" fillId="14" borderId="5" applyNumberFormat="0" applyFont="0" applyAlignment="0" applyProtection="0"/>
    <xf numFmtId="0" fontId="15" fillId="15" borderId="12" applyNumberFormat="0" applyFont="0" applyAlignment="0" applyProtection="0"/>
    <xf numFmtId="0" fontId="38" fillId="0" borderId="0" applyNumberFormat="0" applyFill="0" applyBorder="0" applyAlignment="0" applyProtection="0"/>
    <xf numFmtId="0" fontId="8" fillId="16" borderId="5" applyNumberFormat="0" applyFont="0" applyAlignment="0" applyProtection="0"/>
    <xf numFmtId="0" fontId="8" fillId="17" borderId="12" applyNumberFormat="0" applyFont="0" applyAlignment="0" applyProtection="0"/>
    <xf numFmtId="0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37" fontId="7" fillId="18" borderId="13">
      <alignment horizontal="left"/>
    </xf>
    <xf numFmtId="37" fontId="27" fillId="18" borderId="14"/>
    <xf numFmtId="0" fontId="3" fillId="18" borderId="15" applyNumberFormat="0" applyBorder="0"/>
    <xf numFmtId="49" fontId="40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11" fillId="0" borderId="0" applyFill="0" applyBorder="0" applyAlignment="0" applyProtection="0"/>
    <xf numFmtId="49" fontId="11" fillId="0" borderId="0" applyNumberFormat="0" applyAlignment="0" applyProtection="0">
      <alignment horizontal="left"/>
    </xf>
    <xf numFmtId="49" fontId="41" fillId="0" borderId="16" applyNumberFormat="0" applyAlignment="0" applyProtection="0">
      <alignment horizontal="left" wrapText="1"/>
    </xf>
    <xf numFmtId="49" fontId="41" fillId="0" borderId="0" applyNumberFormat="0" applyAlignment="0" applyProtection="0">
      <alignment horizontal="left" wrapText="1"/>
    </xf>
    <xf numFmtId="49" fontId="42" fillId="0" borderId="0" applyAlignment="0" applyProtection="0">
      <alignment horizontal="lef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4" fillId="19" borderId="0" applyNumberFormat="0" applyAlignment="0" applyProtection="0"/>
    <xf numFmtId="0" fontId="45" fillId="0" borderId="3" applyNumberFormat="0" applyAlignment="0" applyProtection="0"/>
    <xf numFmtId="0" fontId="7" fillId="20" borderId="0"/>
    <xf numFmtId="0" fontId="3" fillId="11" borderId="3"/>
    <xf numFmtId="0" fontId="3" fillId="11" borderId="3"/>
    <xf numFmtId="0" fontId="7" fillId="11" borderId="0"/>
    <xf numFmtId="0" fontId="3" fillId="21" borderId="0"/>
    <xf numFmtId="0" fontId="3" fillId="21" borderId="0"/>
    <xf numFmtId="0" fontId="3" fillId="21" borderId="0"/>
    <xf numFmtId="0" fontId="46" fillId="18" borderId="17"/>
    <xf numFmtId="37" fontId="3" fillId="18" borderId="0">
      <alignment horizontal="right"/>
    </xf>
    <xf numFmtId="0" fontId="47" fillId="0" borderId="0" applyNumberFormat="0" applyFill="0" applyBorder="0" applyAlignment="0" applyProtection="0">
      <alignment vertical="top"/>
      <protection locked="0"/>
    </xf>
    <xf numFmtId="0" fontId="48" fillId="22" borderId="0" applyNumberFormat="0" applyFont="0" applyAlignment="0" applyProtection="0"/>
    <xf numFmtId="0" fontId="49" fillId="0" borderId="0"/>
    <xf numFmtId="0" fontId="50" fillId="23" borderId="0" applyNumberFormat="0" applyAlignment="0" applyProtection="0"/>
    <xf numFmtId="0" fontId="3" fillId="0" borderId="0"/>
    <xf numFmtId="0" fontId="3" fillId="0" borderId="0"/>
    <xf numFmtId="0" fontId="4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9" fillId="2" borderId="1" applyNumberFormat="0" applyFont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1" fillId="0" borderId="0">
      <alignment vertical="top"/>
    </xf>
    <xf numFmtId="0" fontId="44" fillId="24" borderId="3" applyNumberFormat="0" applyAlignment="0" applyProtection="0"/>
    <xf numFmtId="0" fontId="15" fillId="25" borderId="5" applyNumberFormat="0" applyFont="0" applyAlignment="0"/>
    <xf numFmtId="37" fontId="52" fillId="26" borderId="18"/>
    <xf numFmtId="0" fontId="53" fillId="0" borderId="19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4" fillId="24" borderId="3" applyNumberFormat="0" applyAlignment="0" applyProtection="0"/>
    <xf numFmtId="0" fontId="57" fillId="31" borderId="0" applyNumberFormat="0" applyBorder="0" applyAlignment="0" applyProtection="0"/>
    <xf numFmtId="0" fontId="57" fillId="14" borderId="0" applyNumberFormat="0" applyBorder="0" applyAlignment="0" applyProtection="0"/>
    <xf numFmtId="0" fontId="57" fillId="32" borderId="0" applyNumberFormat="0" applyBorder="0" applyAlignment="0" applyProtection="0"/>
    <xf numFmtId="0" fontId="57" fillId="31" borderId="0" applyNumberFormat="0" applyBorder="0" applyAlignment="0" applyProtection="0"/>
    <xf numFmtId="0" fontId="57" fillId="33" borderId="0" applyNumberFormat="0" applyBorder="0" applyAlignment="0" applyProtection="0"/>
    <xf numFmtId="0" fontId="57" fillId="14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7" borderId="0" applyNumberFormat="0" applyBorder="0" applyAlignment="0" applyProtection="0"/>
    <xf numFmtId="0" fontId="57" fillId="34" borderId="0" applyNumberFormat="0" applyBorder="0" applyAlignment="0" applyProtection="0"/>
    <xf numFmtId="0" fontId="57" fillId="36" borderId="0" applyNumberFormat="0" applyBorder="0" applyAlignment="0" applyProtection="0"/>
    <xf numFmtId="0" fontId="57" fillId="14" borderId="0" applyNumberFormat="0" applyBorder="0" applyAlignment="0" applyProtection="0"/>
    <xf numFmtId="0" fontId="58" fillId="37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37" borderId="0" applyNumberFormat="0" applyBorder="0" applyAlignment="0" applyProtection="0"/>
    <xf numFmtId="0" fontId="58" fillId="4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42" borderId="0" applyNumberFormat="0" applyBorder="0" applyAlignment="0" applyProtection="0"/>
    <xf numFmtId="0" fontId="3" fillId="18" borderId="15" applyNumberFormat="0" applyBorder="0"/>
    <xf numFmtId="0" fontId="3" fillId="18" borderId="15" applyNumberFormat="0" applyBorder="0"/>
    <xf numFmtId="0" fontId="60" fillId="31" borderId="21" applyNumberFormat="0" applyAlignment="0" applyProtection="0"/>
    <xf numFmtId="0" fontId="61" fillId="43" borderId="22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23">
      <alignment vertical="top"/>
    </xf>
    <xf numFmtId="0" fontId="64" fillId="44" borderId="0" applyNumberFormat="0" applyBorder="0" applyAlignment="0" applyProtection="0"/>
    <xf numFmtId="37" fontId="3" fillId="18" borderId="0">
      <alignment horizontal="right"/>
    </xf>
    <xf numFmtId="37" fontId="3" fillId="18" borderId="0">
      <alignment horizontal="right"/>
    </xf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14" borderId="21" applyNumberFormat="0" applyAlignment="0" applyProtection="0"/>
    <xf numFmtId="0" fontId="70" fillId="0" borderId="27" applyNumberFormat="0" applyFill="0" applyAlignment="0" applyProtection="0"/>
    <xf numFmtId="0" fontId="71" fillId="7" borderId="0" applyNumberFormat="0" applyBorder="0" applyAlignment="0" applyProtection="0"/>
    <xf numFmtId="0" fontId="72" fillId="31" borderId="2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75" fillId="0" borderId="0" applyNumberFormat="0" applyFill="0" applyBorder="0" applyAlignment="0" applyProtection="0"/>
    <xf numFmtId="0" fontId="62" fillId="0" borderId="0"/>
    <xf numFmtId="0" fontId="1" fillId="0" borderId="0"/>
  </cellStyleXfs>
  <cellXfs count="267"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5" fillId="0" borderId="0" xfId="2"/>
    <xf numFmtId="0" fontId="3" fillId="0" borderId="0" xfId="1"/>
    <xf numFmtId="1" fontId="3" fillId="0" borderId="0" xfId="1" applyNumberFormat="1" applyAlignment="1" applyProtection="1">
      <alignment vertical="center"/>
      <protection locked="0"/>
    </xf>
    <xf numFmtId="1" fontId="6" fillId="0" borderId="0" xfId="3" applyNumberFormat="1" applyFont="1" applyAlignment="1">
      <alignment horizontal="right"/>
      <protection locked="0"/>
    </xf>
    <xf numFmtId="1" fontId="7" fillId="0" borderId="0" xfId="3" applyNumberFormat="1" applyFont="1" applyAlignment="1">
      <alignment horizontal="right"/>
      <protection locked="0"/>
    </xf>
    <xf numFmtId="0" fontId="9" fillId="0" borderId="0" xfId="4" applyFont="1"/>
    <xf numFmtId="1" fontId="3" fillId="0" borderId="0" xfId="1" applyNumberFormat="1" applyAlignment="1" applyProtection="1">
      <alignment horizontal="right"/>
      <protection locked="0"/>
    </xf>
    <xf numFmtId="1" fontId="7" fillId="0" borderId="2" xfId="1" applyNumberFormat="1" applyFont="1" applyBorder="1" applyAlignment="1">
      <alignment horizontal="center"/>
    </xf>
    <xf numFmtId="1" fontId="10" fillId="4" borderId="2" xfId="4" applyNumberFormat="1" applyFont="1" applyFill="1" applyBorder="1" applyAlignment="1">
      <alignment horizontal="center"/>
    </xf>
    <xf numFmtId="165" fontId="11" fillId="0" borderId="0" xfId="5" applyNumberFormat="1" applyFont="1" applyAlignment="1" applyProtection="1">
      <alignment horizontal="right" vertical="center"/>
      <protection locked="0"/>
    </xf>
    <xf numFmtId="0" fontId="12" fillId="0" borderId="0" xfId="1" applyFont="1" applyProtection="1">
      <protection locked="0"/>
    </xf>
    <xf numFmtId="1" fontId="3" fillId="0" borderId="0" xfId="6" applyNumberFormat="1" applyAlignment="1" applyProtection="1">
      <alignment vertical="center"/>
      <protection locked="0"/>
    </xf>
    <xf numFmtId="1" fontId="7" fillId="0" borderId="0" xfId="6" applyNumberFormat="1" applyFont="1" applyAlignment="1" applyProtection="1">
      <alignment horizontal="left" vertical="center"/>
      <protection locked="0"/>
    </xf>
    <xf numFmtId="1" fontId="11" fillId="0" borderId="0" xfId="6" applyNumberFormat="1" applyFont="1" applyAlignment="1" applyProtection="1">
      <alignment vertical="center"/>
      <protection locked="0"/>
    </xf>
    <xf numFmtId="166" fontId="3" fillId="5" borderId="3" xfId="1" applyNumberFormat="1" applyFill="1" applyBorder="1" applyAlignment="1">
      <alignment horizontal="right" vertical="center"/>
    </xf>
    <xf numFmtId="1" fontId="3" fillId="0" borderId="0" xfId="6" applyNumberFormat="1" applyAlignment="1" applyProtection="1">
      <alignment vertical="center" shrinkToFit="1"/>
      <protection locked="0"/>
    </xf>
    <xf numFmtId="49" fontId="13" fillId="6" borderId="4" xfId="1" applyNumberFormat="1" applyFont="1" applyFill="1" applyBorder="1" applyAlignment="1">
      <alignment horizontal="right" vertical="center"/>
    </xf>
    <xf numFmtId="49" fontId="13" fillId="6" borderId="2" xfId="1" applyNumberFormat="1" applyFont="1" applyFill="1" applyBorder="1" applyAlignment="1">
      <alignment horizontal="right" vertical="center"/>
    </xf>
    <xf numFmtId="0" fontId="13" fillId="6" borderId="2" xfId="1" applyFont="1" applyFill="1" applyBorder="1" applyAlignment="1">
      <alignment horizontal="left" vertical="center"/>
    </xf>
    <xf numFmtId="0" fontId="14" fillId="6" borderId="2" xfId="1" applyFont="1" applyFill="1" applyBorder="1" applyAlignment="1">
      <alignment horizontal="left" vertical="center"/>
    </xf>
    <xf numFmtId="0" fontId="13" fillId="0" borderId="0" xfId="1" applyFont="1"/>
    <xf numFmtId="1" fontId="3" fillId="7" borderId="5" xfId="7" applyNumberFormat="1" applyFont="1" applyAlignment="1" applyProtection="1">
      <alignment horizontal="center" vertical="center"/>
      <protection locked="0"/>
    </xf>
    <xf numFmtId="0" fontId="9" fillId="0" borderId="5" xfId="1" applyFont="1" applyBorder="1"/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 shrinkToFit="1"/>
      <protection locked="0"/>
    </xf>
    <xf numFmtId="0" fontId="3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3" fillId="0" borderId="0" xfId="1" applyProtection="1">
      <protection locked="0"/>
    </xf>
    <xf numFmtId="0" fontId="12" fillId="0" borderId="0" xfId="1" applyFont="1" applyAlignment="1" applyProtection="1">
      <alignment shrinkToFit="1"/>
      <protection locked="0"/>
    </xf>
    <xf numFmtId="0" fontId="3" fillId="0" borderId="0" xfId="1" applyAlignment="1" applyProtection="1">
      <alignment horizontal="left" indent="1" shrinkToFit="1"/>
      <protection locked="0"/>
    </xf>
    <xf numFmtId="0" fontId="17" fillId="0" borderId="0" xfId="1" applyFont="1" applyAlignment="1" applyProtection="1">
      <alignment vertical="center"/>
      <protection locked="0"/>
    </xf>
    <xf numFmtId="167" fontId="3" fillId="0" borderId="0" xfId="1" applyNumberFormat="1" applyAlignment="1" applyProtection="1">
      <alignment horizontal="right"/>
      <protection locked="0"/>
    </xf>
    <xf numFmtId="165" fontId="3" fillId="8" borderId="5" xfId="7" applyNumberFormat="1" applyFont="1" applyFill="1" applyAlignment="1">
      <alignment horizontal="right"/>
    </xf>
    <xf numFmtId="0" fontId="18" fillId="0" borderId="0" xfId="1" applyFont="1" applyAlignment="1" applyProtection="1">
      <alignment vertical="center"/>
      <protection locked="0"/>
    </xf>
    <xf numFmtId="168" fontId="11" fillId="0" borderId="0" xfId="1" applyNumberFormat="1" applyFont="1" applyProtection="1">
      <protection locked="0"/>
    </xf>
    <xf numFmtId="0" fontId="3" fillId="0" borderId="0" xfId="1" applyAlignment="1" applyProtection="1">
      <alignment vertical="center" shrinkToFit="1"/>
      <protection locked="0"/>
    </xf>
    <xf numFmtId="0" fontId="3" fillId="0" borderId="0" xfId="1" applyAlignment="1" applyProtection="1">
      <alignment shrinkToFit="1"/>
      <protection locked="0"/>
    </xf>
    <xf numFmtId="167" fontId="3" fillId="0" borderId="0" xfId="1" applyNumberFormat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167" fontId="3" fillId="0" borderId="0" xfId="1" applyNumberFormat="1" applyProtection="1">
      <protection locked="0"/>
    </xf>
    <xf numFmtId="165" fontId="3" fillId="9" borderId="5" xfId="7" applyNumberFormat="1" applyFont="1" applyFill="1" applyAlignment="1">
      <alignment horizontal="right"/>
    </xf>
    <xf numFmtId="0" fontId="20" fillId="0" borderId="0" xfId="1" applyFont="1" applyAlignment="1" applyProtection="1">
      <alignment horizontal="center" vertical="center" shrinkToFit="1"/>
      <protection locked="0"/>
    </xf>
    <xf numFmtId="0" fontId="11" fillId="0" borderId="0" xfId="1" applyFont="1" applyProtection="1">
      <protection locked="0"/>
    </xf>
    <xf numFmtId="0" fontId="3" fillId="0" borderId="0" xfId="1" applyAlignment="1" applyProtection="1">
      <alignment horizontal="left" vertical="center" indent="1" shrinkToFit="1"/>
      <protection locked="0"/>
    </xf>
    <xf numFmtId="165" fontId="3" fillId="0" borderId="0" xfId="1" applyNumberFormat="1" applyAlignment="1" applyProtection="1">
      <alignment vertical="center"/>
      <protection locked="0"/>
    </xf>
    <xf numFmtId="169" fontId="3" fillId="0" borderId="0" xfId="1" applyNumberFormat="1" applyAlignment="1" applyProtection="1">
      <alignment vertical="center"/>
      <protection locked="0"/>
    </xf>
    <xf numFmtId="0" fontId="7" fillId="0" borderId="0" xfId="1" applyFont="1" applyAlignment="1" applyProtection="1">
      <alignment shrinkToFit="1"/>
      <protection locked="0"/>
    </xf>
    <xf numFmtId="165" fontId="3" fillId="0" borderId="0" xfId="5" applyNumberFormat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22" fillId="0" borderId="0" xfId="1" applyFont="1" applyAlignment="1" applyProtection="1">
      <alignment vertical="center"/>
      <protection locked="0"/>
    </xf>
    <xf numFmtId="166" fontId="3" fillId="0" borderId="5" xfId="6" applyNumberFormat="1" applyBorder="1" applyProtection="1">
      <protection locked="0"/>
    </xf>
    <xf numFmtId="171" fontId="7" fillId="0" borderId="0" xfId="8" applyFont="1" applyAlignment="1">
      <alignment horizontal="left" vertical="top"/>
    </xf>
    <xf numFmtId="171" fontId="3" fillId="0" borderId="0" xfId="8" applyAlignment="1">
      <alignment horizontal="left" vertical="top" wrapText="1" indent="1"/>
    </xf>
    <xf numFmtId="171" fontId="3" fillId="0" borderId="0" xfId="8" applyAlignment="1">
      <alignment horizontal="left" vertical="top" indent="1"/>
    </xf>
    <xf numFmtId="170" fontId="3" fillId="0" borderId="5" xfId="6" applyNumberFormat="1" applyBorder="1" applyProtection="1">
      <protection locked="0"/>
    </xf>
    <xf numFmtId="0" fontId="23" fillId="0" borderId="0" xfId="1" applyFont="1"/>
    <xf numFmtId="0" fontId="18" fillId="0" borderId="0" xfId="1" applyFont="1"/>
    <xf numFmtId="0" fontId="3" fillId="0" borderId="5" xfId="7" applyFont="1" applyFill="1" applyAlignment="1">
      <alignment horizontal="right"/>
    </xf>
    <xf numFmtId="0" fontId="18" fillId="0" borderId="0" xfId="1" applyFont="1" applyProtection="1">
      <protection locked="0"/>
    </xf>
    <xf numFmtId="172" fontId="3" fillId="0" borderId="5" xfId="7" applyNumberFormat="1" applyFont="1" applyFill="1" applyAlignment="1">
      <alignment horizontal="right" vertical="top"/>
    </xf>
    <xf numFmtId="174" fontId="3" fillId="0" borderId="5" xfId="7" applyNumberFormat="1" applyFont="1" applyFill="1" applyAlignment="1">
      <alignment horizontal="right"/>
    </xf>
    <xf numFmtId="0" fontId="16" fillId="0" borderId="0" xfId="1" applyFont="1" applyProtection="1">
      <protection locked="0"/>
    </xf>
    <xf numFmtId="0" fontId="7" fillId="10" borderId="6" xfId="1" applyFont="1" applyFill="1" applyBorder="1" applyProtection="1">
      <protection locked="0"/>
    </xf>
    <xf numFmtId="0" fontId="7" fillId="10" borderId="7" xfId="1" applyFont="1" applyFill="1" applyBorder="1" applyProtection="1">
      <protection locked="0"/>
    </xf>
    <xf numFmtId="0" fontId="7" fillId="10" borderId="7" xfId="1" applyFont="1" applyFill="1" applyBorder="1" applyAlignment="1" applyProtection="1">
      <alignment shrinkToFit="1"/>
      <protection locked="0"/>
    </xf>
    <xf numFmtId="0" fontId="19" fillId="10" borderId="7" xfId="1" applyFont="1" applyFill="1" applyBorder="1" applyProtection="1">
      <protection locked="0"/>
    </xf>
    <xf numFmtId="0" fontId="3" fillId="0" borderId="0" xfId="5" applyAlignment="1">
      <alignment vertical="center"/>
    </xf>
    <xf numFmtId="10" fontId="7" fillId="0" borderId="0" xfId="1" applyNumberFormat="1" applyFont="1" applyAlignment="1">
      <alignment horizontal="left" vertical="center"/>
    </xf>
    <xf numFmtId="1" fontId="3" fillId="0" borderId="0" xfId="1" applyNumberFormat="1" applyAlignment="1">
      <alignment vertical="center"/>
    </xf>
    <xf numFmtId="0" fontId="3" fillId="0" borderId="0" xfId="1" applyAlignment="1">
      <alignment vertical="center"/>
    </xf>
    <xf numFmtId="10" fontId="7" fillId="0" borderId="0" xfId="1" applyNumberFormat="1" applyFont="1" applyAlignment="1">
      <alignment vertical="center"/>
    </xf>
    <xf numFmtId="0" fontId="11" fillId="0" borderId="0" xfId="1" applyFont="1"/>
    <xf numFmtId="0" fontId="12" fillId="0" borderId="0" xfId="1" applyFont="1"/>
    <xf numFmtId="0" fontId="28" fillId="0" borderId="0" xfId="1" applyFont="1"/>
    <xf numFmtId="0" fontId="12" fillId="0" borderId="0" xfId="1" applyFont="1" applyAlignment="1">
      <alignment shrinkToFit="1"/>
    </xf>
    <xf numFmtId="0" fontId="7" fillId="0" borderId="0" xfId="1" applyFont="1" applyAlignment="1">
      <alignment shrinkToFit="1"/>
    </xf>
    <xf numFmtId="167" fontId="12" fillId="0" borderId="0" xfId="1" applyNumberFormat="1" applyFont="1"/>
    <xf numFmtId="0" fontId="7" fillId="0" borderId="0" xfId="1" applyFont="1" applyAlignment="1" applyProtection="1">
      <alignment horizontal="left" indent="1" shrinkToFit="1"/>
      <protection locked="0"/>
    </xf>
    <xf numFmtId="165" fontId="7" fillId="0" borderId="8" xfId="5" applyNumberFormat="1" applyFont="1" applyBorder="1" applyAlignment="1">
      <alignment horizontal="right"/>
    </xf>
    <xf numFmtId="0" fontId="3" fillId="0" borderId="0" xfId="1" applyAlignment="1" applyProtection="1">
      <alignment horizontal="left" indent="2" shrinkToFit="1"/>
      <protection locked="0"/>
    </xf>
    <xf numFmtId="168" fontId="3" fillId="0" borderId="0" xfId="1" applyNumberFormat="1"/>
    <xf numFmtId="9" fontId="3" fillId="0" borderId="0" xfId="6" applyAlignment="1" applyProtection="1">
      <alignment horizontal="right"/>
      <protection locked="0"/>
    </xf>
    <xf numFmtId="168" fontId="3" fillId="0" borderId="0" xfId="6" applyNumberFormat="1"/>
    <xf numFmtId="9" fontId="3" fillId="0" borderId="0" xfId="6"/>
    <xf numFmtId="175" fontId="3" fillId="0" borderId="5" xfId="7" applyNumberFormat="1" applyFont="1" applyFill="1" applyAlignment="1" applyProtection="1">
      <alignment shrinkToFit="1"/>
      <protection locked="0"/>
    </xf>
    <xf numFmtId="165" fontId="3" fillId="0" borderId="5" xfId="7" applyNumberFormat="1" applyFont="1" applyFill="1" applyAlignment="1">
      <alignment horizontal="right"/>
    </xf>
    <xf numFmtId="168" fontId="18" fillId="0" borderId="0" xfId="1" applyNumberFormat="1" applyFont="1"/>
    <xf numFmtId="0" fontId="7" fillId="0" borderId="0" xfId="1" applyFont="1"/>
    <xf numFmtId="0" fontId="3" fillId="0" borderId="0" xfId="1" applyAlignment="1">
      <alignment shrinkToFit="1"/>
    </xf>
    <xf numFmtId="0" fontId="29" fillId="10" borderId="6" xfId="1" applyFont="1" applyFill="1" applyBorder="1"/>
    <xf numFmtId="0" fontId="29" fillId="10" borderId="7" xfId="1" applyFont="1" applyFill="1" applyBorder="1"/>
    <xf numFmtId="0" fontId="30" fillId="3" borderId="2" xfId="4" applyFont="1" applyFill="1" applyBorder="1" applyAlignment="1">
      <alignment horizontal="left" vertical="center"/>
    </xf>
    <xf numFmtId="1" fontId="27" fillId="0" borderId="2" xfId="4" applyNumberFormat="1" applyFont="1" applyBorder="1" applyAlignment="1">
      <alignment horizontal="center"/>
    </xf>
    <xf numFmtId="0" fontId="18" fillId="0" borderId="0" xfId="4" applyFont="1"/>
    <xf numFmtId="176" fontId="9" fillId="0" borderId="0" xfId="4" applyNumberFormat="1" applyFont="1" applyAlignment="1">
      <alignment horizontal="center"/>
    </xf>
    <xf numFmtId="0" fontId="7" fillId="0" borderId="0" xfId="4" applyFont="1" applyAlignment="1">
      <alignment vertical="center"/>
    </xf>
    <xf numFmtId="166" fontId="3" fillId="5" borderId="3" xfId="4" applyNumberFormat="1" applyFont="1" applyFill="1" applyBorder="1" applyAlignment="1">
      <alignment horizontal="right" vertical="center"/>
    </xf>
    <xf numFmtId="49" fontId="13" fillId="6" borderId="4" xfId="4" applyNumberFormat="1" applyFont="1" applyFill="1" applyBorder="1" applyAlignment="1">
      <alignment horizontal="right" vertical="center"/>
    </xf>
    <xf numFmtId="49" fontId="13" fillId="6" borderId="2" xfId="4" applyNumberFormat="1" applyFont="1" applyFill="1" applyBorder="1" applyAlignment="1">
      <alignment horizontal="right" vertical="center"/>
    </xf>
    <xf numFmtId="0" fontId="13" fillId="6" borderId="2" xfId="4" applyFont="1" applyFill="1" applyBorder="1" applyAlignment="1">
      <alignment horizontal="left" vertical="center"/>
    </xf>
    <xf numFmtId="0" fontId="14" fillId="6" borderId="2" xfId="4" applyFont="1" applyFill="1" applyBorder="1" applyAlignment="1">
      <alignment horizontal="left" vertical="center"/>
    </xf>
    <xf numFmtId="0" fontId="29" fillId="10" borderId="6" xfId="4" applyFont="1" applyFill="1" applyBorder="1"/>
    <xf numFmtId="0" fontId="29" fillId="10" borderId="7" xfId="4" applyFont="1" applyFill="1" applyBorder="1"/>
    <xf numFmtId="0" fontId="24" fillId="3" borderId="2" xfId="1" applyFont="1" applyFill="1" applyBorder="1" applyAlignment="1">
      <alignment vertical="center"/>
    </xf>
    <xf numFmtId="49" fontId="31" fillId="3" borderId="2" xfId="1" applyNumberFormat="1" applyFont="1" applyFill="1" applyBorder="1"/>
    <xf numFmtId="0" fontId="24" fillId="3" borderId="2" xfId="1" applyFont="1" applyFill="1" applyBorder="1" applyAlignment="1">
      <alignment horizontal="right" vertical="center"/>
    </xf>
    <xf numFmtId="0" fontId="24" fillId="3" borderId="0" xfId="1" applyFont="1" applyFill="1" applyAlignment="1">
      <alignment horizontal="right" vertical="center"/>
    </xf>
    <xf numFmtId="0" fontId="11" fillId="3" borderId="0" xfId="1" applyFont="1" applyFill="1" applyAlignment="1">
      <alignment vertical="center"/>
    </xf>
    <xf numFmtId="1" fontId="32" fillId="3" borderId="2" xfId="1" applyNumberFormat="1" applyFont="1" applyFill="1" applyBorder="1" applyAlignment="1">
      <alignment horizontal="left" vertical="center"/>
    </xf>
    <xf numFmtId="0" fontId="3" fillId="0" borderId="0" xfId="1" applyAlignment="1">
      <alignment vertical="center" shrinkToFit="1"/>
    </xf>
    <xf numFmtId="0" fontId="3" fillId="0" borderId="0" xfId="1" applyAlignment="1">
      <alignment horizontal="center" vertical="center" shrinkToFit="1"/>
    </xf>
    <xf numFmtId="0" fontId="3" fillId="0" borderId="0" xfId="1" applyAlignment="1">
      <alignment horizontal="left" vertical="center"/>
    </xf>
    <xf numFmtId="1" fontId="3" fillId="0" borderId="0" xfId="9" applyNumberFormat="1" applyAlignment="1">
      <alignment vertical="center"/>
    </xf>
    <xf numFmtId="1" fontId="3" fillId="0" borderId="0" xfId="9" applyNumberFormat="1" applyAlignment="1">
      <alignment horizontal="left" vertical="center"/>
    </xf>
    <xf numFmtId="1" fontId="14" fillId="0" borderId="0" xfId="1" applyNumberFormat="1" applyFont="1" applyAlignment="1">
      <alignment horizontal="left" vertical="center"/>
    </xf>
    <xf numFmtId="1" fontId="16" fillId="0" borderId="0" xfId="1" applyNumberFormat="1" applyFont="1" applyAlignment="1" applyProtection="1">
      <alignment horizontal="left" vertical="center"/>
      <protection hidden="1"/>
    </xf>
    <xf numFmtId="1" fontId="7" fillId="0" borderId="0" xfId="1" applyNumberFormat="1" applyFont="1" applyAlignment="1" applyProtection="1">
      <alignment horizontal="right" vertical="center"/>
      <protection hidden="1"/>
    </xf>
    <xf numFmtId="0" fontId="7" fillId="0" borderId="0" xfId="1" applyFont="1" applyAlignment="1">
      <alignment horizontal="left" vertical="center"/>
    </xf>
    <xf numFmtId="1" fontId="16" fillId="0" borderId="0" xfId="1" applyNumberFormat="1" applyFont="1" applyAlignment="1" applyProtection="1">
      <alignment horizontal="right" vertical="center"/>
      <protection hidden="1"/>
    </xf>
    <xf numFmtId="1" fontId="3" fillId="0" borderId="0" xfId="1" applyNumberFormat="1" applyAlignment="1" applyProtection="1">
      <alignment horizontal="right" vertical="center"/>
      <protection hidden="1"/>
    </xf>
    <xf numFmtId="176" fontId="29" fillId="0" borderId="0" xfId="4" applyNumberFormat="1" applyFont="1" applyAlignment="1">
      <alignment horizontal="center"/>
    </xf>
    <xf numFmtId="1" fontId="16" fillId="0" borderId="0" xfId="9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3" fillId="0" borderId="0" xfId="1" applyAlignment="1">
      <alignment horizontal="right" vertical="center"/>
    </xf>
    <xf numFmtId="0" fontId="3" fillId="0" borderId="0" xfId="1" applyAlignment="1">
      <alignment horizontal="left" vertical="center" indent="1"/>
    </xf>
    <xf numFmtId="177" fontId="3" fillId="8" borderId="3" xfId="1" applyNumberFormat="1" applyFill="1" applyBorder="1" applyAlignment="1">
      <alignment horizontal="right" vertical="center"/>
    </xf>
    <xf numFmtId="177" fontId="3" fillId="0" borderId="8" xfId="1" applyNumberFormat="1" applyBorder="1" applyAlignment="1">
      <alignment horizontal="right" vertical="center"/>
    </xf>
    <xf numFmtId="10" fontId="3" fillId="0" borderId="0" xfId="9" applyNumberFormat="1" applyAlignment="1">
      <alignment vertical="center"/>
    </xf>
    <xf numFmtId="10" fontId="3" fillId="0" borderId="0" xfId="9" applyNumberFormat="1" applyAlignment="1">
      <alignment horizontal="left" vertical="center"/>
    </xf>
    <xf numFmtId="10" fontId="16" fillId="0" borderId="0" xfId="9" applyNumberFormat="1" applyFont="1" applyAlignment="1">
      <alignment vertical="center"/>
    </xf>
    <xf numFmtId="177" fontId="3" fillId="0" borderId="0" xfId="1" applyNumberFormat="1" applyAlignment="1">
      <alignment horizontal="right"/>
    </xf>
    <xf numFmtId="0" fontId="16" fillId="0" borderId="0" xfId="1" applyFont="1"/>
    <xf numFmtId="177" fontId="3" fillId="12" borderId="3" xfId="1" applyNumberFormat="1" applyFill="1" applyBorder="1" applyAlignment="1">
      <alignment horizontal="right"/>
    </xf>
    <xf numFmtId="0" fontId="3" fillId="0" borderId="0" xfId="4" applyFont="1" applyAlignment="1">
      <alignment horizontal="left" vertical="center" indent="1"/>
    </xf>
    <xf numFmtId="178" fontId="3" fillId="8" borderId="3" xfId="1" applyNumberFormat="1" applyFill="1" applyBorder="1" applyAlignment="1" applyProtection="1">
      <alignment horizontal="right" vertical="center"/>
      <protection locked="0"/>
    </xf>
    <xf numFmtId="178" fontId="3" fillId="0" borderId="0" xfId="1" applyNumberFormat="1" applyAlignment="1">
      <alignment horizontal="left" vertical="center"/>
    </xf>
    <xf numFmtId="178" fontId="3" fillId="0" borderId="0" xfId="1" applyNumberFormat="1" applyAlignment="1">
      <alignment horizontal="right" vertical="center"/>
    </xf>
    <xf numFmtId="1" fontId="7" fillId="0" borderId="0" xfId="9" applyNumberFormat="1" applyFont="1" applyAlignment="1">
      <alignment vertical="center"/>
    </xf>
    <xf numFmtId="10" fontId="3" fillId="0" borderId="0" xfId="1" applyNumberFormat="1" applyAlignment="1">
      <alignment shrinkToFit="1"/>
    </xf>
    <xf numFmtId="10" fontId="3" fillId="0" borderId="0" xfId="1" applyNumberFormat="1" applyAlignment="1">
      <alignment horizontal="left" vertical="center"/>
    </xf>
    <xf numFmtId="0" fontId="7" fillId="13" borderId="7" xfId="1" applyFont="1" applyFill="1" applyBorder="1"/>
    <xf numFmtId="0" fontId="16" fillId="13" borderId="7" xfId="1" applyFont="1" applyFill="1" applyBorder="1"/>
    <xf numFmtId="0" fontId="3" fillId="0" borderId="0" xfId="1" applyAlignment="1">
      <alignment horizontal="left" vertical="center" shrinkToFit="1"/>
    </xf>
    <xf numFmtId="178" fontId="3" fillId="8" borderId="3" xfId="9" applyNumberFormat="1" applyFill="1" applyBorder="1"/>
    <xf numFmtId="178" fontId="3" fillId="0" borderId="0" xfId="9" applyNumberFormat="1"/>
    <xf numFmtId="178" fontId="3" fillId="0" borderId="0" xfId="9" applyNumberFormat="1" applyAlignment="1">
      <alignment horizontal="center"/>
    </xf>
    <xf numFmtId="0" fontId="3" fillId="13" borderId="7" xfId="1" applyFill="1" applyBorder="1"/>
    <xf numFmtId="1" fontId="18" fillId="0" borderId="0" xfId="6" applyNumberFormat="1" applyFont="1" applyAlignment="1" applyProtection="1">
      <alignment vertical="center"/>
      <protection locked="0"/>
    </xf>
    <xf numFmtId="0" fontId="29" fillId="0" borderId="0" xfId="0" applyFont="1"/>
    <xf numFmtId="0" fontId="3" fillId="0" borderId="0" xfId="0" applyFont="1" applyAlignment="1">
      <alignment horizontal="left" vertical="center" indent="1"/>
    </xf>
    <xf numFmtId="165" fontId="3" fillId="0" borderId="0" xfId="7" applyNumberFormat="1" applyFont="1" applyFill="1" applyBorder="1" applyAlignment="1">
      <alignment horizontal="right"/>
    </xf>
    <xf numFmtId="165" fontId="7" fillId="0" borderId="0" xfId="7" applyNumberFormat="1" applyFont="1" applyFill="1" applyBorder="1" applyAlignment="1">
      <alignment horizontal="right"/>
    </xf>
    <xf numFmtId="1" fontId="3" fillId="0" borderId="0" xfId="6" applyNumberFormat="1" applyAlignment="1">
      <alignment horizontal="left" vertical="center" indent="1"/>
    </xf>
    <xf numFmtId="165" fontId="7" fillId="0" borderId="0" xfId="1" applyNumberFormat="1" applyFont="1" applyAlignment="1" applyProtection="1">
      <alignment vertical="center"/>
      <protection locked="0"/>
    </xf>
    <xf numFmtId="0" fontId="7" fillId="0" borderId="0" xfId="1" applyFont="1" applyAlignment="1">
      <alignment horizontal="left" indent="1" shrinkToFit="1"/>
    </xf>
    <xf numFmtId="175" fontId="3" fillId="8" borderId="5" xfId="7" applyNumberFormat="1" applyFont="1" applyFill="1" applyAlignment="1" applyProtection="1">
      <alignment vertical="center"/>
      <protection locked="0"/>
    </xf>
    <xf numFmtId="0" fontId="54" fillId="0" borderId="0" xfId="1" applyFont="1" applyAlignment="1" applyProtection="1">
      <alignment vertical="center"/>
      <protection locked="0"/>
    </xf>
    <xf numFmtId="0" fontId="55" fillId="6" borderId="2" xfId="1" applyFont="1" applyFill="1" applyBorder="1" applyAlignment="1">
      <alignment horizontal="left" vertical="center"/>
    </xf>
    <xf numFmtId="0" fontId="54" fillId="0" borderId="0" xfId="1" applyFont="1"/>
    <xf numFmtId="2" fontId="3" fillId="0" borderId="5" xfId="7" applyNumberFormat="1" applyFont="1" applyFill="1" applyAlignment="1" applyProtection="1">
      <alignment shrinkToFit="1"/>
      <protection locked="0"/>
    </xf>
    <xf numFmtId="164" fontId="3" fillId="0" borderId="5" xfId="71" applyFont="1" applyBorder="1" applyAlignment="1" applyProtection="1">
      <alignment shrinkToFit="1"/>
      <protection locked="0"/>
    </xf>
    <xf numFmtId="9" fontId="3" fillId="0" borderId="5" xfId="72" applyFont="1" applyBorder="1" applyAlignment="1">
      <alignment horizontal="right"/>
    </xf>
    <xf numFmtId="0" fontId="3" fillId="27" borderId="5" xfId="7" applyFont="1" applyFill="1" applyProtection="1">
      <protection locked="0"/>
    </xf>
    <xf numFmtId="173" fontId="3" fillId="7" borderId="20" xfId="6" applyNumberFormat="1" applyFill="1" applyBorder="1" applyProtection="1">
      <protection locked="0"/>
    </xf>
    <xf numFmtId="49" fontId="13" fillId="0" borderId="4" xfId="1" applyNumberFormat="1" applyFont="1" applyBorder="1" applyAlignment="1">
      <alignment horizontal="right" vertical="center"/>
    </xf>
    <xf numFmtId="49" fontId="13" fillId="0" borderId="2" xfId="1" applyNumberFormat="1" applyFont="1" applyBorder="1" applyAlignment="1">
      <alignment horizontal="right" vertical="center"/>
    </xf>
    <xf numFmtId="0" fontId="13" fillId="0" borderId="2" xfId="1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55" fillId="0" borderId="2" xfId="1" applyFont="1" applyBorder="1" applyAlignment="1">
      <alignment horizontal="left" vertical="center"/>
    </xf>
    <xf numFmtId="49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55" fillId="0" borderId="0" xfId="1" applyFont="1" applyAlignment="1">
      <alignment horizontal="left" vertical="center"/>
    </xf>
    <xf numFmtId="179" fontId="3" fillId="28" borderId="5" xfId="7" applyNumberFormat="1" applyFont="1" applyFill="1" applyProtection="1">
      <protection locked="0"/>
    </xf>
    <xf numFmtId="0" fontId="54" fillId="0" borderId="0" xfId="1" applyFont="1" applyProtection="1">
      <protection locked="0"/>
    </xf>
    <xf numFmtId="167" fontId="54" fillId="0" borderId="0" xfId="1" applyNumberFormat="1" applyFont="1" applyAlignment="1" applyProtection="1">
      <alignment vertical="center"/>
      <protection locked="0"/>
    </xf>
    <xf numFmtId="180" fontId="9" fillId="8" borderId="5" xfId="7" applyNumberFormat="1" applyFont="1" applyFill="1" applyProtection="1">
      <protection locked="0"/>
    </xf>
    <xf numFmtId="170" fontId="3" fillId="0" borderId="5" xfId="7" applyNumberFormat="1" applyFont="1" applyFill="1" applyAlignment="1" applyProtection="1">
      <alignment shrinkToFit="1"/>
      <protection locked="0"/>
    </xf>
    <xf numFmtId="0" fontId="4" fillId="3" borderId="2" xfId="1" applyFont="1" applyFill="1" applyBorder="1" applyAlignment="1">
      <alignment vertical="center"/>
    </xf>
    <xf numFmtId="0" fontId="13" fillId="6" borderId="2" xfId="1" applyFont="1" applyFill="1" applyBorder="1" applyAlignment="1">
      <alignment vertical="center"/>
    </xf>
    <xf numFmtId="171" fontId="3" fillId="0" borderId="0" xfId="8" applyAlignment="1">
      <alignment vertical="center"/>
    </xf>
    <xf numFmtId="0" fontId="3" fillId="0" borderId="0" xfId="0" applyFont="1" applyAlignment="1">
      <alignment shrinkToFit="1"/>
    </xf>
    <xf numFmtId="178" fontId="3" fillId="0" borderId="0" xfId="73" applyNumberForma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1" applyAlignment="1" applyProtection="1">
      <alignment wrapText="1" shrinkToFit="1"/>
      <protection locked="0"/>
    </xf>
    <xf numFmtId="180" fontId="9" fillId="0" borderId="5" xfId="7" applyNumberFormat="1" applyFont="1" applyFill="1" applyProtection="1">
      <protection locked="0"/>
    </xf>
    <xf numFmtId="0" fontId="3" fillId="11" borderId="0" xfId="1" applyFill="1" applyProtection="1">
      <protection locked="0"/>
    </xf>
    <xf numFmtId="0" fontId="11" fillId="11" borderId="0" xfId="1" applyFont="1" applyFill="1" applyProtection="1">
      <protection locked="0"/>
    </xf>
    <xf numFmtId="0" fontId="12" fillId="11" borderId="0" xfId="1" applyFont="1" applyFill="1" applyProtection="1">
      <protection locked="0"/>
    </xf>
    <xf numFmtId="0" fontId="12" fillId="11" borderId="0" xfId="1" applyFont="1" applyFill="1"/>
    <xf numFmtId="0" fontId="3" fillId="11" borderId="0" xfId="1" applyFill="1"/>
    <xf numFmtId="173" fontId="3" fillId="0" borderId="5" xfId="6" applyNumberFormat="1" applyBorder="1" applyProtection="1">
      <protection locked="0"/>
    </xf>
    <xf numFmtId="49" fontId="13" fillId="29" borderId="4" xfId="1" applyNumberFormat="1" applyFont="1" applyFill="1" applyBorder="1" applyAlignment="1">
      <alignment horizontal="right" vertical="center"/>
    </xf>
    <xf numFmtId="49" fontId="13" fillId="29" borderId="2" xfId="1" applyNumberFormat="1" applyFont="1" applyFill="1" applyBorder="1" applyAlignment="1">
      <alignment horizontal="right" vertical="center"/>
    </xf>
    <xf numFmtId="0" fontId="13" fillId="29" borderId="2" xfId="1" applyFont="1" applyFill="1" applyBorder="1" applyAlignment="1">
      <alignment horizontal="left" vertical="center"/>
    </xf>
    <xf numFmtId="0" fontId="13" fillId="29" borderId="0" xfId="1" applyFont="1" applyFill="1"/>
    <xf numFmtId="167" fontId="3" fillId="0" borderId="0" xfId="6" applyNumberFormat="1"/>
    <xf numFmtId="10" fontId="3" fillId="0" borderId="5" xfId="72" applyNumberFormat="1" applyFont="1" applyBorder="1" applyAlignment="1">
      <alignment horizontal="right"/>
    </xf>
    <xf numFmtId="10" fontId="3" fillId="0" borderId="5" xfId="72" applyNumberFormat="1" applyFont="1" applyBorder="1" applyAlignment="1" applyProtection="1">
      <alignment shrinkToFit="1"/>
      <protection locked="0"/>
    </xf>
    <xf numFmtId="0" fontId="3" fillId="11" borderId="0" xfId="1" applyFill="1" applyAlignment="1" applyProtection="1">
      <alignment shrinkToFit="1"/>
      <protection locked="0"/>
    </xf>
    <xf numFmtId="0" fontId="14" fillId="29" borderId="2" xfId="1" applyFont="1" applyFill="1" applyBorder="1" applyAlignment="1">
      <alignment horizontal="left" vertical="center"/>
    </xf>
    <xf numFmtId="172" fontId="3" fillId="0" borderId="5" xfId="7" applyNumberFormat="1" applyFont="1" applyFill="1" applyAlignment="1" applyProtection="1">
      <alignment shrinkToFit="1"/>
      <protection locked="0"/>
    </xf>
    <xf numFmtId="164" fontId="7" fillId="0" borderId="0" xfId="1" applyNumberFormat="1" applyFont="1" applyAlignment="1" applyProtection="1">
      <alignment vertical="center"/>
      <protection locked="0"/>
    </xf>
    <xf numFmtId="0" fontId="12" fillId="30" borderId="0" xfId="1" applyFont="1" applyFill="1"/>
    <xf numFmtId="0" fontId="12" fillId="30" borderId="0" xfId="1" applyFont="1" applyFill="1" applyProtection="1">
      <protection locked="0"/>
    </xf>
    <xf numFmtId="0" fontId="3" fillId="30" borderId="0" xfId="1" applyFill="1" applyProtection="1">
      <protection locked="0"/>
    </xf>
    <xf numFmtId="165" fontId="3" fillId="0" borderId="0" xfId="71" applyNumberFormat="1" applyFont="1" applyAlignment="1" applyProtection="1">
      <alignment horizontal="right" vertical="center"/>
      <protection locked="0"/>
    </xf>
    <xf numFmtId="165" fontId="3" fillId="0" borderId="0" xfId="7" applyNumberFormat="1" applyFont="1" applyFill="1" applyBorder="1" applyAlignment="1">
      <alignment horizontal="left"/>
    </xf>
    <xf numFmtId="173" fontId="56" fillId="0" borderId="0" xfId="0" applyNumberFormat="1" applyFont="1"/>
    <xf numFmtId="0" fontId="7" fillId="11" borderId="0" xfId="1" applyFont="1" applyFill="1" applyAlignment="1" applyProtection="1">
      <alignment shrinkToFit="1"/>
      <protection locked="0"/>
    </xf>
    <xf numFmtId="0" fontId="54" fillId="11" borderId="0" xfId="1" applyFont="1" applyFill="1"/>
    <xf numFmtId="0" fontId="12" fillId="11" borderId="0" xfId="1" applyFont="1" applyFill="1" applyAlignment="1">
      <alignment shrinkToFit="1"/>
    </xf>
    <xf numFmtId="0" fontId="28" fillId="11" borderId="0" xfId="1" applyFont="1" applyFill="1"/>
    <xf numFmtId="0" fontId="3" fillId="11" borderId="0" xfId="1" applyFill="1" applyAlignment="1" applyProtection="1">
      <alignment horizontal="left" indent="1" shrinkToFit="1"/>
      <protection locked="0"/>
    </xf>
    <xf numFmtId="0" fontId="17" fillId="11" borderId="0" xfId="1" applyFont="1" applyFill="1" applyAlignment="1" applyProtection="1">
      <alignment vertical="center"/>
      <protection locked="0"/>
    </xf>
    <xf numFmtId="165" fontId="3" fillId="11" borderId="0" xfId="7" applyNumberFormat="1" applyFont="1" applyFill="1" applyBorder="1" applyAlignment="1">
      <alignment horizontal="right"/>
    </xf>
    <xf numFmtId="0" fontId="3" fillId="11" borderId="0" xfId="0" applyFont="1" applyFill="1" applyAlignment="1">
      <alignment shrinkToFit="1"/>
    </xf>
    <xf numFmtId="165" fontId="3" fillId="11" borderId="5" xfId="7" applyNumberFormat="1" applyFont="1" applyFill="1" applyAlignment="1">
      <alignment horizontal="right"/>
    </xf>
    <xf numFmtId="165" fontId="3" fillId="11" borderId="0" xfId="5" applyNumberFormat="1" applyFill="1" applyAlignment="1">
      <alignment horizontal="right"/>
    </xf>
    <xf numFmtId="167" fontId="12" fillId="11" borderId="0" xfId="1" applyNumberFormat="1" applyFont="1" applyFill="1"/>
    <xf numFmtId="165" fontId="3" fillId="0" borderId="0" xfId="7" quotePrefix="1" applyNumberFormat="1" applyFont="1" applyFill="1" applyBorder="1" applyAlignment="1">
      <alignment horizontal="right"/>
    </xf>
    <xf numFmtId="165" fontId="3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3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3" fillId="45" borderId="5" xfId="7" applyNumberFormat="1" applyFont="1" applyFill="1" applyAlignment="1">
      <alignment horizontal="right"/>
    </xf>
    <xf numFmtId="49" fontId="24" fillId="46" borderId="0" xfId="5" applyNumberFormat="1" applyFont="1" applyFill="1" applyAlignment="1">
      <alignment horizontal="right" vertical="center"/>
    </xf>
    <xf numFmtId="0" fontId="3" fillId="46" borderId="0" xfId="5" applyFill="1" applyAlignment="1">
      <alignment horizontal="left" vertical="center"/>
    </xf>
    <xf numFmtId="0" fontId="25" fillId="46" borderId="0" xfId="5" applyFont="1" applyFill="1" applyAlignment="1">
      <alignment horizontal="left" vertical="center"/>
    </xf>
    <xf numFmtId="49" fontId="24" fillId="46" borderId="0" xfId="5" applyNumberFormat="1" applyFont="1" applyFill="1" applyAlignment="1">
      <alignment shrinkToFit="1"/>
    </xf>
    <xf numFmtId="0" fontId="3" fillId="46" borderId="0" xfId="5" applyFill="1" applyAlignment="1">
      <alignment horizontal="left" vertical="center" shrinkToFit="1"/>
    </xf>
    <xf numFmtId="165" fontId="7" fillId="46" borderId="0" xfId="5" applyNumberFormat="1" applyFont="1" applyFill="1" applyAlignment="1">
      <alignment horizontal="right" vertical="center"/>
    </xf>
    <xf numFmtId="165" fontId="3" fillId="46" borderId="0" xfId="5" applyNumberFormat="1" applyFill="1" applyAlignment="1">
      <alignment horizontal="right" vertical="center"/>
    </xf>
    <xf numFmtId="0" fontId="3" fillId="46" borderId="0" xfId="1" applyFill="1"/>
    <xf numFmtId="0" fontId="11" fillId="46" borderId="0" xfId="5" applyFont="1" applyFill="1" applyAlignment="1">
      <alignment vertical="center"/>
    </xf>
    <xf numFmtId="49" fontId="26" fillId="46" borderId="0" xfId="5" applyNumberFormat="1" applyFont="1" applyFill="1" applyAlignment="1">
      <alignment horizontal="right" vertical="center"/>
    </xf>
    <xf numFmtId="1" fontId="27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horizontal="right" vertical="center"/>
    </xf>
    <xf numFmtId="1" fontId="24" fillId="46" borderId="0" xfId="5" applyNumberFormat="1" applyFont="1" applyFill="1" applyAlignment="1">
      <alignment shrinkToFit="1"/>
    </xf>
    <xf numFmtId="0" fontId="9" fillId="46" borderId="0" xfId="4" applyFont="1" applyFill="1"/>
    <xf numFmtId="1" fontId="3" fillId="46" borderId="0" xfId="1" applyNumberFormat="1" applyFill="1" applyAlignment="1" applyProtection="1">
      <alignment horizontal="right"/>
      <protection locked="0"/>
    </xf>
    <xf numFmtId="1" fontId="7" fillId="46" borderId="2" xfId="1" applyNumberFormat="1" applyFont="1" applyFill="1" applyBorder="1" applyAlignment="1">
      <alignment horizontal="center"/>
    </xf>
    <xf numFmtId="1" fontId="10" fillId="46" borderId="2" xfId="4" applyNumberFormat="1" applyFont="1" applyFill="1" applyBorder="1" applyAlignment="1">
      <alignment horizontal="center"/>
    </xf>
    <xf numFmtId="0" fontId="3" fillId="46" borderId="0" xfId="5" applyFill="1" applyAlignment="1">
      <alignment vertical="center"/>
    </xf>
    <xf numFmtId="49" fontId="24" fillId="46" borderId="0" xfId="1" applyNumberFormat="1" applyFont="1" applyFill="1" applyAlignment="1">
      <alignment horizontal="right" vertical="center"/>
    </xf>
    <xf numFmtId="1" fontId="3" fillId="46" borderId="0" xfId="1" applyNumberFormat="1" applyFill="1" applyAlignment="1">
      <alignment vertical="center"/>
    </xf>
    <xf numFmtId="1" fontId="21" fillId="46" borderId="0" xfId="1" applyNumberFormat="1" applyFont="1" applyFill="1" applyAlignment="1">
      <alignment horizontal="left" vertical="center"/>
    </xf>
    <xf numFmtId="1" fontId="24" fillId="46" borderId="0" xfId="1" applyNumberFormat="1" applyFont="1" applyFill="1" applyAlignment="1">
      <alignment shrinkToFit="1"/>
    </xf>
    <xf numFmtId="1" fontId="3" fillId="46" borderId="0" xfId="1" applyNumberFormat="1" applyFill="1" applyAlignment="1">
      <alignment horizontal="right" vertical="center"/>
    </xf>
    <xf numFmtId="0" fontId="11" fillId="46" borderId="0" xfId="1" applyFont="1" applyFill="1" applyAlignment="1">
      <alignment vertical="center"/>
    </xf>
    <xf numFmtId="49" fontId="24" fillId="46" borderId="0" xfId="1" applyNumberFormat="1" applyFont="1" applyFill="1" applyAlignment="1">
      <alignment vertical="center"/>
    </xf>
    <xf numFmtId="1" fontId="21" fillId="46" borderId="0" xfId="1" applyNumberFormat="1" applyFont="1" applyFill="1" applyAlignment="1">
      <alignment vertical="center"/>
    </xf>
    <xf numFmtId="1" fontId="3" fillId="46" borderId="0" xfId="6" applyNumberFormat="1" applyFill="1" applyAlignment="1" applyProtection="1">
      <alignment vertical="center"/>
      <protection locked="0"/>
    </xf>
    <xf numFmtId="166" fontId="3" fillId="46" borderId="3" xfId="1" applyNumberFormat="1" applyFill="1" applyBorder="1" applyAlignment="1">
      <alignment horizontal="right" vertical="center"/>
    </xf>
    <xf numFmtId="0" fontId="29" fillId="46" borderId="0" xfId="0" applyFont="1" applyFill="1"/>
    <xf numFmtId="0" fontId="11" fillId="46" borderId="0" xfId="1" applyFont="1" applyFill="1"/>
    <xf numFmtId="168" fontId="3" fillId="46" borderId="0" xfId="1" applyNumberFormat="1" applyFill="1"/>
    <xf numFmtId="0" fontId="62" fillId="0" borderId="0" xfId="130" applyAlignment="1">
      <alignment vertical="top"/>
    </xf>
    <xf numFmtId="0" fontId="62" fillId="47" borderId="0" xfId="130" applyFill="1" applyAlignment="1">
      <alignment vertical="top"/>
    </xf>
    <xf numFmtId="0" fontId="77" fillId="0" borderId="0" xfId="0" applyFont="1"/>
    <xf numFmtId="181" fontId="76" fillId="0" borderId="0" xfId="130" applyNumberFormat="1" applyFont="1" applyAlignment="1">
      <alignment vertical="top"/>
    </xf>
    <xf numFmtId="181" fontId="62" fillId="0" borderId="0" xfId="130" applyNumberFormat="1" applyAlignment="1">
      <alignment vertical="top"/>
    </xf>
  </cellXfs>
  <cellStyles count="132">
    <cellStyle name="%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2 2" xfId="76"/>
    <cellStyle name="20% - Accent3 2" xfId="77"/>
    <cellStyle name="20% - Accent4 2" xfId="78"/>
    <cellStyle name="20% - Accent5 2" xfId="79"/>
    <cellStyle name="20% - Accent6 2" xfId="80"/>
    <cellStyle name="40% - Accent1 2" xfId="81"/>
    <cellStyle name="40% - Accent2 2" xfId="82"/>
    <cellStyle name="40% - Accent3 2" xfId="83"/>
    <cellStyle name="40% - Accent4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Att1" xfId="5"/>
    <cellStyle name="Att1 2" xfId="99"/>
    <cellStyle name="Att1 3" xfId="100"/>
    <cellStyle name="Bad 2" xfId="101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heck Cell 2" xfId="105"/>
    <cellStyle name="Comma" xfId="71" builtinId="3"/>
    <cellStyle name="Comma 2" xfId="34"/>
    <cellStyle name="Comma 3" xfId="35"/>
    <cellStyle name="Comma 3 2" xfId="36"/>
    <cellStyle name="Comma 3 2 2" xfId="106"/>
    <cellStyle name="Comma 3 3" xfId="107"/>
    <cellStyle name="Comma 4" xfId="108"/>
    <cellStyle name="Comma 5" xfId="37"/>
    <cellStyle name="Comma 6" xfId="109"/>
    <cellStyle name="Comma 7" xfId="110"/>
    <cellStyle name="Error" xfId="38"/>
    <cellStyle name="Explanatory Text 2" xfId="111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4" xfId="46"/>
    <cellStyle name="Good 2" xfId="113"/>
    <cellStyle name="Header" xfId="47"/>
    <cellStyle name="Header3rdlevel" xfId="48"/>
    <cellStyle name="Header3rdlevel 2" xfId="114"/>
    <cellStyle name="Header3rdlevel 3" xfId="115"/>
    <cellStyle name="Heading 1 2" xfId="116"/>
    <cellStyle name="Heading 2 2" xfId="117"/>
    <cellStyle name="Heading 3 2" xfId="118"/>
    <cellStyle name="Heading 4 2" xfId="119"/>
    <cellStyle name="Hyperlink 2" xfId="49"/>
    <cellStyle name="Hyperlink 3" xfId="120"/>
    <cellStyle name="In Development" xfId="50"/>
    <cellStyle name="Input 2" xfId="121"/>
    <cellStyle name="Linked Cell 2" xfId="122"/>
    <cellStyle name="Neutral 2" xfId="123"/>
    <cellStyle name="NJS" xfId="51"/>
    <cellStyle name="No Error" xfId="52"/>
    <cellStyle name="Normal" xfId="0" builtinId="0"/>
    <cellStyle name="Normal 10" xfId="131"/>
    <cellStyle name="Normal 2" xfId="53"/>
    <cellStyle name="Normal 2 2" xfId="54"/>
    <cellStyle name="Normal 2 3" xfId="55"/>
    <cellStyle name="Normal 2 4" xfId="130"/>
    <cellStyle name="Normal 3" xfId="56"/>
    <cellStyle name="Normal 3 2" xfId="57"/>
    <cellStyle name="Normal 4" xfId="58"/>
    <cellStyle name="Normal 4 2" xfId="1"/>
    <cellStyle name="Normal 4 2 2" xfId="73"/>
    <cellStyle name="Normal 5" xfId="59"/>
    <cellStyle name="Normal 5 2" xfId="60"/>
    <cellStyle name="Normal 6" xfId="61"/>
    <cellStyle name="Normal 7" xfId="62"/>
    <cellStyle name="Normal 8" xfId="8"/>
    <cellStyle name="Normal 9" xfId="4"/>
    <cellStyle name="Normal_Data_2" xfId="3"/>
    <cellStyle name="Note 2" xfId="63"/>
    <cellStyle name="Output 2" xfId="124"/>
    <cellStyle name="Percent" xfId="72" builtinId="5"/>
    <cellStyle name="Percent 2" xfId="6"/>
    <cellStyle name="Percent 2 2" xfId="9"/>
    <cellStyle name="Percent 3" xfId="64"/>
    <cellStyle name="Percent 4" xfId="125"/>
    <cellStyle name="Percent 4 2" xfId="65"/>
    <cellStyle name="Percent 5" xfId="126"/>
    <cellStyle name="Style 1" xfId="66"/>
    <cellStyle name="Title 2" xfId="127"/>
    <cellStyle name="Total 2" xfId="128"/>
    <cellStyle name="True" xfId="67"/>
    <cellStyle name="True 2" xfId="74"/>
    <cellStyle name="Unique Formula" xfId="68"/>
    <cellStyle name="Warning Text 2" xfId="129"/>
    <cellStyle name="white_text_on_blue" xfId="69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>
      <pane ySplit="2" topLeftCell="A3" activePane="bottomLeft" state="frozen"/>
      <selection pane="bottomLeft" activeCell="A3" sqref="A3"/>
    </sheetView>
  </sheetViews>
  <sheetFormatPr defaultRowHeight="14.5"/>
  <cols>
    <col min="1" max="1" width="4.36328125" customWidth="1"/>
    <col min="2" max="2" width="5.6328125" customWidth="1"/>
    <col min="3" max="3" width="12" customWidth="1"/>
    <col min="4" max="4" width="2.6328125" customWidth="1"/>
    <col min="5" max="5" width="15.26953125" customWidth="1"/>
    <col min="6" max="16" width="7.36328125" customWidth="1"/>
  </cols>
  <sheetData>
    <row r="1" spans="1:16">
      <c r="C1" t="s">
        <v>467</v>
      </c>
    </row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">
        <v>469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>
        <v>2</v>
      </c>
    </row>
    <row r="5" spans="1:16">
      <c r="A5" t="s">
        <v>469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26">
        <v>1.49476138358718</v>
      </c>
      <c r="K5" s="226">
        <v>1.49476138358718</v>
      </c>
      <c r="L5" s="226">
        <v>1.49476138358718</v>
      </c>
      <c r="M5" s="226">
        <v>1.49476138358718</v>
      </c>
      <c r="N5" s="226">
        <v>1.49476138358718</v>
      </c>
      <c r="O5" s="226"/>
      <c r="P5" s="226"/>
    </row>
    <row r="6" spans="1:16">
      <c r="A6" t="s">
        <v>469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26">
        <v>2.7444169937101299</v>
      </c>
      <c r="K6" s="226">
        <v>2.7444169937101299</v>
      </c>
      <c r="L6" s="226">
        <v>2.7444169937101299</v>
      </c>
      <c r="M6" s="226">
        <v>2.7444169937101299</v>
      </c>
      <c r="N6" s="226">
        <v>2.7444169937101299</v>
      </c>
      <c r="O6" s="226"/>
      <c r="P6" s="226"/>
    </row>
    <row r="7" spans="1:16">
      <c r="A7" t="s">
        <v>469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>
        <v>103.78553971412001</v>
      </c>
    </row>
    <row r="8" spans="1:16">
      <c r="A8" t="s">
        <v>469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>
        <v>102.934313184003</v>
      </c>
    </row>
    <row r="9" spans="1:16">
      <c r="A9" t="s">
        <v>469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>
        <v>103.8</v>
      </c>
    </row>
    <row r="10" spans="1:16">
      <c r="A10" t="s">
        <v>469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v>102.9</v>
      </c>
    </row>
    <row r="11" spans="1:16">
      <c r="A11" t="s">
        <v>469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">
        <v>469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26">
        <v>147.53962738978299</v>
      </c>
      <c r="K12" s="226">
        <v>154.60334400658601</v>
      </c>
      <c r="L12" s="226">
        <v>143.22180393601499</v>
      </c>
      <c r="M12" s="226">
        <v>124.861050309657</v>
      </c>
      <c r="N12" s="226">
        <v>110.750510667791</v>
      </c>
      <c r="O12" s="226"/>
      <c r="P12" s="226"/>
    </row>
    <row r="13" spans="1:16">
      <c r="A13" t="s">
        <v>469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26">
        <v>190.39644550214001</v>
      </c>
      <c r="K13" s="226">
        <v>202.38331443614899</v>
      </c>
      <c r="L13" s="226">
        <v>233.871501095475</v>
      </c>
      <c r="M13" s="226">
        <v>233.09746139649201</v>
      </c>
      <c r="N13" s="226">
        <v>233.36226316168899</v>
      </c>
      <c r="O13" s="226"/>
      <c r="P13" s="226"/>
    </row>
    <row r="14" spans="1:16">
      <c r="A14" t="s">
        <v>469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26">
        <v>145.31767599140699</v>
      </c>
      <c r="K14" s="226">
        <v>152.40515072783401</v>
      </c>
      <c r="L14" s="226">
        <v>141.13031401265101</v>
      </c>
      <c r="M14" s="226">
        <v>122.941694737818</v>
      </c>
      <c r="N14" s="226">
        <v>108.963443162136</v>
      </c>
      <c r="O14" s="226"/>
      <c r="P14" s="226"/>
    </row>
    <row r="15" spans="1:16">
      <c r="A15" t="s">
        <v>469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26">
        <v>188.577931215826</v>
      </c>
      <c r="K15" s="226">
        <v>200.63534954590699</v>
      </c>
      <c r="L15" s="226">
        <v>231.89422785836001</v>
      </c>
      <c r="M15" s="226">
        <v>231.125824996001</v>
      </c>
      <c r="N15" s="226">
        <v>231.38869837911301</v>
      </c>
      <c r="O15" s="226"/>
      <c r="P15" s="226"/>
    </row>
    <row r="16" spans="1:16">
      <c r="A16" t="s">
        <v>469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26">
        <v>155.71833708058301</v>
      </c>
      <c r="K16" s="226">
        <v>154.02345678699001</v>
      </c>
      <c r="L16" s="226">
        <v>135.182029580918</v>
      </c>
      <c r="M16" s="226">
        <v>138.334</v>
      </c>
      <c r="N16" s="226">
        <v>151.60499999999999</v>
      </c>
      <c r="O16" s="226"/>
      <c r="P16" s="226"/>
    </row>
    <row r="17" spans="1:16">
      <c r="A17" t="s">
        <v>469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26">
        <v>169.81714208888499</v>
      </c>
      <c r="K17" s="226">
        <v>187.54995504712701</v>
      </c>
      <c r="L17" s="226">
        <v>224.09695986593101</v>
      </c>
      <c r="M17" s="226">
        <v>238.73</v>
      </c>
      <c r="N17" s="226">
        <v>233.184</v>
      </c>
      <c r="O17" s="226"/>
      <c r="P17" s="226"/>
    </row>
    <row r="18" spans="1:16">
      <c r="A18" t="s">
        <v>469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26">
        <v>1.6559999999999999</v>
      </c>
      <c r="K18" s="226">
        <v>0.71799999999999997</v>
      </c>
      <c r="L18" s="226">
        <v>0.94608919999999996</v>
      </c>
      <c r="M18" s="226">
        <v>0.95555009199999996</v>
      </c>
      <c r="N18" s="226">
        <v>0.96510559292000098</v>
      </c>
      <c r="O18" s="226"/>
      <c r="P18" s="226"/>
    </row>
    <row r="19" spans="1:16">
      <c r="A19" t="s">
        <v>469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26">
        <v>0</v>
      </c>
      <c r="K19" s="226">
        <v>0</v>
      </c>
      <c r="L19" s="226">
        <v>0</v>
      </c>
      <c r="M19" s="226">
        <v>0</v>
      </c>
      <c r="N19" s="226">
        <v>0</v>
      </c>
      <c r="O19" s="226"/>
      <c r="P19" s="226"/>
    </row>
    <row r="20" spans="1:16">
      <c r="A20" t="s">
        <v>469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26">
        <v>2.8</v>
      </c>
      <c r="K20" s="226">
        <v>2.819</v>
      </c>
      <c r="L20" s="226">
        <v>4.1347423971377504</v>
      </c>
      <c r="M20" s="226">
        <v>4.2779999999999996</v>
      </c>
      <c r="N20" s="226">
        <v>4.4240000000000004</v>
      </c>
      <c r="O20" s="226"/>
      <c r="P20" s="226"/>
    </row>
    <row r="21" spans="1:16">
      <c r="A21" t="s">
        <v>469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/>
      <c r="P21" s="226"/>
    </row>
    <row r="22" spans="1:16">
      <c r="A22" t="s">
        <v>469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26">
        <v>0.23699999999999999</v>
      </c>
      <c r="K22" s="226">
        <v>0.13600000000000001</v>
      </c>
      <c r="L22" s="226">
        <v>0.48064448999999998</v>
      </c>
      <c r="M22" s="226">
        <v>0.48545093490000002</v>
      </c>
      <c r="N22" s="226">
        <v>0.49030544424900002</v>
      </c>
      <c r="O22" s="226"/>
      <c r="P22" s="226"/>
    </row>
    <row r="23" spans="1:16">
      <c r="A23" t="s">
        <v>469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26">
        <v>0</v>
      </c>
      <c r="K23" s="226">
        <v>0</v>
      </c>
      <c r="L23" s="226">
        <v>0</v>
      </c>
      <c r="M23" s="226">
        <v>0</v>
      </c>
      <c r="N23" s="226">
        <v>0</v>
      </c>
      <c r="O23" s="226"/>
      <c r="P23" s="226"/>
    </row>
    <row r="24" spans="1:16">
      <c r="A24" t="s">
        <v>469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26">
        <v>4.8</v>
      </c>
      <c r="K24" s="226">
        <v>4.4390000000000001</v>
      </c>
      <c r="L24" s="226">
        <v>6.3706529516994603</v>
      </c>
      <c r="M24" s="226">
        <v>6.5910000000000002</v>
      </c>
      <c r="N24" s="226">
        <v>6.8170000000000002</v>
      </c>
      <c r="O24" s="226"/>
      <c r="P24" s="226"/>
    </row>
    <row r="25" spans="1:16">
      <c r="A25" t="s">
        <v>469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/>
      <c r="P25" s="226"/>
    </row>
    <row r="26" spans="1:16">
      <c r="A26" t="s">
        <v>469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26">
        <v>0.51100000000000001</v>
      </c>
      <c r="J26" s="226"/>
      <c r="K26" s="226"/>
      <c r="L26" s="226"/>
      <c r="M26" s="226"/>
      <c r="N26" s="226"/>
      <c r="O26" s="226"/>
      <c r="P26" s="226"/>
    </row>
    <row r="27" spans="1:16">
      <c r="A27" t="s">
        <v>469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26">
        <v>4.4779999999999998</v>
      </c>
      <c r="J27" s="226"/>
      <c r="K27" s="226"/>
      <c r="L27" s="226"/>
      <c r="M27" s="226"/>
      <c r="N27" s="226"/>
      <c r="O27" s="226"/>
      <c r="P27" s="226"/>
    </row>
    <row r="28" spans="1:16">
      <c r="A28" t="s">
        <v>469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27">
        <v>0.46283999999999997</v>
      </c>
      <c r="K28" s="227">
        <v>0.52561000000000002</v>
      </c>
      <c r="L28" s="227">
        <v>0.55395000000000005</v>
      </c>
      <c r="M28" s="227">
        <v>0.61992000000000003</v>
      </c>
      <c r="N28" s="227">
        <v>0.68755999999999995</v>
      </c>
      <c r="O28" s="227"/>
      <c r="P28" s="227"/>
    </row>
    <row r="29" spans="1:16">
      <c r="A29" t="s">
        <v>469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27">
        <v>0.55034000000000005</v>
      </c>
      <c r="K29" s="227">
        <v>0.57713999999999999</v>
      </c>
      <c r="L29" s="227">
        <v>0.51519999999999999</v>
      </c>
      <c r="M29" s="227">
        <v>0.51432999999999995</v>
      </c>
      <c r="N29" s="227">
        <v>0.50578999999999996</v>
      </c>
      <c r="O29" s="227"/>
      <c r="P29" s="227"/>
    </row>
    <row r="30" spans="1:16">
      <c r="A30" t="s">
        <v>469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26">
        <v>0</v>
      </c>
      <c r="K30" s="226">
        <v>0</v>
      </c>
      <c r="L30" s="226">
        <v>-11.7512628748376</v>
      </c>
      <c r="M30" s="226">
        <v>0</v>
      </c>
      <c r="N30" s="226">
        <v>0</v>
      </c>
      <c r="O30" s="226"/>
      <c r="P30" s="226"/>
    </row>
    <row r="31" spans="1:16">
      <c r="A31" t="s">
        <v>469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26">
        <v>0</v>
      </c>
      <c r="K31" s="226">
        <v>0</v>
      </c>
      <c r="L31" s="226">
        <v>-21.148737125162398</v>
      </c>
      <c r="M31" s="226">
        <v>0</v>
      </c>
      <c r="N31" s="226">
        <v>0</v>
      </c>
      <c r="O31" s="226"/>
      <c r="P31" s="226"/>
    </row>
    <row r="32" spans="1:16">
      <c r="A32" t="s">
        <v>469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/>
      <c r="P32" s="226"/>
    </row>
    <row r="33" spans="1:16">
      <c r="A33" t="s">
        <v>469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/>
      <c r="P33" s="226"/>
    </row>
    <row r="34" spans="1:16">
      <c r="A34" t="s">
        <v>469</v>
      </c>
      <c r="B34" t="s">
        <v>442</v>
      </c>
      <c r="C34" t="s">
        <v>454</v>
      </c>
      <c r="D34" t="s">
        <v>419</v>
      </c>
      <c r="E34" t="s">
        <v>404</v>
      </c>
      <c r="F34" s="229">
        <v>234.4</v>
      </c>
      <c r="G34" s="229">
        <v>242.5</v>
      </c>
      <c r="H34" s="229">
        <v>249.5</v>
      </c>
      <c r="I34" s="229">
        <v>255.7</v>
      </c>
      <c r="J34" s="229">
        <v>258</v>
      </c>
      <c r="K34" s="229">
        <v>261.39999999999998</v>
      </c>
      <c r="L34" s="229">
        <v>270.60000000000002</v>
      </c>
      <c r="M34" s="229">
        <v>279.7</v>
      </c>
      <c r="N34" s="229">
        <v>288.09100000000001</v>
      </c>
      <c r="O34" s="229">
        <v>296.73372999999998</v>
      </c>
      <c r="P34" s="229"/>
    </row>
    <row r="35" spans="1:16">
      <c r="A35" t="s">
        <v>469</v>
      </c>
      <c r="B35" t="s">
        <v>443</v>
      </c>
      <c r="C35" t="s">
        <v>455</v>
      </c>
      <c r="D35" t="s">
        <v>419</v>
      </c>
      <c r="E35" t="s">
        <v>404</v>
      </c>
      <c r="F35" s="229">
        <v>235.2</v>
      </c>
      <c r="G35" s="229">
        <v>242.4</v>
      </c>
      <c r="H35" s="229">
        <v>250</v>
      </c>
      <c r="I35" s="229">
        <v>255.9</v>
      </c>
      <c r="J35" s="229">
        <v>258.5</v>
      </c>
      <c r="K35" s="229">
        <v>262.10000000000002</v>
      </c>
      <c r="L35" s="229">
        <v>271.7</v>
      </c>
      <c r="M35" s="229">
        <v>280.7</v>
      </c>
      <c r="N35" s="229">
        <v>289.12099999999998</v>
      </c>
      <c r="O35" s="229">
        <v>297.79462999999998</v>
      </c>
      <c r="P35" s="229"/>
    </row>
    <row r="36" spans="1:16">
      <c r="A36" t="s">
        <v>469</v>
      </c>
      <c r="B36" t="s">
        <v>444</v>
      </c>
      <c r="C36" t="s">
        <v>456</v>
      </c>
      <c r="D36" t="s">
        <v>419</v>
      </c>
      <c r="E36" t="s">
        <v>404</v>
      </c>
      <c r="F36" s="229">
        <v>235.2</v>
      </c>
      <c r="G36" s="229">
        <v>241.8</v>
      </c>
      <c r="H36" s="229">
        <v>249.7</v>
      </c>
      <c r="I36" s="229">
        <v>256.3</v>
      </c>
      <c r="J36" s="229">
        <v>258.89999999999998</v>
      </c>
      <c r="K36" s="229">
        <v>263.10000000000002</v>
      </c>
      <c r="L36" s="229">
        <v>272.3</v>
      </c>
      <c r="M36" s="229">
        <v>281.5</v>
      </c>
      <c r="N36" s="229">
        <v>289.94499999999999</v>
      </c>
      <c r="O36" s="229">
        <v>298.64335</v>
      </c>
      <c r="P36" s="229"/>
    </row>
    <row r="37" spans="1:16">
      <c r="A37" t="s">
        <v>469</v>
      </c>
      <c r="B37" t="s">
        <v>445</v>
      </c>
      <c r="C37" t="s">
        <v>457</v>
      </c>
      <c r="D37" t="s">
        <v>419</v>
      </c>
      <c r="E37" t="s">
        <v>404</v>
      </c>
      <c r="F37" s="229">
        <v>234.7</v>
      </c>
      <c r="G37" s="229">
        <v>242.1</v>
      </c>
      <c r="H37" s="229">
        <v>249.7</v>
      </c>
      <c r="I37" s="229">
        <v>256</v>
      </c>
      <c r="J37" s="229">
        <v>258.60000000000002</v>
      </c>
      <c r="K37" s="229">
        <v>263.39999999999998</v>
      </c>
      <c r="L37" s="229">
        <v>272.89999999999998</v>
      </c>
      <c r="M37" s="229">
        <v>281.08699999999999</v>
      </c>
      <c r="N37" s="229">
        <v>289.51961</v>
      </c>
      <c r="O37" s="229">
        <v>298.20519830000001</v>
      </c>
      <c r="P37" s="229"/>
    </row>
    <row r="38" spans="1:16">
      <c r="A38" t="s">
        <v>469</v>
      </c>
      <c r="B38" t="s">
        <v>446</v>
      </c>
      <c r="C38" t="s">
        <v>439</v>
      </c>
      <c r="D38" t="s">
        <v>419</v>
      </c>
      <c r="E38" t="s">
        <v>404</v>
      </c>
      <c r="F38" s="229">
        <v>236.1</v>
      </c>
      <c r="G38" s="229">
        <v>243</v>
      </c>
      <c r="H38" s="229">
        <v>251</v>
      </c>
      <c r="I38" s="229">
        <v>257</v>
      </c>
      <c r="J38" s="229">
        <v>259.8</v>
      </c>
      <c r="K38" s="229">
        <v>264.39999999999998</v>
      </c>
      <c r="L38" s="229">
        <v>274.7</v>
      </c>
      <c r="M38" s="229">
        <v>282.94099999999997</v>
      </c>
      <c r="N38" s="229">
        <v>291.42923000000002</v>
      </c>
      <c r="O38" s="229">
        <v>300.17210690000002</v>
      </c>
      <c r="P38" s="229"/>
    </row>
    <row r="39" spans="1:16">
      <c r="A39" t="s">
        <v>469</v>
      </c>
      <c r="B39" t="s">
        <v>447</v>
      </c>
      <c r="C39" t="s">
        <v>440</v>
      </c>
      <c r="D39" t="s">
        <v>419</v>
      </c>
      <c r="E39" t="s">
        <v>404</v>
      </c>
      <c r="F39" s="229">
        <v>237.9</v>
      </c>
      <c r="G39" s="229">
        <v>244.2</v>
      </c>
      <c r="H39" s="229">
        <v>251.9</v>
      </c>
      <c r="I39" s="229">
        <v>257.60000000000002</v>
      </c>
      <c r="J39" s="229">
        <v>259.60000000000002</v>
      </c>
      <c r="K39" s="229">
        <v>264.89999999999998</v>
      </c>
      <c r="L39" s="229">
        <v>275.10000000000002</v>
      </c>
      <c r="M39" s="229">
        <v>283.35300000000001</v>
      </c>
      <c r="N39" s="229">
        <v>291.85359</v>
      </c>
      <c r="O39" s="229">
        <v>300.60919769999998</v>
      </c>
      <c r="P39" s="229"/>
    </row>
    <row r="40" spans="1:16">
      <c r="A40" t="s">
        <v>469</v>
      </c>
      <c r="B40" t="s">
        <v>448</v>
      </c>
      <c r="C40" t="s">
        <v>441</v>
      </c>
      <c r="D40" t="s">
        <v>419</v>
      </c>
      <c r="E40" t="s">
        <v>404</v>
      </c>
      <c r="F40" s="229">
        <v>238</v>
      </c>
      <c r="G40" s="229">
        <v>245.6</v>
      </c>
      <c r="H40" s="229">
        <v>251.9</v>
      </c>
      <c r="I40" s="229">
        <v>257.7</v>
      </c>
      <c r="J40" s="229">
        <v>259.5</v>
      </c>
      <c r="K40" s="229">
        <v>264.8</v>
      </c>
      <c r="L40" s="229">
        <v>275.3</v>
      </c>
      <c r="M40" s="229">
        <v>283.55900000000003</v>
      </c>
      <c r="N40" s="229">
        <v>292.06576999999999</v>
      </c>
      <c r="O40" s="229">
        <v>300.82774310000002</v>
      </c>
      <c r="P40" s="229"/>
    </row>
    <row r="41" spans="1:16">
      <c r="A41" t="s">
        <v>469</v>
      </c>
      <c r="B41" t="s">
        <v>449</v>
      </c>
      <c r="C41" t="s">
        <v>458</v>
      </c>
      <c r="D41" t="s">
        <v>419</v>
      </c>
      <c r="E41" t="s">
        <v>404</v>
      </c>
      <c r="F41" s="229">
        <v>238.5</v>
      </c>
      <c r="G41" s="229">
        <v>245.6</v>
      </c>
      <c r="H41" s="229">
        <v>252.1</v>
      </c>
      <c r="I41" s="229">
        <v>257.10000000000002</v>
      </c>
      <c r="J41" s="229">
        <v>259.8</v>
      </c>
      <c r="K41" s="229">
        <v>265.5</v>
      </c>
      <c r="L41" s="229">
        <v>275.8</v>
      </c>
      <c r="M41" s="229">
        <v>284.07400000000001</v>
      </c>
      <c r="N41" s="229">
        <v>292.59622000000002</v>
      </c>
      <c r="O41" s="229">
        <v>301.3741066</v>
      </c>
      <c r="P41" s="229"/>
    </row>
    <row r="42" spans="1:16">
      <c r="A42" t="s">
        <v>469</v>
      </c>
      <c r="B42" t="s">
        <v>450</v>
      </c>
      <c r="C42" t="s">
        <v>459</v>
      </c>
      <c r="D42" t="s">
        <v>419</v>
      </c>
      <c r="E42" t="s">
        <v>404</v>
      </c>
      <c r="F42" s="229">
        <v>239.4</v>
      </c>
      <c r="G42" s="229">
        <v>246.8</v>
      </c>
      <c r="H42" s="229">
        <v>253.4</v>
      </c>
      <c r="I42" s="229">
        <v>257.5</v>
      </c>
      <c r="J42" s="229">
        <v>260.60000000000002</v>
      </c>
      <c r="K42" s="229">
        <v>267.10000000000002</v>
      </c>
      <c r="L42" s="229">
        <v>278.10000000000002</v>
      </c>
      <c r="M42" s="229">
        <v>286.44299999999998</v>
      </c>
      <c r="N42" s="229">
        <v>295.03629000000001</v>
      </c>
      <c r="O42" s="229">
        <v>303.8873787</v>
      </c>
      <c r="P42" s="229"/>
    </row>
    <row r="43" spans="1:16">
      <c r="A43" t="s">
        <v>469</v>
      </c>
      <c r="B43" t="s">
        <v>451</v>
      </c>
      <c r="C43" t="s">
        <v>460</v>
      </c>
      <c r="D43" t="s">
        <v>419</v>
      </c>
      <c r="E43" t="s">
        <v>404</v>
      </c>
      <c r="F43" s="229">
        <v>238</v>
      </c>
      <c r="G43" s="229">
        <v>245.8</v>
      </c>
      <c r="H43" s="229">
        <v>252.6</v>
      </c>
      <c r="I43" s="229">
        <v>255.4</v>
      </c>
      <c r="J43" s="229">
        <v>258.8</v>
      </c>
      <c r="K43" s="229">
        <v>265.5</v>
      </c>
      <c r="L43" s="229">
        <v>276</v>
      </c>
      <c r="M43" s="229">
        <v>284.27999999999997</v>
      </c>
      <c r="N43" s="229">
        <v>292.80840000000001</v>
      </c>
      <c r="O43" s="229">
        <v>301.59265199999999</v>
      </c>
      <c r="P43" s="229"/>
    </row>
    <row r="44" spans="1:16">
      <c r="A44" t="s">
        <v>469</v>
      </c>
      <c r="B44" t="s">
        <v>452</v>
      </c>
      <c r="C44" t="s">
        <v>461</v>
      </c>
      <c r="D44" t="s">
        <v>419</v>
      </c>
      <c r="E44" t="s">
        <v>404</v>
      </c>
      <c r="F44" s="229">
        <v>239.9</v>
      </c>
      <c r="G44" s="229">
        <v>247.6</v>
      </c>
      <c r="H44" s="229">
        <v>254.2</v>
      </c>
      <c r="I44" s="229">
        <v>256.7</v>
      </c>
      <c r="J44" s="229">
        <v>260</v>
      </c>
      <c r="K44" s="229">
        <v>268.39999999999998</v>
      </c>
      <c r="L44" s="229">
        <v>278.10000000000002</v>
      </c>
      <c r="M44" s="229">
        <v>286.44299999999998</v>
      </c>
      <c r="N44" s="229">
        <v>295.03629000000001</v>
      </c>
      <c r="O44" s="229">
        <v>303.8873787</v>
      </c>
      <c r="P44" s="229"/>
    </row>
    <row r="45" spans="1:16">
      <c r="A45" t="s">
        <v>469</v>
      </c>
      <c r="B45" t="s">
        <v>453</v>
      </c>
      <c r="C45" t="s">
        <v>462</v>
      </c>
      <c r="D45" t="s">
        <v>419</v>
      </c>
      <c r="E45" t="s">
        <v>404</v>
      </c>
      <c r="F45" s="229">
        <v>240.8</v>
      </c>
      <c r="G45" s="229">
        <v>248.7</v>
      </c>
      <c r="H45" s="229">
        <v>254.8</v>
      </c>
      <c r="I45" s="229">
        <v>257.10000000000002</v>
      </c>
      <c r="J45" s="229">
        <v>261.10000000000002</v>
      </c>
      <c r="K45" s="229">
        <v>269.3</v>
      </c>
      <c r="L45" s="229">
        <v>278.3</v>
      </c>
      <c r="M45" s="229">
        <v>286.649</v>
      </c>
      <c r="N45" s="229">
        <v>295.24847</v>
      </c>
      <c r="O45" s="229">
        <v>304.10592409999998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tabSelected="1" zoomScale="80" zoomScaleNormal="80" workbookViewId="0">
      <pane xSplit="7" ySplit="7" topLeftCell="H8" activePane="bottomRight" state="frozen"/>
      <selection pane="topRight"/>
      <selection pane="bottomLeft"/>
      <selection pane="bottomRight" activeCell="H12" sqref="H12"/>
    </sheetView>
  </sheetViews>
  <sheetFormatPr defaultColWidth="0" defaultRowHeight="12.5" zeroHeight="1"/>
  <cols>
    <col min="1" max="3" width="3.08984375" style="30" customWidth="1"/>
    <col min="4" max="4" width="10" style="30" customWidth="1"/>
    <col min="5" max="5" width="45" style="39" customWidth="1"/>
    <col min="6" max="6" width="6" style="30" customWidth="1"/>
    <col min="7" max="7" width="10.08984375" style="30" customWidth="1"/>
    <col min="8" max="8" width="12.08984375" style="30" customWidth="1"/>
    <col min="9" max="16" width="14.54296875" style="30" customWidth="1"/>
    <col min="17" max="21" width="13.54296875" style="30" customWidth="1"/>
    <col min="22" max="22" width="10.54296875" style="45" customWidth="1"/>
    <col min="23" max="24" width="9.08984375" style="30" customWidth="1"/>
    <col min="25" max="25" width="9.08984375" style="30" hidden="1" customWidth="1"/>
    <col min="26" max="27" width="13.08984375" style="30" hidden="1" customWidth="1"/>
    <col min="28" max="16384" width="9.08984375" style="30" hidden="1"/>
  </cols>
  <sheetData>
    <row r="1" spans="1:24" s="2" customFormat="1" ht="32.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 ht="13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 ht="13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 ht="13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 ht="13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4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 ht="13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 ht="13">
      <c r="A11" s="13"/>
      <c r="B11" s="13"/>
      <c r="C11" s="14"/>
      <c r="D11" s="13" t="s">
        <v>6</v>
      </c>
      <c r="E11" s="17" t="s">
        <v>7</v>
      </c>
      <c r="H11" s="23" t="s">
        <v>469</v>
      </c>
      <c r="I11" s="150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 ht="13">
      <c r="A12" s="13"/>
      <c r="B12" s="13"/>
      <c r="C12" s="14"/>
      <c r="D12" s="13" t="s">
        <v>6</v>
      </c>
      <c r="E12" s="17" t="s">
        <v>9</v>
      </c>
      <c r="H12" s="23" t="str">
        <f>IF(F_Inputs!P4=1,"WoC","WaSC")</f>
        <v>WaSC</v>
      </c>
      <c r="I12" s="150" t="s">
        <v>10</v>
      </c>
      <c r="K12" s="24" t="b">
        <f>CompanyType="WoC"</f>
        <v>0</v>
      </c>
      <c r="M12" s="150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 ht="13">
      <c r="A13" s="13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50" t="s">
        <v>13</v>
      </c>
      <c r="K13" s="24" t="b">
        <f>CompanyEnhanced="Yes"</f>
        <v>0</v>
      </c>
      <c r="M13" s="150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 ht="13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 ht="13">
      <c r="A15" s="13"/>
      <c r="B15" s="13"/>
      <c r="C15" s="14"/>
      <c r="D15" s="13" t="s">
        <v>15</v>
      </c>
      <c r="E15" s="17" t="s">
        <v>16</v>
      </c>
      <c r="F15" s="13"/>
      <c r="G15" s="13"/>
      <c r="H15" s="158">
        <f>IF(CompanyName="BRL","Input value",IF(CompanyEnhanced="Yes",3.7%,3.6%))</f>
        <v>3.6000000000000004E-2</v>
      </c>
      <c r="I15" s="150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 ht="13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4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4">
      <c r="A19" s="18"/>
      <c r="B19" s="19"/>
      <c r="C19" s="19"/>
      <c r="D19" s="20"/>
      <c r="E19" s="21" t="s">
        <v>19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4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 ht="13">
      <c r="E21" s="90" t="s">
        <v>20</v>
      </c>
    </row>
    <row r="22" spans="1:27" s="193" customFormat="1" ht="13">
      <c r="A22" s="3"/>
      <c r="B22" s="3"/>
      <c r="C22" s="3"/>
      <c r="D22" s="3" t="s">
        <v>21</v>
      </c>
      <c r="E22" s="3" t="s">
        <v>22</v>
      </c>
      <c r="F22" s="3"/>
      <c r="G22" s="3"/>
      <c r="H22" s="228">
        <f>F_Inputs!P7</f>
        <v>103.78553971412001</v>
      </c>
      <c r="I22" s="89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7" s="193" customFormat="1" ht="13">
      <c r="A23" s="3"/>
      <c r="B23" s="3"/>
      <c r="C23" s="3"/>
      <c r="D23" s="3" t="s">
        <v>21</v>
      </c>
      <c r="E23" s="3" t="s">
        <v>24</v>
      </c>
      <c r="F23" s="3"/>
      <c r="G23" s="3"/>
      <c r="H23" s="228">
        <f>F_Inputs!P8</f>
        <v>102.934313184003</v>
      </c>
      <c r="I23" s="89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s="193" customFormat="1" ht="13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 ht="13">
      <c r="A25" s="3"/>
      <c r="B25" s="3"/>
      <c r="C25" s="3"/>
      <c r="D25" s="3"/>
      <c r="E25" s="90" t="s">
        <v>26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 ht="13">
      <c r="A26" s="3"/>
      <c r="B26" s="3"/>
      <c r="C26" s="3"/>
      <c r="D26" s="3" t="s">
        <v>21</v>
      </c>
      <c r="E26" s="3" t="s">
        <v>27</v>
      </c>
      <c r="F26" s="33" t="s">
        <v>28</v>
      </c>
      <c r="G26" s="3"/>
      <c r="H26" s="89"/>
      <c r="I26" s="89"/>
      <c r="J26" s="3"/>
      <c r="K26" s="3"/>
      <c r="L26" s="35">
        <f>+F_Inputs!J5</f>
        <v>1.49476138358718</v>
      </c>
      <c r="M26" s="35">
        <f>+F_Inputs!K5</f>
        <v>1.49476138358718</v>
      </c>
      <c r="N26" s="35">
        <f>+F_Inputs!L5</f>
        <v>1.49476138358718</v>
      </c>
      <c r="O26" s="35">
        <f>+F_Inputs!M5</f>
        <v>1.49476138358718</v>
      </c>
      <c r="P26" s="35">
        <f>+F_Inputs!N5</f>
        <v>1.49476138358718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7" s="193" customFormat="1" ht="13">
      <c r="A27" s="3"/>
      <c r="B27" s="3"/>
      <c r="C27" s="3"/>
      <c r="D27" s="3" t="s">
        <v>21</v>
      </c>
      <c r="E27" s="3" t="s">
        <v>30</v>
      </c>
      <c r="F27" s="33" t="s">
        <v>28</v>
      </c>
      <c r="G27" s="3"/>
      <c r="H27" s="89"/>
      <c r="I27" s="89"/>
      <c r="J27" s="3"/>
      <c r="K27" s="3"/>
      <c r="L27" s="35">
        <f>+F_Inputs!J6</f>
        <v>2.7444169937101299</v>
      </c>
      <c r="M27" s="35">
        <f>+F_Inputs!K6</f>
        <v>2.7444169937101299</v>
      </c>
      <c r="N27" s="35">
        <f>+F_Inputs!L6</f>
        <v>2.7444169937101299</v>
      </c>
      <c r="O27" s="35">
        <f>+F_Inputs!M6</f>
        <v>2.7444169937101299</v>
      </c>
      <c r="P27" s="35">
        <f>+F_Inputs!N6</f>
        <v>2.7444169937101299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7" s="193" customFormat="1" ht="13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4">
      <c r="A29" s="18"/>
      <c r="B29" s="19"/>
      <c r="C29" s="19"/>
      <c r="D29" s="20"/>
      <c r="E29" s="21" t="s">
        <v>32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 ht="13">
      <c r="A32" s="30"/>
      <c r="B32" s="30"/>
      <c r="C32" s="31"/>
      <c r="D32" s="3" t="s">
        <v>21</v>
      </c>
      <c r="E32" s="3" t="s">
        <v>34</v>
      </c>
      <c r="F32" s="3"/>
      <c r="G32" s="3"/>
      <c r="H32" s="35">
        <f>F_Inputs!P9</f>
        <v>103.8</v>
      </c>
      <c r="I32" s="89" t="s">
        <v>35</v>
      </c>
      <c r="J32" s="30"/>
      <c r="K32" s="30"/>
      <c r="R32" s="30"/>
      <c r="S32" s="30"/>
      <c r="T32" s="30"/>
      <c r="U32" s="30"/>
      <c r="V32" s="45"/>
      <c r="W32" s="30"/>
      <c r="X32" s="30"/>
      <c r="Y32" s="30"/>
      <c r="Z32" s="30"/>
      <c r="AA32" s="30"/>
    </row>
    <row r="33" spans="1:27" s="12" customFormat="1" ht="13">
      <c r="A33" s="30"/>
      <c r="B33" s="30"/>
      <c r="C33" s="31"/>
      <c r="D33" s="3" t="s">
        <v>21</v>
      </c>
      <c r="E33" s="3" t="s">
        <v>36</v>
      </c>
      <c r="F33" s="3"/>
      <c r="G33" s="3"/>
      <c r="H33" s="35">
        <f>F_Inputs!P10</f>
        <v>102.9</v>
      </c>
      <c r="I33" s="89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4">
      <c r="A35" s="18"/>
      <c r="B35" s="19"/>
      <c r="C35" s="19"/>
      <c r="D35" s="20"/>
      <c r="E35" s="21" t="s">
        <v>38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4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4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 ht="13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 ht="13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 ht="13">
      <c r="A40" s="30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+F_Inputs!J14</f>
        <v>145.31767599140699</v>
      </c>
      <c r="M40" s="35">
        <f>+F_Inputs!K14</f>
        <v>152.40515072783401</v>
      </c>
      <c r="N40" s="35">
        <f>+F_Inputs!L14</f>
        <v>141.13031401265101</v>
      </c>
      <c r="O40" s="35">
        <f>+F_Inputs!M14</f>
        <v>122.941694737818</v>
      </c>
      <c r="P40" s="35">
        <f>+F_Inputs!N14</f>
        <v>108.963443162136</v>
      </c>
      <c r="Q40" s="59" t="s">
        <v>43</v>
      </c>
      <c r="R40" s="34"/>
      <c r="S40" s="34"/>
      <c r="T40" s="34"/>
      <c r="U40" s="34"/>
      <c r="V40" s="37"/>
      <c r="W40" s="30"/>
      <c r="X40" s="30"/>
      <c r="Y40" s="30"/>
      <c r="Z40" s="30"/>
      <c r="AA40" s="30"/>
    </row>
    <row r="41" spans="1:27" s="12" customFormat="1" ht="13">
      <c r="A41" s="25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+F_Inputs!J15</f>
        <v>188.577931215826</v>
      </c>
      <c r="M41" s="35">
        <f>+F_Inputs!K15</f>
        <v>200.63534954590699</v>
      </c>
      <c r="N41" s="35">
        <f>+F_Inputs!L15</f>
        <v>231.89422785836001</v>
      </c>
      <c r="O41" s="35">
        <f>+F_Inputs!M15</f>
        <v>231.125824996001</v>
      </c>
      <c r="P41" s="35">
        <f>+F_Inputs!N15</f>
        <v>231.38869837911301</v>
      </c>
      <c r="Q41" s="59" t="s">
        <v>45</v>
      </c>
      <c r="R41" s="28"/>
      <c r="S41" s="28"/>
      <c r="T41" s="28"/>
      <c r="U41" s="28"/>
      <c r="V41" s="37"/>
      <c r="W41" s="30"/>
      <c r="X41" s="30"/>
      <c r="Y41" s="30"/>
      <c r="Z41" s="30"/>
      <c r="AA41" s="30"/>
    </row>
    <row r="42" spans="1:27" s="12" customFormat="1" ht="13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46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 ht="13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 ht="13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 ht="13">
      <c r="A46" s="25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8"/>
      <c r="I46" s="40"/>
      <c r="J46" s="40"/>
      <c r="K46" s="40"/>
      <c r="L46" s="35">
        <f>+F_Inputs!J12</f>
        <v>147.53962738978299</v>
      </c>
      <c r="M46" s="35">
        <f>+F_Inputs!K12</f>
        <v>154.60334400658601</v>
      </c>
      <c r="N46" s="35">
        <f>+F_Inputs!L12</f>
        <v>143.22180393601499</v>
      </c>
      <c r="O46" s="35">
        <f>+F_Inputs!M12</f>
        <v>124.861050309657</v>
      </c>
      <c r="P46" s="35">
        <f>+F_Inputs!N12</f>
        <v>110.750510667791</v>
      </c>
      <c r="Q46" s="59" t="s">
        <v>49</v>
      </c>
      <c r="R46" s="48"/>
      <c r="S46" s="48"/>
      <c r="T46" s="48"/>
      <c r="U46" s="25"/>
      <c r="V46" s="41"/>
      <c r="W46" s="32"/>
      <c r="X46" s="30"/>
      <c r="Y46" s="208"/>
      <c r="Z46" s="208"/>
      <c r="AA46" s="208"/>
    </row>
    <row r="47" spans="1:27" s="207" customFormat="1" ht="13">
      <c r="A47" s="25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8"/>
      <c r="I47" s="40"/>
      <c r="J47" s="40"/>
      <c r="K47" s="40"/>
      <c r="L47" s="35">
        <f>+F_Inputs!J13</f>
        <v>190.39644550214001</v>
      </c>
      <c r="M47" s="35">
        <f>+F_Inputs!K13</f>
        <v>202.38331443614899</v>
      </c>
      <c r="N47" s="35">
        <f>+F_Inputs!L13</f>
        <v>233.871501095475</v>
      </c>
      <c r="O47" s="35">
        <f>+F_Inputs!M13</f>
        <v>233.09746139649201</v>
      </c>
      <c r="P47" s="35">
        <f>+F_Inputs!N13</f>
        <v>233.36226316168899</v>
      </c>
      <c r="Q47" s="59" t="s">
        <v>51</v>
      </c>
      <c r="R47" s="48"/>
      <c r="S47" s="48"/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4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 ht="13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 ht="13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 ht="13">
      <c r="A52" s="25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8"/>
      <c r="I52" s="40"/>
      <c r="J52" s="40"/>
      <c r="K52" s="40"/>
      <c r="L52" s="35">
        <f>+F_Inputs!J16</f>
        <v>155.71833708058301</v>
      </c>
      <c r="M52" s="35">
        <f>+F_Inputs!K16</f>
        <v>154.02345678699001</v>
      </c>
      <c r="N52" s="35">
        <f>+F_Inputs!L16</f>
        <v>135.182029580918</v>
      </c>
      <c r="O52" s="35">
        <f>+F_Inputs!M16</f>
        <v>138.334</v>
      </c>
      <c r="P52" s="35">
        <f>+F_Inputs!N16</f>
        <v>151.60499999999999</v>
      </c>
      <c r="Q52" s="59" t="s">
        <v>56</v>
      </c>
      <c r="R52" s="48"/>
      <c r="S52" s="48"/>
      <c r="T52" s="48"/>
      <c r="U52" s="25"/>
      <c r="V52" s="41"/>
      <c r="W52" s="30"/>
      <c r="X52" s="30"/>
      <c r="Y52" s="30"/>
      <c r="Z52" s="30"/>
      <c r="AA52" s="30"/>
    </row>
    <row r="53" spans="1:27" s="12" customFormat="1" ht="13">
      <c r="A53" s="25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8"/>
      <c r="I53" s="40"/>
      <c r="J53" s="40"/>
      <c r="K53" s="40"/>
      <c r="L53" s="35">
        <f>+F_Inputs!J17</f>
        <v>169.81714208888499</v>
      </c>
      <c r="M53" s="35">
        <f>+F_Inputs!K17</f>
        <v>187.54995504712701</v>
      </c>
      <c r="N53" s="35">
        <f>+F_Inputs!L17</f>
        <v>224.09695986593101</v>
      </c>
      <c r="O53" s="35">
        <f>+F_Inputs!M17</f>
        <v>238.73</v>
      </c>
      <c r="P53" s="35">
        <f>+F_Inputs!N17</f>
        <v>233.184</v>
      </c>
      <c r="Q53" s="59" t="s">
        <v>58</v>
      </c>
      <c r="R53" s="48"/>
      <c r="S53" s="48"/>
      <c r="T53" s="48"/>
      <c r="U53" s="25"/>
      <c r="V53" s="41"/>
      <c r="W53" s="30"/>
      <c r="X53" s="30"/>
      <c r="Y53" s="30"/>
      <c r="Z53" s="30"/>
      <c r="AA53" s="30"/>
    </row>
    <row r="54" spans="1:27" ht="13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4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4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4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 ht="13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30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+F_Inputs!J18</f>
        <v>1.6559999999999999</v>
      </c>
      <c r="M60" s="35">
        <f>+F_Inputs!K18</f>
        <v>0.71799999999999997</v>
      </c>
      <c r="N60" s="35">
        <f>+F_Inputs!L18</f>
        <v>0.94608919999999996</v>
      </c>
      <c r="O60" s="35">
        <f>+F_Inputs!M18</f>
        <v>0.95555009199999996</v>
      </c>
      <c r="P60" s="35">
        <f>+F_Inputs!N18</f>
        <v>0.96510559292000098</v>
      </c>
      <c r="Q60" s="30"/>
      <c r="R60" s="30"/>
      <c r="S60" s="30"/>
      <c r="T60" s="30"/>
      <c r="U60" s="30"/>
      <c r="V60" s="45"/>
      <c r="W60" s="30"/>
      <c r="X60" s="30"/>
      <c r="Y60" s="30"/>
      <c r="Z60" s="30"/>
      <c r="AA60" s="30"/>
    </row>
    <row r="61" spans="1:27" s="12" customFormat="1" ht="13">
      <c r="A61" s="30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+F_Inputs!J19</f>
        <v>0</v>
      </c>
      <c r="M61" s="35">
        <f>+F_Inputs!K19</f>
        <v>0</v>
      </c>
      <c r="N61" s="35">
        <f>+F_Inputs!L19</f>
        <v>0</v>
      </c>
      <c r="O61" s="35">
        <f>+F_Inputs!M19</f>
        <v>0</v>
      </c>
      <c r="P61" s="35">
        <f>+F_Inputs!N19</f>
        <v>0</v>
      </c>
      <c r="Q61" s="36"/>
      <c r="R61" s="30"/>
      <c r="S61" s="30"/>
      <c r="T61" s="30"/>
      <c r="U61" s="30"/>
      <c r="V61" s="45"/>
      <c r="W61" s="30"/>
      <c r="X61" s="30"/>
      <c r="Y61" s="30"/>
      <c r="Z61" s="30"/>
      <c r="AA61" s="30"/>
    </row>
    <row r="62" spans="1:27" s="12" customFormat="1" ht="13">
      <c r="A62" s="30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+F_Inputs!J20</f>
        <v>2.8</v>
      </c>
      <c r="M62" s="35">
        <f>+F_Inputs!K20</f>
        <v>2.819</v>
      </c>
      <c r="N62" s="35">
        <f>+F_Inputs!L20</f>
        <v>4.1347423971377504</v>
      </c>
      <c r="O62" s="35">
        <f>+F_Inputs!M20</f>
        <v>4.2779999999999996</v>
      </c>
      <c r="P62" s="35">
        <f>+F_Inputs!N20</f>
        <v>4.4240000000000004</v>
      </c>
      <c r="Q62" s="36" t="s">
        <v>65</v>
      </c>
      <c r="R62" s="30"/>
      <c r="S62" s="30"/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30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+F_Inputs!J21</f>
        <v>0</v>
      </c>
      <c r="M63" s="35">
        <f>+F_Inputs!K21</f>
        <v>0</v>
      </c>
      <c r="N63" s="35">
        <f>+F_Inputs!L21</f>
        <v>0</v>
      </c>
      <c r="O63" s="35">
        <f>+F_Inputs!M21</f>
        <v>0</v>
      </c>
      <c r="P63" s="35">
        <f>+F_Inputs!N21</f>
        <v>0</v>
      </c>
      <c r="Q63" s="30"/>
      <c r="R63" s="30"/>
      <c r="S63" s="30"/>
      <c r="T63" s="30"/>
      <c r="U63" s="30"/>
      <c r="V63" s="45"/>
      <c r="W63" s="30"/>
      <c r="X63" s="30"/>
      <c r="Y63" s="30"/>
      <c r="Z63" s="30"/>
      <c r="AA63" s="30"/>
    </row>
    <row r="64" spans="1:27" s="12" customFormat="1" ht="13">
      <c r="A64" s="30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30">
        <f>+F_Inputs!J30</f>
        <v>0</v>
      </c>
      <c r="M64" s="230">
        <f>+F_Inputs!K30</f>
        <v>0</v>
      </c>
      <c r="N64" s="230">
        <f>+F_Inputs!L30</f>
        <v>-11.7512628748376</v>
      </c>
      <c r="O64" s="230">
        <f>+F_Inputs!M30</f>
        <v>0</v>
      </c>
      <c r="P64" s="230">
        <f>+F_Inputs!N30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  <c r="Y64" s="30"/>
      <c r="Z64" s="30"/>
      <c r="AA64" s="30"/>
    </row>
    <row r="65" spans="1:27" s="12" customFormat="1" ht="13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30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+F_Inputs!J22</f>
        <v>0.23699999999999999</v>
      </c>
      <c r="M66" s="35">
        <f>+F_Inputs!K22</f>
        <v>0.13600000000000001</v>
      </c>
      <c r="N66" s="35">
        <f>+F_Inputs!L22</f>
        <v>0.48064448999999998</v>
      </c>
      <c r="O66" s="35">
        <f>+F_Inputs!M22</f>
        <v>0.48545093490000002</v>
      </c>
      <c r="P66" s="35">
        <f>+F_Inputs!N22</f>
        <v>0.49030544424900002</v>
      </c>
      <c r="Q66" s="30"/>
      <c r="R66" s="30"/>
      <c r="S66" s="30"/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30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+F_Inputs!J23</f>
        <v>0</v>
      </c>
      <c r="M67" s="35">
        <f>+F_Inputs!K23</f>
        <v>0</v>
      </c>
      <c r="N67" s="35">
        <f>+F_Inputs!L23</f>
        <v>0</v>
      </c>
      <c r="O67" s="35">
        <f>+F_Inputs!M23</f>
        <v>0</v>
      </c>
      <c r="P67" s="35">
        <f>+F_Inputs!N23</f>
        <v>0</v>
      </c>
      <c r="Q67" s="30"/>
      <c r="R67" s="30"/>
      <c r="S67" s="30"/>
      <c r="T67" s="30"/>
      <c r="U67" s="30"/>
      <c r="V67" s="45"/>
      <c r="W67" s="30"/>
      <c r="X67" s="30"/>
      <c r="Y67" s="30"/>
      <c r="Z67" s="30"/>
      <c r="AA67" s="30"/>
    </row>
    <row r="68" spans="1:27" s="12" customFormat="1" ht="13">
      <c r="A68" s="30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+F_Inputs!J24</f>
        <v>4.8</v>
      </c>
      <c r="M68" s="35">
        <f>+F_Inputs!K24</f>
        <v>4.4390000000000001</v>
      </c>
      <c r="N68" s="35">
        <f>+F_Inputs!L24</f>
        <v>6.3706529516994603</v>
      </c>
      <c r="O68" s="35">
        <f>+F_Inputs!M24</f>
        <v>6.5910000000000002</v>
      </c>
      <c r="P68" s="35">
        <f>+F_Inputs!N24</f>
        <v>6.8170000000000002</v>
      </c>
      <c r="Q68" s="36" t="s">
        <v>72</v>
      </c>
      <c r="R68" s="30"/>
      <c r="S68" s="30"/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30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+F_Inputs!J25</f>
        <v>0</v>
      </c>
      <c r="M69" s="35">
        <f>+F_Inputs!K25</f>
        <v>0</v>
      </c>
      <c r="N69" s="35">
        <f>+F_Inputs!L25</f>
        <v>0</v>
      </c>
      <c r="O69" s="35">
        <f>+F_Inputs!M25</f>
        <v>0</v>
      </c>
      <c r="P69" s="35">
        <f>+F_Inputs!N25</f>
        <v>0</v>
      </c>
      <c r="Q69" s="30"/>
      <c r="R69" s="30"/>
      <c r="S69" s="30"/>
      <c r="T69" s="30"/>
      <c r="U69" s="30"/>
      <c r="V69" s="45"/>
      <c r="W69" s="30"/>
      <c r="X69" s="30"/>
      <c r="Y69" s="30"/>
      <c r="Z69" s="30"/>
      <c r="AA69" s="30"/>
    </row>
    <row r="70" spans="1:27" s="12" customFormat="1" ht="13">
      <c r="A70" s="30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30">
        <f>+F_Inputs!J31</f>
        <v>0</v>
      </c>
      <c r="M70" s="230">
        <f>+F_Inputs!K31</f>
        <v>0</v>
      </c>
      <c r="N70" s="230">
        <f>+F_Inputs!L31</f>
        <v>-21.148737125162398</v>
      </c>
      <c r="O70" s="230">
        <f>+F_Inputs!M31</f>
        <v>0</v>
      </c>
      <c r="P70" s="230">
        <f>+F_Inputs!N31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  <c r="Y70" s="30"/>
      <c r="Z70" s="30"/>
      <c r="AA70" s="30"/>
    </row>
    <row r="71" spans="1:27" s="12" customFormat="1" ht="13">
      <c r="A71" s="30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30">
        <f>+F_Inputs!J32</f>
        <v>0</v>
      </c>
      <c r="M71" s="230">
        <f>+F_Inputs!K32</f>
        <v>0</v>
      </c>
      <c r="N71" s="230">
        <f>+F_Inputs!L32</f>
        <v>0</v>
      </c>
      <c r="O71" s="230">
        <f>+F_Inputs!M32</f>
        <v>0</v>
      </c>
      <c r="P71" s="230">
        <f>+F_Inputs!N32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 ht="13">
      <c r="A72" s="30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30">
        <f>+F_Inputs!J33</f>
        <v>0</v>
      </c>
      <c r="M72" s="230">
        <f>+F_Inputs!K33</f>
        <v>0</v>
      </c>
      <c r="N72" s="230">
        <f>+F_Inputs!L33</f>
        <v>0</v>
      </c>
      <c r="O72" s="230">
        <f>+F_Inputs!M33</f>
        <v>0</v>
      </c>
      <c r="P72" s="230">
        <f>+F_Inputs!N33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 ht="13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 ht="13">
      <c r="A75" s="30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F_Inputs!I26</f>
        <v>0.51100000000000001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 ht="13">
      <c r="A76" s="30"/>
      <c r="B76" s="30"/>
      <c r="C76" s="31"/>
      <c r="D76" s="30"/>
      <c r="E76" s="216"/>
      <c r="F76" s="217"/>
      <c r="G76" s="189"/>
      <c r="H76" s="189"/>
      <c r="I76" s="189"/>
      <c r="J76" s="189"/>
      <c r="K76" s="221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 ht="13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 ht="13">
      <c r="A78" s="30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F_Inputs!I27</f>
        <v>4.4779999999999998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 ht="13">
      <c r="A79" s="30"/>
      <c r="B79" s="30"/>
      <c r="C79" s="31"/>
      <c r="D79" s="30"/>
      <c r="E79" s="216"/>
      <c r="F79" s="217"/>
      <c r="G79" s="189"/>
      <c r="H79" s="189"/>
      <c r="I79" s="189"/>
      <c r="J79" s="189"/>
      <c r="K79" s="221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4.5"/>
    <row r="81" spans="1:24" s="22" customFormat="1" ht="14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3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4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3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 ht="13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 ht="13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9"/>
      <c r="Q86" s="25"/>
      <c r="R86" s="25"/>
      <c r="S86" s="25"/>
      <c r="T86" s="25"/>
      <c r="U86" s="25"/>
      <c r="V86" s="41"/>
    </row>
    <row r="87" spans="1:24" ht="13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 ht="13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 ht="13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 ht="13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 ht="13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 ht="13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 ht="13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 ht="13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 ht="13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 ht="13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 ht="13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 ht="13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 ht="13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 ht="13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 ht="13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 ht="13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 ht="13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 ht="13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 ht="13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 ht="13">
      <c r="E107" s="54" t="s">
        <v>118</v>
      </c>
      <c r="I107" s="58"/>
    </row>
    <row r="108" spans="1:24" s="3" customFormat="1" ht="13">
      <c r="D108" s="3" t="s">
        <v>119</v>
      </c>
      <c r="E108" s="56" t="s">
        <v>120</v>
      </c>
      <c r="F108" s="30"/>
      <c r="G108" s="30"/>
      <c r="H108" s="194">
        <v>0.75</v>
      </c>
      <c r="I108" s="59" t="s">
        <v>121</v>
      </c>
    </row>
    <row r="109" spans="1:24" s="3" customFormat="1" ht="13">
      <c r="D109" s="3" t="s">
        <v>119</v>
      </c>
      <c r="E109" s="56" t="s">
        <v>122</v>
      </c>
      <c r="F109" s="30"/>
      <c r="G109" s="30"/>
      <c r="H109" s="194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4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 ht="13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 ht="13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 ht="13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 ht="13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 ht="13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 ht="13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 ht="13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 ht="13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 ht="13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 ht="13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4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 ht="13">
      <c r="D125" s="30" t="s">
        <v>15</v>
      </c>
      <c r="E125" s="39" t="s">
        <v>142</v>
      </c>
      <c r="F125" s="33"/>
      <c r="L125" s="179">
        <f>+F_Inputs!J28</f>
        <v>0.46283999999999997</v>
      </c>
      <c r="M125" s="179">
        <f>+F_Inputs!K28</f>
        <v>0.52561000000000002</v>
      </c>
      <c r="N125" s="179">
        <f>+F_Inputs!L28</f>
        <v>0.55395000000000005</v>
      </c>
      <c r="O125" s="179">
        <f>+F_Inputs!M28</f>
        <v>0.61992000000000003</v>
      </c>
      <c r="P125" s="179">
        <f>+F_Inputs!N28</f>
        <v>0.68755999999999995</v>
      </c>
      <c r="Q125" s="61" t="s">
        <v>143</v>
      </c>
    </row>
    <row r="126" spans="1:27" ht="13">
      <c r="D126" s="30" t="s">
        <v>15</v>
      </c>
      <c r="E126" s="39" t="s">
        <v>144</v>
      </c>
      <c r="F126" s="33"/>
      <c r="L126" s="179">
        <f>+F_Inputs!J29</f>
        <v>0.55034000000000005</v>
      </c>
      <c r="M126" s="179">
        <f>+F_Inputs!K29</f>
        <v>0.57713999999999999</v>
      </c>
      <c r="N126" s="179">
        <f>+F_Inputs!L29</f>
        <v>0.51519999999999999</v>
      </c>
      <c r="O126" s="179">
        <f>+F_Inputs!M29</f>
        <v>0.51432999999999995</v>
      </c>
      <c r="P126" s="179">
        <f>+F_Inputs!N29</f>
        <v>0.50578999999999996</v>
      </c>
      <c r="Q126" s="61" t="s">
        <v>145</v>
      </c>
    </row>
    <row r="127" spans="1:27"/>
    <row r="128" spans="1:27" s="22" customFormat="1" ht="14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9"/>
    </row>
    <row r="131" spans="1:24">
      <c r="D131" s="3" t="s">
        <v>126</v>
      </c>
      <c r="E131" s="39" t="s">
        <v>149</v>
      </c>
      <c r="H131" s="60">
        <f>EffInc.Coeff.Water</f>
        <v>0.49239999999999995</v>
      </c>
    </row>
    <row r="132" spans="1:24" ht="12" customHeight="1">
      <c r="D132" s="30" t="s">
        <v>147</v>
      </c>
      <c r="E132" s="39" t="s">
        <v>150</v>
      </c>
      <c r="H132" s="164">
        <f>AllExp.Coeff.Water/100</f>
        <v>1.0095000000000001</v>
      </c>
    </row>
    <row r="133" spans="1:24" ht="14.5">
      <c r="E133" s="177"/>
      <c r="F133"/>
    </row>
    <row r="134" spans="1:24">
      <c r="D134" s="3" t="s">
        <v>21</v>
      </c>
      <c r="E134" s="39" t="s">
        <v>151</v>
      </c>
      <c r="F134" s="33" t="s">
        <v>28</v>
      </c>
      <c r="L134" s="165"/>
      <c r="M134" s="165"/>
      <c r="N134" s="166"/>
      <c r="O134" s="166"/>
      <c r="P134" s="166"/>
      <c r="V134" s="30"/>
    </row>
    <row r="135" spans="1:24">
      <c r="D135" s="3" t="s">
        <v>21</v>
      </c>
      <c r="E135" s="39" t="s">
        <v>151</v>
      </c>
      <c r="F135" s="33" t="s">
        <v>152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4.5"/>
    <row r="137" spans="1:24">
      <c r="D137" s="3" t="s">
        <v>21</v>
      </c>
      <c r="E137" s="39" t="s">
        <v>153</v>
      </c>
      <c r="F137" s="33" t="s">
        <v>152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 ht="13">
      <c r="E139" s="49" t="s">
        <v>154</v>
      </c>
      <c r="V139" s="30"/>
    </row>
    <row r="140" spans="1:24" ht="13">
      <c r="D140" s="3" t="s">
        <v>21</v>
      </c>
      <c r="E140" s="32" t="s">
        <v>155</v>
      </c>
      <c r="F140" s="33" t="s">
        <v>152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4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3">
      <c r="D143" s="3"/>
      <c r="F143" s="33"/>
      <c r="Q143" s="61"/>
      <c r="V143" s="30"/>
    </row>
    <row r="144" spans="1:24" ht="13">
      <c r="D144" s="30" t="s">
        <v>147</v>
      </c>
      <c r="E144" s="39" t="s">
        <v>158</v>
      </c>
      <c r="F144" s="33"/>
      <c r="H144" s="188">
        <v>0.75</v>
      </c>
      <c r="Q144" s="61"/>
      <c r="V144" s="30"/>
    </row>
    <row r="145" spans="1:27" ht="13">
      <c r="D145" s="3"/>
      <c r="F145" s="33"/>
      <c r="Q145" s="61"/>
      <c r="V145" s="30"/>
    </row>
    <row r="146" spans="1:27" ht="13">
      <c r="D146" s="3" t="s">
        <v>21</v>
      </c>
      <c r="E146" s="186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21</v>
      </c>
      <c r="E147" s="187" t="s">
        <v>160</v>
      </c>
      <c r="F147" s="33" t="s">
        <v>152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161</v>
      </c>
      <c r="V147" s="30"/>
    </row>
    <row r="148" spans="1:27" ht="13">
      <c r="E148" s="30"/>
      <c r="F148" s="33"/>
      <c r="Q148" s="61"/>
      <c r="V148" s="30"/>
    </row>
    <row r="149" spans="1:27" s="22" customFormat="1" ht="14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 ht="13">
      <c r="D150" s="3"/>
      <c r="F150" s="33"/>
      <c r="Q150" s="61"/>
      <c r="V150" s="30"/>
    </row>
    <row r="151" spans="1:27" ht="13">
      <c r="D151" s="3" t="s">
        <v>21</v>
      </c>
      <c r="E151" s="186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7" ht="13.5" thickBot="1">
      <c r="E152" s="30"/>
      <c r="F152" s="33"/>
      <c r="Q152" s="61"/>
      <c r="V152" s="30"/>
    </row>
    <row r="153" spans="1:27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X18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54296875" style="3" customWidth="1"/>
    <col min="4" max="4" width="9.36328125" style="3" bestFit="1" customWidth="1"/>
    <col min="5" max="5" width="49.7265625" style="91" customWidth="1"/>
    <col min="6" max="6" width="20.36328125" style="91" customWidth="1"/>
    <col min="7" max="7" width="14.54296875" style="91" customWidth="1"/>
    <col min="8" max="8" width="14.36328125" style="3" customWidth="1"/>
    <col min="9" max="9" width="11.36328125" style="3" customWidth="1"/>
    <col min="10" max="10" width="11.54296875" style="3" customWidth="1"/>
    <col min="11" max="17" width="11.08984375" style="3" customWidth="1"/>
    <col min="18" max="20" width="11.54296875" style="3" customWidth="1"/>
    <col min="21" max="21" width="9.54296875" style="3" customWidth="1"/>
    <col min="22" max="22" width="3.54296875" style="3" customWidth="1"/>
    <col min="23" max="23" width="106.08984375" style="3" bestFit="1" customWidth="1"/>
    <col min="24" max="24" width="3.54296875" style="74" customWidth="1"/>
    <col min="25" max="25" width="13.54296875" style="3" hidden="1" customWidth="1"/>
    <col min="26" max="38" width="9.08984375" style="3" hidden="1" customWidth="1"/>
    <col min="39" max="39" width="10.08984375" style="3" hidden="1" customWidth="1"/>
    <col min="40" max="16384" width="9.08984375" style="3" hidden="1"/>
  </cols>
  <sheetData>
    <row r="1" spans="1:29" s="2" customFormat="1" ht="32.5">
      <c r="A1" s="1"/>
      <c r="B1" s="1"/>
      <c r="C1" s="1"/>
      <c r="D1" s="181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1"/>
      <c r="B2" s="232"/>
      <c r="C2" s="233"/>
      <c r="D2" s="234"/>
      <c r="E2" s="235"/>
      <c r="F2" s="235"/>
      <c r="G2" s="235"/>
      <c r="H2" s="236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7"/>
      <c r="V2" s="237"/>
      <c r="W2" s="237"/>
      <c r="X2" s="239"/>
      <c r="Y2" s="69"/>
      <c r="Z2" s="69"/>
      <c r="AA2" s="69"/>
      <c r="AB2" s="69"/>
      <c r="AC2" s="69"/>
    </row>
    <row r="3" spans="1:29" ht="12.75" customHeight="1">
      <c r="A3" s="240"/>
      <c r="B3" s="241"/>
      <c r="C3" s="242"/>
      <c r="D3" s="243" t="s">
        <v>1</v>
      </c>
      <c r="E3" s="244" t="s">
        <v>1</v>
      </c>
      <c r="F3" s="245"/>
      <c r="G3" s="245"/>
      <c r="H3" s="238"/>
      <c r="I3" s="246" t="str">
        <f t="shared" ref="I3:U3" si="0">AMP.Years</f>
        <v>2012-13</v>
      </c>
      <c r="J3" s="246" t="str">
        <f t="shared" si="0"/>
        <v>2013-14</v>
      </c>
      <c r="K3" s="246" t="str">
        <f t="shared" si="0"/>
        <v>2014-15</v>
      </c>
      <c r="L3" s="247" t="str">
        <f t="shared" si="0"/>
        <v>2015-16</v>
      </c>
      <c r="M3" s="247" t="str">
        <f t="shared" si="0"/>
        <v>2016-17</v>
      </c>
      <c r="N3" s="247" t="str">
        <f t="shared" si="0"/>
        <v>2017-18</v>
      </c>
      <c r="O3" s="247" t="str">
        <f t="shared" si="0"/>
        <v>2018-19</v>
      </c>
      <c r="P3" s="247" t="str">
        <f t="shared" si="0"/>
        <v>2019-20</v>
      </c>
      <c r="Q3" s="246" t="str">
        <f t="shared" si="0"/>
        <v>2020-21</v>
      </c>
      <c r="R3" s="246" t="str">
        <f t="shared" si="0"/>
        <v>2021-22</v>
      </c>
      <c r="S3" s="246" t="str">
        <f t="shared" si="0"/>
        <v>2022-23</v>
      </c>
      <c r="T3" s="246" t="str">
        <f t="shared" si="0"/>
        <v>2023-24</v>
      </c>
      <c r="U3" s="246" t="str">
        <f t="shared" si="0"/>
        <v>2024-25</v>
      </c>
      <c r="V3" s="248"/>
      <c r="W3" s="248"/>
      <c r="X3" s="248"/>
      <c r="Y3" s="69"/>
      <c r="Z3" s="69"/>
      <c r="AA3" s="70"/>
      <c r="AB3" s="71"/>
      <c r="AC3" s="71"/>
    </row>
    <row r="4" spans="1:29" ht="13">
      <c r="A4" s="249"/>
      <c r="B4" s="250"/>
      <c r="C4" s="251"/>
      <c r="D4" s="252"/>
      <c r="E4" s="244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53"/>
      <c r="W4" s="253"/>
      <c r="X4" s="254"/>
      <c r="Y4" s="72"/>
      <c r="Z4" s="72"/>
      <c r="AA4" s="70"/>
      <c r="AB4" s="71"/>
      <c r="AC4" s="71"/>
    </row>
    <row r="5" spans="1:29" ht="13">
      <c r="A5" s="255"/>
      <c r="B5" s="250"/>
      <c r="C5" s="256"/>
      <c r="D5" s="252" t="s">
        <v>94</v>
      </c>
      <c r="E5" s="244" t="s">
        <v>2</v>
      </c>
      <c r="F5" s="257"/>
      <c r="G5" s="257"/>
      <c r="H5" s="238"/>
      <c r="I5" s="257">
        <f t="shared" ref="I5:U5" si="1">Calendar.Years</f>
        <v>2012</v>
      </c>
      <c r="J5" s="257">
        <f t="shared" si="1"/>
        <v>2013</v>
      </c>
      <c r="K5" s="257">
        <f t="shared" si="1"/>
        <v>2014</v>
      </c>
      <c r="L5" s="257">
        <f t="shared" si="1"/>
        <v>2015</v>
      </c>
      <c r="M5" s="257">
        <f t="shared" si="1"/>
        <v>2016</v>
      </c>
      <c r="N5" s="257">
        <f t="shared" si="1"/>
        <v>2017</v>
      </c>
      <c r="O5" s="257">
        <f t="shared" si="1"/>
        <v>2018</v>
      </c>
      <c r="P5" s="257">
        <f t="shared" si="1"/>
        <v>2019</v>
      </c>
      <c r="Q5" s="257">
        <f t="shared" si="1"/>
        <v>2020</v>
      </c>
      <c r="R5" s="257">
        <f t="shared" si="1"/>
        <v>2021</v>
      </c>
      <c r="S5" s="257">
        <f t="shared" si="1"/>
        <v>2022</v>
      </c>
      <c r="T5" s="257">
        <f t="shared" si="1"/>
        <v>2023</v>
      </c>
      <c r="U5" s="257">
        <f t="shared" si="1"/>
        <v>2024</v>
      </c>
      <c r="V5" s="250"/>
      <c r="W5" s="250"/>
      <c r="X5" s="254"/>
      <c r="Y5" s="72"/>
      <c r="Z5" s="72"/>
      <c r="AA5" s="73"/>
      <c r="AB5" s="71"/>
      <c r="AC5" s="71"/>
    </row>
    <row r="6" spans="1:29" ht="12.75" customHeight="1">
      <c r="A6" s="238"/>
      <c r="B6" s="238"/>
      <c r="C6" s="238"/>
      <c r="D6" s="238"/>
      <c r="E6" s="244" t="s">
        <v>3</v>
      </c>
      <c r="F6" s="257"/>
      <c r="G6" s="257"/>
      <c r="H6" s="238"/>
      <c r="I6" s="258">
        <v>-2</v>
      </c>
      <c r="J6" s="258">
        <v>-1</v>
      </c>
      <c r="K6" s="258">
        <v>0</v>
      </c>
      <c r="L6" s="258">
        <v>1</v>
      </c>
      <c r="M6" s="258">
        <v>2</v>
      </c>
      <c r="N6" s="258">
        <v>3</v>
      </c>
      <c r="O6" s="258">
        <v>4</v>
      </c>
      <c r="P6" s="258">
        <v>5</v>
      </c>
      <c r="Q6" s="258">
        <v>6</v>
      </c>
      <c r="R6" s="258">
        <v>7</v>
      </c>
      <c r="S6" s="258">
        <v>8</v>
      </c>
      <c r="T6" s="258">
        <v>9</v>
      </c>
      <c r="U6" s="258">
        <v>10</v>
      </c>
      <c r="V6" s="238"/>
      <c r="W6" s="259" t="s">
        <v>166</v>
      </c>
      <c r="X6" s="260"/>
    </row>
    <row r="7" spans="1:29" ht="12.75" customHeight="1">
      <c r="A7" s="238"/>
      <c r="B7" s="238"/>
      <c r="C7" s="238"/>
      <c r="D7" s="238"/>
      <c r="E7" s="238" t="s">
        <v>4</v>
      </c>
      <c r="F7" s="238"/>
      <c r="G7" s="238"/>
      <c r="H7" s="238"/>
      <c r="I7" s="238"/>
      <c r="J7" s="238"/>
      <c r="K7" s="238"/>
      <c r="L7" s="261">
        <v>4</v>
      </c>
      <c r="M7" s="261">
        <v>3</v>
      </c>
      <c r="N7" s="261">
        <v>2</v>
      </c>
      <c r="O7" s="261">
        <v>1</v>
      </c>
      <c r="P7" s="261">
        <v>0</v>
      </c>
      <c r="Q7" s="238"/>
      <c r="R7" s="238"/>
      <c r="S7" s="238"/>
      <c r="T7" s="238"/>
      <c r="U7" s="238"/>
      <c r="V7" s="238"/>
      <c r="W7" s="238"/>
      <c r="X7" s="238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4">
      <c r="A9" s="19"/>
      <c r="B9" s="19"/>
      <c r="C9" s="19"/>
      <c r="D9" s="182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4">
      <c r="A11" s="19"/>
      <c r="B11" s="19"/>
      <c r="C11" s="19"/>
      <c r="D11" s="182"/>
      <c r="E11" s="21" t="s">
        <v>168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 ht="13">
      <c r="D13" s="30"/>
      <c r="E13" s="78" t="s">
        <v>53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41</v>
      </c>
      <c r="E14" s="32" t="s">
        <v>169</v>
      </c>
      <c r="F14" s="33" t="s">
        <v>28</v>
      </c>
      <c r="G14" s="77"/>
      <c r="I14" s="79"/>
      <c r="J14" s="79"/>
      <c r="K14" s="79"/>
      <c r="L14" s="50">
        <f>Actual.Totex.Water/Indexation.Average</f>
        <v>146.86001847048044</v>
      </c>
      <c r="M14" s="50">
        <f>Actual.Totex.Water/Indexation.Average</f>
        <v>142.2146204195985</v>
      </c>
      <c r="N14" s="50">
        <f>Actual.Totex.Water/Indexation.Average</f>
        <v>120.31524358196164</v>
      </c>
      <c r="O14" s="50">
        <f>Actual.Totex.Water/Indexation.Average</f>
        <v>119.43393825265115</v>
      </c>
      <c r="P14" s="50">
        <f>Actual.Totex.Water/Indexation.Average</f>
        <v>127.0793890345961</v>
      </c>
      <c r="Q14" s="3"/>
      <c r="R14" s="3"/>
      <c r="S14" s="3"/>
      <c r="T14" s="3"/>
      <c r="X14" s="76"/>
    </row>
    <row r="15" spans="1:29" s="75" customFormat="1">
      <c r="D15" s="30" t="s">
        <v>41</v>
      </c>
      <c r="E15" s="32" t="s">
        <v>170</v>
      </c>
      <c r="F15" s="33" t="s">
        <v>28</v>
      </c>
      <c r="G15" s="77"/>
      <c r="I15" s="79"/>
      <c r="J15" s="79"/>
      <c r="K15" s="79"/>
      <c r="L15" s="50">
        <f>Actual.Totex.Sewerage/Indexation.Average</f>
        <v>160.15678751354719</v>
      </c>
      <c r="M15" s="50">
        <f>Actual.Totex.Sewerage/Indexation.Average</f>
        <v>173.17067298149925</v>
      </c>
      <c r="N15" s="50">
        <f>Actual.Totex.Sewerage/Indexation.Average</f>
        <v>199.45166081492616</v>
      </c>
      <c r="O15" s="50">
        <f>Actual.Totex.Sewerage/Indexation.Average</f>
        <v>206.11320484519644</v>
      </c>
      <c r="P15" s="50">
        <f>Actual.Totex.Sewerage/Indexation.Average</f>
        <v>195.46110123441352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 ht="13">
      <c r="D17" s="30"/>
      <c r="E17" s="78" t="s">
        <v>171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41</v>
      </c>
      <c r="E18" s="32" t="s">
        <v>172</v>
      </c>
      <c r="F18" s="33" t="s">
        <v>28</v>
      </c>
      <c r="G18" s="77"/>
      <c r="I18" s="79"/>
      <c r="J18" s="79"/>
      <c r="K18" s="79"/>
      <c r="L18" s="50">
        <f>SUM(INDEX(Actual.Exclusions.Water,,L6))/Indexation.Average</f>
        <v>4.2025123988179356</v>
      </c>
      <c r="M18" s="50">
        <f>SUM(INDEX(Actual.Exclusions.Water,,M6))/Indexation.Average</f>
        <v>3.2658214723733439</v>
      </c>
      <c r="N18" s="50">
        <f>SUM(INDEX(Actual.Exclusions.Water,,N6))/Indexation.Average</f>
        <v>-5.9368435764814107</v>
      </c>
      <c r="O18" s="50">
        <f>SUM(INDEX(Actual.Exclusions.Water,,O6))/Indexation.Average</f>
        <v>4.5185095387257261</v>
      </c>
      <c r="P18" s="50">
        <f>SUM(INDEX(Actual.Exclusions.Water,,P6))/Indexation.Average</f>
        <v>4.5172932699528294</v>
      </c>
      <c r="Q18" s="3"/>
      <c r="R18" s="3"/>
      <c r="S18" s="3"/>
      <c r="T18" s="3"/>
      <c r="X18" s="76"/>
    </row>
    <row r="19" spans="1:24" s="75" customFormat="1">
      <c r="D19" s="30" t="s">
        <v>41</v>
      </c>
      <c r="E19" s="32" t="s">
        <v>173</v>
      </c>
      <c r="F19" s="33" t="s">
        <v>28</v>
      </c>
      <c r="G19" s="77"/>
      <c r="I19" s="79"/>
      <c r="J19" s="79"/>
      <c r="K19" s="79"/>
      <c r="L19" s="221">
        <f>SUM(Inputs!L66:L72)/Indexation.Average</f>
        <v>4.7504611653603996</v>
      </c>
      <c r="M19" s="221">
        <f>SUM(Inputs!M66:M72)/Indexation.Average</f>
        <v>4.2242389697789227</v>
      </c>
      <c r="N19" s="221">
        <f>SUM(Inputs!N66:N72)/Indexation.Average</f>
        <v>-12.725063704451644</v>
      </c>
      <c r="O19" s="221">
        <f>SUM(Inputs!O66:O72)/Indexation.Average</f>
        <v>6.109621669342042</v>
      </c>
      <c r="P19" s="221">
        <f>SUM(Inputs!P66:P72)/Indexation.Average</f>
        <v>6.1251799831426457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 ht="13">
      <c r="D21" s="30"/>
      <c r="E21" s="78" t="s">
        <v>174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7"/>
      <c r="H22" s="75"/>
      <c r="I22" s="79"/>
      <c r="J22" s="79"/>
      <c r="K22" s="79"/>
      <c r="L22" s="50">
        <f>TransitionExp.Water</f>
        <v>0.51100000000000001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7"/>
      <c r="H23" s="75"/>
      <c r="I23" s="79"/>
      <c r="J23" s="79"/>
      <c r="K23" s="79"/>
      <c r="L23" s="50">
        <f>TransitionExp.Sewerage</f>
        <v>4.4779999999999998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 ht="13">
      <c r="D25" s="30"/>
      <c r="E25" s="78" t="s">
        <v>175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2"/>
      <c r="J26" s="222"/>
      <c r="K26" s="222"/>
      <c r="L26" s="221"/>
      <c r="M26" s="221"/>
      <c r="N26" s="221"/>
      <c r="O26" s="221"/>
      <c r="P26" s="221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2"/>
      <c r="J27" s="222"/>
      <c r="K27" s="222"/>
      <c r="L27" s="221"/>
      <c r="M27" s="221"/>
      <c r="N27" s="221"/>
      <c r="O27" s="221"/>
      <c r="P27" s="221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 ht="13">
      <c r="D29" s="30"/>
      <c r="E29" s="78" t="s">
        <v>176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 ht="13">
      <c r="D30" s="30" t="s">
        <v>41</v>
      </c>
      <c r="E30" s="32" t="s">
        <v>177</v>
      </c>
      <c r="F30" s="33" t="s">
        <v>28</v>
      </c>
      <c r="G30" s="77"/>
      <c r="I30" s="79"/>
      <c r="J30" s="79"/>
      <c r="K30" s="79"/>
      <c r="L30" s="221">
        <f>L14-L18+L22</f>
        <v>143.16850607166251</v>
      </c>
      <c r="M30" s="221">
        <f t="shared" ref="M30:P30" si="2">M14-M18+M22</f>
        <v>138.94879894722516</v>
      </c>
      <c r="N30" s="221">
        <f t="shared" si="2"/>
        <v>126.25208715844305</v>
      </c>
      <c r="O30" s="221">
        <f t="shared" si="2"/>
        <v>114.91542871392542</v>
      </c>
      <c r="P30" s="221">
        <f t="shared" si="2"/>
        <v>122.56209576464327</v>
      </c>
      <c r="Q30" s="59" t="s">
        <v>178</v>
      </c>
      <c r="R30" s="3"/>
      <c r="S30" s="3"/>
      <c r="T30" s="3"/>
      <c r="X30" s="76"/>
    </row>
    <row r="31" spans="1:24" s="75" customFormat="1" ht="13">
      <c r="D31" s="30" t="s">
        <v>41</v>
      </c>
      <c r="E31" s="32" t="s">
        <v>179</v>
      </c>
      <c r="F31" s="33" t="s">
        <v>28</v>
      </c>
      <c r="G31" s="77"/>
      <c r="I31" s="79"/>
      <c r="J31" s="79"/>
      <c r="K31" s="79"/>
      <c r="L31" s="221">
        <f>L15-L19+L23</f>
        <v>159.88432634818679</v>
      </c>
      <c r="M31" s="221">
        <f t="shared" ref="M31:P31" si="3">M15-M19+M23</f>
        <v>168.94643401172033</v>
      </c>
      <c r="N31" s="221">
        <f t="shared" si="3"/>
        <v>212.17672451937781</v>
      </c>
      <c r="O31" s="221">
        <f t="shared" si="3"/>
        <v>200.0035831758544</v>
      </c>
      <c r="P31" s="221">
        <f t="shared" si="3"/>
        <v>189.33592125127086</v>
      </c>
      <c r="Q31" s="59" t="s">
        <v>180</v>
      </c>
      <c r="R31" s="3"/>
      <c r="S31" s="3"/>
      <c r="T31" s="3"/>
      <c r="X31" s="76"/>
    </row>
    <row r="32" spans="1:24" s="75" customFormat="1" ht="13">
      <c r="D32" s="30" t="s">
        <v>41</v>
      </c>
      <c r="E32" s="157" t="s">
        <v>181</v>
      </c>
      <c r="F32" s="33" t="s">
        <v>28</v>
      </c>
      <c r="G32" s="77"/>
      <c r="I32" s="79"/>
      <c r="J32" s="79"/>
      <c r="K32" s="79"/>
      <c r="L32" s="81">
        <f>SUM(L30:L31)</f>
        <v>303.05283241984932</v>
      </c>
      <c r="M32" s="81">
        <f>SUM(M30:M31)</f>
        <v>307.89523295894548</v>
      </c>
      <c r="N32" s="81">
        <f t="shared" ref="N32:P32" si="4">SUM(N30:N31)</f>
        <v>338.42881167782087</v>
      </c>
      <c r="O32" s="81">
        <f t="shared" si="4"/>
        <v>314.91901188977982</v>
      </c>
      <c r="P32" s="81">
        <f t="shared" si="4"/>
        <v>311.89801701591415</v>
      </c>
      <c r="Q32" s="59" t="s">
        <v>182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4">
      <c r="A34" s="19"/>
      <c r="B34" s="19"/>
      <c r="C34" s="19"/>
      <c r="D34" s="182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4">
      <c r="A36" s="19"/>
      <c r="B36" s="19"/>
      <c r="C36" s="19"/>
      <c r="D36" s="182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 ht="13">
      <c r="A38" s="3"/>
      <c r="B38" s="3"/>
      <c r="C38" s="3"/>
      <c r="D38" s="30"/>
      <c r="E38" s="80" t="s">
        <v>185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 ht="13">
      <c r="A39" s="3"/>
      <c r="B39" s="3"/>
      <c r="C39" s="3"/>
      <c r="D39" s="183" t="s">
        <v>15</v>
      </c>
      <c r="E39" s="82" t="s">
        <v>186</v>
      </c>
      <c r="F39" s="39"/>
      <c r="G39" s="87">
        <f>Company.Baseline+Company.Slope*(UB.Chosen-100)</f>
        <v>0.44</v>
      </c>
      <c r="H39" s="89" t="s">
        <v>187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 ht="13">
      <c r="A40" s="3"/>
      <c r="B40" s="3"/>
      <c r="C40" s="3"/>
      <c r="D40" s="30" t="s">
        <v>21</v>
      </c>
      <c r="E40" s="82" t="s">
        <v>188</v>
      </c>
      <c r="F40" s="39"/>
      <c r="G40" s="88">
        <f>Allowed.Exp.Slope*UB.Chosen+Allowed.Exp.Constant</f>
        <v>107.5</v>
      </c>
      <c r="H40" s="89" t="s">
        <v>189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 ht="13">
      <c r="A41" s="3"/>
      <c r="B41" s="3"/>
      <c r="C41" s="3"/>
      <c r="D41" s="30" t="s">
        <v>21</v>
      </c>
      <c r="E41" s="82" t="s">
        <v>190</v>
      </c>
      <c r="F41" s="39"/>
      <c r="G41" s="88">
        <f>Add.Income.2ndOrder*(UB.Chosen^2)+Add.Income.1stOrder*UB.Chosen+Add.Income.Constant</f>
        <v>-4.1999999999999993</v>
      </c>
      <c r="H41" s="89" t="s">
        <v>191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 ht="13">
      <c r="A43" s="3"/>
      <c r="B43" s="3"/>
      <c r="C43" s="3"/>
      <c r="D43" s="30"/>
      <c r="E43" s="80" t="s">
        <v>192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 ht="13">
      <c r="A44" s="3"/>
      <c r="B44" s="3"/>
      <c r="C44" s="3"/>
      <c r="D44" s="183" t="s">
        <v>15</v>
      </c>
      <c r="E44" s="82" t="s">
        <v>193</v>
      </c>
      <c r="F44" s="39"/>
      <c r="G44" s="87">
        <f>Company.Baseline+Company.Slope*(LB.Chosen-100)</f>
        <v>0.54</v>
      </c>
      <c r="H44" s="89" t="s">
        <v>194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 ht="13">
      <c r="A45" s="3"/>
      <c r="B45" s="3"/>
      <c r="C45" s="3"/>
      <c r="D45" s="30" t="s">
        <v>21</v>
      </c>
      <c r="E45" s="82" t="s">
        <v>195</v>
      </c>
      <c r="F45" s="39"/>
      <c r="G45" s="88">
        <f>Allowed.Exp.Slope*LB.Chosen+Allowed.Exp.Constant</f>
        <v>95</v>
      </c>
      <c r="H45" s="89" t="s">
        <v>196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21</v>
      </c>
      <c r="E46" s="82" t="s">
        <v>197</v>
      </c>
      <c r="F46" s="39"/>
      <c r="G46" s="88">
        <f>Add.Income.2ndOrder*(LB.Chosen^2)+Add.Income.1stOrder*LB.Chosen+Add.Income.Constant</f>
        <v>2.3000000000000007</v>
      </c>
      <c r="H46" s="89" t="s">
        <v>198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4">
      <c r="A48" s="19"/>
      <c r="B48" s="19"/>
      <c r="C48" s="19"/>
      <c r="D48" s="182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 ht="13">
      <c r="A50" s="3"/>
      <c r="B50" s="3"/>
      <c r="C50" s="3"/>
      <c r="D50" s="30"/>
      <c r="E50" s="49" t="s">
        <v>200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 ht="13">
      <c r="A51" s="3"/>
      <c r="B51" s="3"/>
      <c r="C51" s="3"/>
      <c r="D51" s="183" t="s">
        <v>15</v>
      </c>
      <c r="E51" s="32" t="s">
        <v>201</v>
      </c>
      <c r="F51" s="39"/>
      <c r="G51" s="87">
        <f>MIN(MAX(Eff.Inc.Constant+Eff.Inc.Slope*FD.Menu.Choice.Water,UB.EffInc),LB.EffInc)</f>
        <v>0.49242892057175991</v>
      </c>
      <c r="H51" s="89" t="s">
        <v>202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 ht="13">
      <c r="A52" s="3"/>
      <c r="B52" s="3"/>
      <c r="C52" s="3"/>
      <c r="D52" s="30" t="s">
        <v>21</v>
      </c>
      <c r="E52" s="32" t="s">
        <v>203</v>
      </c>
      <c r="F52" s="39"/>
      <c r="G52" s="88">
        <f>MIN(MAX(Allowed.Exp.Constant+Allowed.Exp.Slope*FD.Menu.Choice.Water,LB.AllExp),UB.AllExp)</f>
        <v>100.94638492852999</v>
      </c>
      <c r="H52" s="89" t="s">
        <v>204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 ht="13">
      <c r="A53" s="3"/>
      <c r="B53" s="3"/>
      <c r="C53" s="3"/>
      <c r="D53" s="30" t="s">
        <v>21</v>
      </c>
      <c r="E53" s="32" t="s">
        <v>205</v>
      </c>
      <c r="F53" s="39"/>
      <c r="G53" s="88">
        <f>MIN(MAX(Add.Income.Constant+Add.Income.1stOrder*FD.Menu.Choice.Water+Add.Income.2ndOrder*(FD.Menu.Choice.Water^2),UB.AddInc),LB.AddInc)</f>
        <v>-0.48035761972858992</v>
      </c>
      <c r="H53" s="89" t="s">
        <v>206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 ht="13">
      <c r="A55" s="3"/>
      <c r="B55" s="3"/>
      <c r="C55" s="3"/>
      <c r="D55" s="30"/>
      <c r="E55" s="49" t="s">
        <v>207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 ht="13">
      <c r="A56" s="3"/>
      <c r="B56" s="3"/>
      <c r="C56" s="3"/>
      <c r="D56" s="183" t="s">
        <v>15</v>
      </c>
      <c r="E56" s="32" t="s">
        <v>208</v>
      </c>
      <c r="F56" s="39"/>
      <c r="G56" s="87">
        <f>MIN(MAX(Eff.Inc.Constant+Eff.Inc.Slope*FD.Menu.Choice.Sewerage,UB.EffInc),LB.EffInc)</f>
        <v>0.49413137363199394</v>
      </c>
      <c r="H56" s="89" t="s">
        <v>209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 ht="13">
      <c r="A57" s="3"/>
      <c r="B57" s="3"/>
      <c r="C57" s="3"/>
      <c r="D57" s="30" t="s">
        <v>21</v>
      </c>
      <c r="E57" s="32" t="s">
        <v>210</v>
      </c>
      <c r="F57" s="39"/>
      <c r="G57" s="88">
        <f>MIN(MAX(Allowed.Exp.Constant+Allowed.Exp.Slope*FD.Menu.Choice.Sewerage,LB.AllExp),UB.AllExp)</f>
        <v>100.73357829600076</v>
      </c>
      <c r="H57" s="89" t="s">
        <v>211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 ht="13">
      <c r="A58" s="3"/>
      <c r="B58" s="3"/>
      <c r="C58" s="3"/>
      <c r="D58" s="30" t="s">
        <v>21</v>
      </c>
      <c r="E58" s="32" t="s">
        <v>212</v>
      </c>
      <c r="F58" s="39"/>
      <c r="G58" s="88">
        <f>MIN(MAX(Add.Income.Constant+Add.Income.1stOrder*FD.Menu.Choice.Sewerage+Add.Income.2ndOrder*(FD.Menu.Choice.Sewerage^2),UB.AddInc),LB.AddInc)</f>
        <v>-0.37109424493128174</v>
      </c>
      <c r="H58" s="89" t="s">
        <v>213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4">
      <c r="A60" s="19"/>
      <c r="B60" s="19"/>
      <c r="C60" s="19"/>
      <c r="D60" s="182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 ht="13">
      <c r="A62" s="3"/>
      <c r="B62" s="3"/>
      <c r="C62" s="3"/>
      <c r="D62" s="30"/>
      <c r="E62" s="49" t="s">
        <v>200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 ht="13">
      <c r="A63" s="3"/>
      <c r="B63" s="3"/>
      <c r="C63" s="3"/>
      <c r="D63" s="183" t="s">
        <v>15</v>
      </c>
      <c r="E63" s="32" t="s">
        <v>201</v>
      </c>
      <c r="F63" s="39"/>
      <c r="G63" s="87">
        <f>MIN(MAX(Eff.Inc.Constant+Eff.Inc.Slope*Menu.Choice.Water,UB.EffInc),LB.EffInc)</f>
        <v>0.49239999999999995</v>
      </c>
      <c r="H63" s="89" t="s">
        <v>215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 ht="13">
      <c r="A64" s="3"/>
      <c r="B64" s="3"/>
      <c r="C64" s="3"/>
      <c r="D64" s="30" t="s">
        <v>21</v>
      </c>
      <c r="E64" s="32" t="s">
        <v>203</v>
      </c>
      <c r="F64" s="39"/>
      <c r="G64" s="88">
        <f>MIN(MAX(Allowed.Exp.Constant+Allowed.Exp.Slope*Menu.Choice.Water,LB.AllExp),UB.AllExp)</f>
        <v>100.95</v>
      </c>
      <c r="H64" s="89" t="s">
        <v>216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 ht="13">
      <c r="A65" s="3"/>
      <c r="B65" s="3"/>
      <c r="C65" s="3"/>
      <c r="D65" s="30" t="s">
        <v>21</v>
      </c>
      <c r="E65" s="32" t="s">
        <v>205</v>
      </c>
      <c r="F65" s="39"/>
      <c r="G65" s="88">
        <f>MIN(MAX(Add.Income.Constant+Add.Income.1stOrder*Menu.Choice.Water+Add.Income.2ndOrder*(Menu.Choice.Water^2),UB.AddInc),LB.AddInc)</f>
        <v>-0.48221999999999809</v>
      </c>
      <c r="H65" s="89" t="s">
        <v>217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 ht="13">
      <c r="A67" s="3"/>
      <c r="B67" s="3"/>
      <c r="C67" s="3"/>
      <c r="D67" s="30"/>
      <c r="E67" s="49" t="s">
        <v>207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 ht="13">
      <c r="A68" s="3"/>
      <c r="B68" s="3"/>
      <c r="C68" s="3"/>
      <c r="D68" s="183" t="s">
        <v>15</v>
      </c>
      <c r="E68" s="32" t="s">
        <v>208</v>
      </c>
      <c r="F68" s="39"/>
      <c r="G68" s="87">
        <f>MIN(MAX(Eff.Inc.Constant+Eff.Inc.Slope*Menu.Choice.Sewerage,UB.EffInc),LB.EffInc)</f>
        <v>0.49419999999999997</v>
      </c>
      <c r="H68" s="89" t="s">
        <v>218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 ht="13">
      <c r="A69" s="3"/>
      <c r="B69" s="3"/>
      <c r="C69" s="3"/>
      <c r="D69" s="30" t="s">
        <v>21</v>
      </c>
      <c r="E69" s="32" t="s">
        <v>210</v>
      </c>
      <c r="F69" s="39"/>
      <c r="G69" s="88">
        <f>MIN(MAX(Allowed.Exp.Constant+Allowed.Exp.Slope*Menu.Choice.Sewerage,LB.AllExp),UB.AllExp)</f>
        <v>100.72499999999999</v>
      </c>
      <c r="H69" s="89" t="s">
        <v>219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 ht="13">
      <c r="A70" s="3"/>
      <c r="B70" s="3"/>
      <c r="C70" s="3"/>
      <c r="D70" s="30" t="s">
        <v>21</v>
      </c>
      <c r="E70" s="32" t="s">
        <v>212</v>
      </c>
      <c r="F70" s="39"/>
      <c r="G70" s="88">
        <f>MIN(MAX(Add.Income.Constant+Add.Income.1stOrder*Menu.Choice.Sewerage+Add.Income.2ndOrder*(Menu.Choice.Sewerage^2),UB.AddInc),LB.AddInc)</f>
        <v>-0.3667050000000005</v>
      </c>
      <c r="H70" s="89" t="s">
        <v>220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4">
      <c r="A72" s="19"/>
      <c r="B72" s="19"/>
      <c r="C72" s="19"/>
      <c r="D72" s="182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4">
      <c r="A74" s="19"/>
      <c r="B74" s="19"/>
      <c r="C74" s="19"/>
      <c r="D74" s="182"/>
      <c r="E74" s="21" t="s">
        <v>222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 ht="13">
      <c r="A76" s="3"/>
      <c r="B76" s="3"/>
      <c r="C76" s="3"/>
      <c r="D76" s="30"/>
      <c r="E76" s="49" t="s">
        <v>223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15</v>
      </c>
      <c r="E77" s="32" t="s">
        <v>224</v>
      </c>
      <c r="F77" s="3"/>
      <c r="G77" s="201">
        <f>IF(SUM(Baseline.Totex.Water)&lt;&gt;0,SUM(Menu.Totex.Water)/SUM(Baseline.Totex.Water),0)</f>
        <v>0.96286089524417251</v>
      </c>
      <c r="L77" s="3"/>
      <c r="M77" s="3"/>
      <c r="N77" s="3"/>
      <c r="R77" s="76"/>
    </row>
    <row r="78" spans="1:24" s="75" customFormat="1">
      <c r="B78" s="3"/>
      <c r="C78" s="3"/>
      <c r="D78" s="30" t="s">
        <v>21</v>
      </c>
      <c r="E78" s="32" t="s">
        <v>225</v>
      </c>
      <c r="F78" s="39"/>
      <c r="G78" s="88">
        <f>G77*100</f>
        <v>96.28608952441725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 ht="13">
      <c r="B80" s="3"/>
      <c r="C80" s="3"/>
      <c r="D80" s="30" t="s">
        <v>21</v>
      </c>
      <c r="E80" s="32" t="s">
        <v>226</v>
      </c>
      <c r="F80" s="161"/>
      <c r="G80" s="163">
        <f>(AllExp.Coeff.Water-G78)*EffInc.Coeff.Water+AddInc.Coeff.Water</f>
        <v>1.8142895181769494</v>
      </c>
      <c r="L80" s="3"/>
      <c r="M80" s="3"/>
      <c r="N80" s="3"/>
      <c r="R80" s="76"/>
    </row>
    <row r="81" spans="1:24" s="75" customFormat="1">
      <c r="B81" s="3"/>
      <c r="C81" s="3"/>
      <c r="D81" s="183" t="s">
        <v>15</v>
      </c>
      <c r="E81" s="32" t="s">
        <v>227</v>
      </c>
      <c r="F81" s="39"/>
      <c r="G81" s="200">
        <f>G80/100</f>
        <v>1.8142895181769494E-2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 ht="13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15</v>
      </c>
      <c r="E84" s="32" t="s">
        <v>229</v>
      </c>
      <c r="F84" s="3"/>
      <c r="G84" s="201">
        <f>IF(SUM(Baseline.Totex.Sewerage)&lt;&gt;0,SUM(Menu.Totex.Sewerage)/SUM(Baseline.Totex.Sewerage),0)</f>
        <v>0.85855303956252993</v>
      </c>
      <c r="L84" s="3"/>
      <c r="M84" s="3"/>
      <c r="N84" s="3"/>
      <c r="R84" s="76"/>
    </row>
    <row r="85" spans="1:24" s="75" customFormat="1">
      <c r="B85" s="3"/>
      <c r="C85" s="3"/>
      <c r="D85" s="30" t="s">
        <v>21</v>
      </c>
      <c r="E85" s="32" t="s">
        <v>230</v>
      </c>
      <c r="F85" s="39"/>
      <c r="G85" s="88">
        <f>G84*100</f>
        <v>85.855303956252996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21</v>
      </c>
      <c r="E87" s="32" t="s">
        <v>231</v>
      </c>
      <c r="F87" s="39"/>
      <c r="G87" s="162">
        <f>(AllExp.Coeff.Sewerage-G85)*EffInc.Coeff.Sewerage+AddInc.Coeff.Sewerage</f>
        <v>6.9818987848197658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15</v>
      </c>
      <c r="E88" s="32" t="s">
        <v>232</v>
      </c>
      <c r="F88" s="39"/>
      <c r="G88" s="200">
        <f>G87/100</f>
        <v>6.9818987848197664E-2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4">
      <c r="A90" s="19"/>
      <c r="B90" s="19"/>
      <c r="C90" s="19"/>
      <c r="D90" s="182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 ht="13">
      <c r="A92" s="3"/>
      <c r="B92" s="3"/>
      <c r="C92" s="3"/>
      <c r="E92" s="49" t="s">
        <v>234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41</v>
      </c>
      <c r="E93" s="32" t="s">
        <v>235</v>
      </c>
      <c r="F93" s="33" t="s">
        <v>28</v>
      </c>
      <c r="G93" s="153">
        <f>G81*SUM(Baseline.Totex.Water)</f>
        <v>12.169497141521719</v>
      </c>
      <c r="L93" s="3"/>
      <c r="M93" s="3"/>
      <c r="N93" s="3"/>
      <c r="R93" s="76"/>
    </row>
    <row r="94" spans="1:24" s="75" customFormat="1">
      <c r="B94" s="3"/>
      <c r="C94" s="3"/>
      <c r="D94" s="30" t="s">
        <v>41</v>
      </c>
      <c r="E94" s="32" t="s">
        <v>236</v>
      </c>
      <c r="F94" s="33" t="s">
        <v>28</v>
      </c>
      <c r="G94" s="153">
        <f>G88*SUM(Baseline.Totex.Sewerage)</f>
        <v>75.657393483912628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 ht="13">
      <c r="A96" s="75"/>
      <c r="B96" s="3"/>
      <c r="C96" s="3"/>
      <c r="D96" s="75"/>
      <c r="E96" s="49" t="s">
        <v>237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41</v>
      </c>
      <c r="E97" s="32" t="s">
        <v>238</v>
      </c>
      <c r="F97" s="33" t="s">
        <v>28</v>
      </c>
      <c r="G97" s="75"/>
      <c r="H97" s="75"/>
      <c r="I97" s="75"/>
      <c r="J97" s="75"/>
      <c r="K97" s="75"/>
      <c r="L97" s="153">
        <f>FD.AddInc.Coeff.Water/100*Baseline.Totex.Water</f>
        <v>-0.69804452943722717</v>
      </c>
      <c r="M97" s="153">
        <f>FD.AddInc.Coeff.Water/100*Baseline.Totex.Water</f>
        <v>-0.73208975437999313</v>
      </c>
      <c r="N97" s="153">
        <f>FD.AddInc.Coeff.Water/100*Baseline.Totex.Water</f>
        <v>-0.67793021710665502</v>
      </c>
      <c r="O97" s="153">
        <f>FD.AddInc.Coeff.Water/100*Baseline.Totex.Water</f>
        <v>-0.59055979849657159</v>
      </c>
      <c r="P97" s="153">
        <f>FD.AddInc.Coeff.Water/100*Baseline.Totex.Water</f>
        <v>-0.52341420194795141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41</v>
      </c>
      <c r="E98" s="32" t="s">
        <v>239</v>
      </c>
      <c r="F98" s="33" t="s">
        <v>28</v>
      </c>
      <c r="G98" s="75"/>
      <c r="H98" s="75"/>
      <c r="I98" s="75"/>
      <c r="J98" s="75"/>
      <c r="K98" s="75"/>
      <c r="L98" s="153">
        <f>FD.AddInc.Coeff.Sewerage/100*Baseline.Totex.Sewerage</f>
        <v>-0.69980184995240136</v>
      </c>
      <c r="M98" s="153">
        <f>FD.AddInc.Coeff.Sewerage/100*Baseline.Totex.Sewerage</f>
        <v>-0.74454623546262133</v>
      </c>
      <c r="N98" s="153">
        <f>FD.AddInc.Coeff.Sewerage/100*Baseline.Totex.Sewerage</f>
        <v>-0.86054613391020707</v>
      </c>
      <c r="O98" s="153">
        <f>FD.AddInc.Coeff.Sewerage/100*Baseline.Totex.Sewerage</f>
        <v>-0.85769463511010557</v>
      </c>
      <c r="P98" s="153">
        <f>FD.AddInc.Coeff.Sewerage/100*Baseline.Totex.Sewerage</f>
        <v>-0.85867014310629042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 ht="13">
      <c r="A100" s="75"/>
      <c r="B100" s="3"/>
      <c r="C100" s="3"/>
      <c r="D100" s="75"/>
      <c r="E100" s="49" t="s">
        <v>240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41</v>
      </c>
      <c r="E101" s="32" t="s">
        <v>241</v>
      </c>
      <c r="F101" s="33" t="s">
        <v>28</v>
      </c>
      <c r="G101" s="153">
        <f>G93-SUM(L97:P97)</f>
        <v>15.391535642890117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41</v>
      </c>
      <c r="E102" s="32" t="s">
        <v>242</v>
      </c>
      <c r="F102" s="33" t="s">
        <v>28</v>
      </c>
      <c r="G102" s="153">
        <f>G94-SUM(L98:P98)</f>
        <v>79.67865248145425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243</v>
      </c>
      <c r="L103" s="3"/>
      <c r="M103" s="3"/>
      <c r="N103" s="3"/>
      <c r="R103" s="76"/>
    </row>
    <row r="104" spans="1:24" s="75" customFormat="1" ht="13">
      <c r="B104" s="3"/>
      <c r="C104" s="3"/>
      <c r="E104" s="49" t="s">
        <v>244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41</v>
      </c>
      <c r="E105" s="32" t="s">
        <v>245</v>
      </c>
      <c r="F105" s="33" t="s">
        <v>28</v>
      </c>
      <c r="G105" s="153"/>
      <c r="L105" s="153">
        <f>IF(SUM(Baseline.Totex.Water)=0,0,$G101*(Baseline.Totex.Water/SUM(Baseline.Totex.Water)))</f>
        <v>3.3345278930076656</v>
      </c>
      <c r="M105" s="153">
        <f>IF(SUM(Baseline.Totex.Water)=0,0,$G101*(Baseline.Totex.Water/SUM(Baseline.Totex.Water)))</f>
        <v>3.4971604291968665</v>
      </c>
      <c r="N105" s="153">
        <f>IF(SUM(Baseline.Totex.Water)=0,0,$G101*(Baseline.Totex.Water/SUM(Baseline.Totex.Water)))</f>
        <v>3.2384427112083971</v>
      </c>
      <c r="O105" s="153">
        <f>IF(SUM(Baseline.Totex.Water)=0,0,$G101*(Baseline.Totex.Water/SUM(Baseline.Totex.Water)))</f>
        <v>2.8210780795939061</v>
      </c>
      <c r="P105" s="153">
        <f>IF(SUM(Baseline.Totex.Water)=0,0,$G101*(Baseline.Totex.Water/SUM(Baseline.Totex.Water)))</f>
        <v>2.5003265298832833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41</v>
      </c>
      <c r="E106" s="32" t="s">
        <v>246</v>
      </c>
      <c r="F106" s="33" t="s">
        <v>28</v>
      </c>
      <c r="G106" s="153"/>
      <c r="L106" s="153">
        <f>IF(SUM(Baseline.Totex.Sewerage)=0,0,$G102*(Baseline.Totex.Sewerage/SUM(Baseline.Totex.Sewerage)))</f>
        <v>13.866122137948411</v>
      </c>
      <c r="M106" s="153">
        <f>IF(SUM(Baseline.Totex.Sewerage)=0,0,$G102*(Baseline.Totex.Sewerage/SUM(Baseline.Totex.Sewerage)))</f>
        <v>14.752703267327192</v>
      </c>
      <c r="N106" s="153">
        <f>IF(SUM(Baseline.Totex.Sewerage)=0,0,$G102*(Baseline.Totex.Sewerage/SUM(Baseline.Totex.Sewerage)))</f>
        <v>17.051166410820223</v>
      </c>
      <c r="O106" s="153">
        <f>IF(SUM(Baseline.Totex.Sewerage)=0,0,$G102*(Baseline.Totex.Sewerage/SUM(Baseline.Totex.Sewerage)))</f>
        <v>16.994665801910557</v>
      </c>
      <c r="P106" s="153">
        <f>IF(SUM(Baseline.Totex.Sewerage)=0,0,$G102*(Baseline.Totex.Sewerage/SUM(Baseline.Totex.Sewerage)))</f>
        <v>17.013994863447856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 ht="13">
      <c r="A108" s="75"/>
      <c r="B108" s="3"/>
      <c r="C108" s="3"/>
      <c r="D108" s="75"/>
      <c r="E108" s="49" t="s">
        <v>247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41</v>
      </c>
      <c r="E109" s="32" t="s">
        <v>245</v>
      </c>
      <c r="F109" s="33" t="s">
        <v>28</v>
      </c>
      <c r="G109" s="153"/>
      <c r="H109" s="75"/>
      <c r="I109" s="75"/>
      <c r="J109" s="75"/>
      <c r="K109" s="75"/>
      <c r="L109" s="153">
        <f>L105*(1+WACC)^Calcs!L7</f>
        <v>3.8412571021567037</v>
      </c>
      <c r="M109" s="153">
        <f>M105*(1+WACC)^Calcs!M7</f>
        <v>3.8886138788158302</v>
      </c>
      <c r="N109" s="153">
        <f>N105*(1+WACC)^Calcs!N7</f>
        <v>3.475807608169128</v>
      </c>
      <c r="O109" s="153">
        <f>O105*(1+WACC)^Calcs!O7</f>
        <v>2.922636890459287</v>
      </c>
      <c r="P109" s="153">
        <f>P105*(1+WACC)^Calcs!P7</f>
        <v>2.5003265298832833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41</v>
      </c>
      <c r="E110" s="32" t="s">
        <v>246</v>
      </c>
      <c r="F110" s="33" t="s">
        <v>28</v>
      </c>
      <c r="G110" s="153"/>
      <c r="H110" s="75"/>
      <c r="I110" s="75"/>
      <c r="J110" s="75"/>
      <c r="K110" s="75"/>
      <c r="L110" s="153">
        <f>L106*(1+WACC)^Calcs!L7</f>
        <v>15.973277732496143</v>
      </c>
      <c r="M110" s="153">
        <f>M106*(1+WACC)^Calcs!M7</f>
        <v>16.404042032625537</v>
      </c>
      <c r="N110" s="153">
        <f>N106*(1+WACC)^Calcs!N7</f>
        <v>18.300948704067704</v>
      </c>
      <c r="O110" s="153">
        <f>O106*(1+WACC)^Calcs!O7</f>
        <v>17.606473770779338</v>
      </c>
      <c r="P110" s="153">
        <f>P106*(1+WACC)^Calcs!P7</f>
        <v>17.013994863447856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 ht="13">
      <c r="A112" s="3"/>
      <c r="B112" s="3"/>
      <c r="C112" s="3"/>
      <c r="D112" s="75"/>
      <c r="E112" s="151" t="s">
        <v>127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41</v>
      </c>
      <c r="E113" s="152" t="s">
        <v>248</v>
      </c>
      <c r="F113" s="33" t="s">
        <v>28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16.628642009484231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41</v>
      </c>
      <c r="E114" s="152" t="s">
        <v>249</v>
      </c>
      <c r="F114" s="33" t="s">
        <v>28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85.298737103416585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4">
      <c r="A116" s="19"/>
      <c r="B116" s="19"/>
      <c r="C116" s="19"/>
      <c r="D116" s="182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 ht="13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 ht="13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 ht="13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 ht="13">
      <c r="A122" s="3"/>
      <c r="B122" s="3"/>
      <c r="C122" s="3"/>
      <c r="D122" s="75"/>
      <c r="E122" s="49" t="s">
        <v>251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 ht="13">
      <c r="A125" s="3"/>
      <c r="B125" s="3"/>
      <c r="C125" s="3"/>
      <c r="D125" s="75"/>
      <c r="E125" s="49" t="s">
        <v>253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 ht="13">
      <c r="A129" s="3"/>
      <c r="B129" s="3"/>
      <c r="C129" s="3"/>
      <c r="D129" s="75"/>
      <c r="E129" s="151" t="s">
        <v>255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41</v>
      </c>
      <c r="E130" s="32" t="s">
        <v>254</v>
      </c>
      <c r="F130" s="33" t="s">
        <v>28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4">
      <c r="A133" s="19"/>
      <c r="B133" s="19"/>
      <c r="C133" s="19"/>
      <c r="D133" s="182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 ht="13">
      <c r="A135" s="3"/>
      <c r="B135" s="3"/>
      <c r="C135" s="3"/>
      <c r="D135" s="25"/>
      <c r="E135" s="27" t="s">
        <v>257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258</v>
      </c>
      <c r="X135" s="76"/>
    </row>
    <row r="136" spans="1:24" s="206" customFormat="1">
      <c r="A136" s="75"/>
      <c r="B136" s="3"/>
      <c r="C136" s="3"/>
      <c r="D136" s="30" t="s">
        <v>41</v>
      </c>
      <c r="E136" s="32" t="s">
        <v>259</v>
      </c>
      <c r="F136" s="33" t="s">
        <v>28</v>
      </c>
      <c r="G136" s="153"/>
      <c r="H136" s="75"/>
      <c r="I136" s="75"/>
      <c r="J136" s="75"/>
      <c r="K136" s="75"/>
      <c r="L136" s="153">
        <f>Baseline.Totex.Water*(FD.AllExp.Coeff.Water/100)</f>
        <v>146.6929405754797</v>
      </c>
      <c r="M136" s="153">
        <f>Baseline.Totex.Water*(FD.AllExp.Coeff.Water/100)</f>
        <v>153.84749010462565</v>
      </c>
      <c r="N136" s="153">
        <f>Baseline.Totex.Water*(FD.AllExp.Coeff.Water/100)</f>
        <v>142.46595003405378</v>
      </c>
      <c r="O136" s="153">
        <f>Baseline.Totex.Water*(FD.AllExp.Coeff.Water/100)</f>
        <v>124.10519640769606</v>
      </c>
      <c r="P136" s="153">
        <f>Baseline.Totex.Water*(FD.AllExp.Coeff.Water/100)</f>
        <v>109.9946567658298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41</v>
      </c>
      <c r="E137" s="32" t="s">
        <v>260</v>
      </c>
      <c r="F137" s="33" t="s">
        <v>28</v>
      </c>
      <c r="G137" s="153"/>
      <c r="H137" s="75"/>
      <c r="I137" s="75"/>
      <c r="J137" s="75"/>
      <c r="K137" s="75"/>
      <c r="L137" s="153">
        <f>Baseline.Totex.Sewerage*(FD.AllExp.Coeff.Sewerage/100)</f>
        <v>189.96129799027253</v>
      </c>
      <c r="M137" s="153">
        <f>Baseline.Totex.Sewerage*(FD.AllExp.Coeff.Sewerage/100)</f>
        <v>202.10716692428102</v>
      </c>
      <c r="N137" s="153">
        <f>Baseline.Totex.Sewerage*(FD.AllExp.Coeff.Sewerage/100)</f>
        <v>233.59535358360748</v>
      </c>
      <c r="O137" s="153">
        <f>Baseline.Totex.Sewerage*(FD.AllExp.Coeff.Sewerage/100)</f>
        <v>232.82131388462437</v>
      </c>
      <c r="P137" s="153">
        <f>Baseline.Totex.Sewerage*(FD.AllExp.Coeff.Sewerage/100)</f>
        <v>233.08611564982084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 ht="13">
      <c r="A139" s="75"/>
      <c r="B139" s="3"/>
      <c r="C139" s="3"/>
      <c r="D139" s="30"/>
      <c r="E139" s="27" t="s">
        <v>47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261</v>
      </c>
      <c r="X139" s="76"/>
    </row>
    <row r="140" spans="1:24" s="206" customFormat="1">
      <c r="A140" s="75"/>
      <c r="B140" s="3"/>
      <c r="C140" s="3"/>
      <c r="D140" s="30" t="s">
        <v>41</v>
      </c>
      <c r="E140" s="32" t="s">
        <v>48</v>
      </c>
      <c r="F140" s="33" t="s">
        <v>28</v>
      </c>
      <c r="G140" s="210"/>
      <c r="H140" s="75"/>
      <c r="I140" s="75"/>
      <c r="J140" s="75"/>
      <c r="K140" s="75"/>
      <c r="L140" s="153">
        <f>Inputs!L46</f>
        <v>147.53962738978299</v>
      </c>
      <c r="M140" s="153">
        <f>Inputs!M46</f>
        <v>154.60334400658601</v>
      </c>
      <c r="N140" s="153">
        <f>Inputs!N46</f>
        <v>143.22180393601499</v>
      </c>
      <c r="O140" s="153">
        <f>Inputs!O46</f>
        <v>124.861050309657</v>
      </c>
      <c r="P140" s="153">
        <f>Inputs!P46</f>
        <v>110.750510667791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41</v>
      </c>
      <c r="E141" s="32" t="s">
        <v>50</v>
      </c>
      <c r="F141" s="33" t="s">
        <v>28</v>
      </c>
      <c r="G141" s="153"/>
      <c r="H141" s="75"/>
      <c r="I141" s="75"/>
      <c r="J141" s="75"/>
      <c r="K141" s="75"/>
      <c r="L141" s="153">
        <f>Inputs!L47</f>
        <v>190.39644550214001</v>
      </c>
      <c r="M141" s="153">
        <f>Inputs!M47</f>
        <v>202.38331443614899</v>
      </c>
      <c r="N141" s="153">
        <f>Inputs!N47</f>
        <v>233.871501095475</v>
      </c>
      <c r="O141" s="153">
        <f>Inputs!O47</f>
        <v>233.09746139649201</v>
      </c>
      <c r="P141" s="153">
        <f>Inputs!P47</f>
        <v>233.36226316168899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 ht="13">
      <c r="A143" s="75"/>
      <c r="B143" s="3"/>
      <c r="C143" s="3"/>
      <c r="D143" s="30"/>
      <c r="E143" s="27" t="s">
        <v>262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5"/>
      <c r="I144" s="75"/>
      <c r="J144" s="75"/>
      <c r="K144" s="75"/>
      <c r="L144" s="153">
        <f>L140-L136</f>
        <v>0.84668681430329684</v>
      </c>
      <c r="M144" s="153">
        <f t="shared" ref="M144:P144" si="5">M140-M136</f>
        <v>0.75585390196036428</v>
      </c>
      <c r="N144" s="153">
        <f t="shared" si="5"/>
        <v>0.75585390196121693</v>
      </c>
      <c r="O144" s="153">
        <f t="shared" si="5"/>
        <v>0.75585390196094693</v>
      </c>
      <c r="P144" s="153">
        <f t="shared" si="5"/>
        <v>0.75585390196120272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41</v>
      </c>
      <c r="E145" s="32" t="s">
        <v>264</v>
      </c>
      <c r="F145" s="33" t="s">
        <v>28</v>
      </c>
      <c r="G145" s="153"/>
      <c r="H145" s="75"/>
      <c r="I145" s="75"/>
      <c r="J145" s="75"/>
      <c r="K145" s="75"/>
      <c r="L145" s="153">
        <f>L141-L137</f>
        <v>0.43514751186748413</v>
      </c>
      <c r="M145" s="153">
        <f t="shared" ref="M145:P145" si="6">M141-M137</f>
        <v>0.27614751186797548</v>
      </c>
      <c r="N145" s="153">
        <f t="shared" si="6"/>
        <v>0.27614751186752073</v>
      </c>
      <c r="O145" s="153">
        <f t="shared" si="6"/>
        <v>0.27614751186763442</v>
      </c>
      <c r="P145" s="153">
        <f t="shared" si="6"/>
        <v>0.27614751186814601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 ht="13">
      <c r="A147" s="75"/>
      <c r="B147" s="3"/>
      <c r="C147" s="3"/>
      <c r="D147" s="30"/>
      <c r="E147" s="27" t="s">
        <v>265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 ht="13">
      <c r="A148" s="75"/>
      <c r="B148" s="3"/>
      <c r="C148" s="3"/>
      <c r="D148" s="30" t="s">
        <v>41</v>
      </c>
      <c r="E148" s="32" t="s">
        <v>266</v>
      </c>
      <c r="F148" s="33" t="s">
        <v>28</v>
      </c>
      <c r="G148" s="153"/>
      <c r="H148" s="75"/>
      <c r="I148" s="75"/>
      <c r="J148" s="75"/>
      <c r="K148" s="75"/>
      <c r="L148" s="153">
        <f>Baseline.Totex.Water*(AllExp.Coeff.Water/100)</f>
        <v>146.69819391332535</v>
      </c>
      <c r="M148" s="153">
        <f>Baseline.Totex.Water*(AllExp.Coeff.Water/100)</f>
        <v>153.85299965974843</v>
      </c>
      <c r="N148" s="153">
        <f>Baseline.Totex.Water*(AllExp.Coeff.Water/100)</f>
        <v>142.47105199577121</v>
      </c>
      <c r="O148" s="153">
        <f>Baseline.Totex.Water*(AllExp.Coeff.Water/100)</f>
        <v>124.10964083782727</v>
      </c>
      <c r="P148" s="153">
        <f>Baseline.Totex.Water*(AllExp.Coeff.Water/100)</f>
        <v>109.9985958721763</v>
      </c>
      <c r="Q148" s="89" t="s">
        <v>267</v>
      </c>
      <c r="R148" s="3"/>
      <c r="S148" s="3"/>
      <c r="T148" s="3"/>
      <c r="U148" s="75"/>
      <c r="V148" s="75"/>
      <c r="W148" s="75"/>
      <c r="X148" s="76"/>
    </row>
    <row r="149" spans="1:24" s="192" customFormat="1" ht="13">
      <c r="A149" s="75"/>
      <c r="B149" s="3"/>
      <c r="C149" s="3"/>
      <c r="D149" s="30" t="s">
        <v>41</v>
      </c>
      <c r="E149" s="32" t="s">
        <v>268</v>
      </c>
      <c r="F149" s="33" t="s">
        <v>28</v>
      </c>
      <c r="G149" s="153"/>
      <c r="H149" s="75"/>
      <c r="I149" s="75"/>
      <c r="J149" s="75"/>
      <c r="K149" s="75"/>
      <c r="L149" s="153">
        <f>Baseline.Totex.Sewerage*(AllExp.Coeff.Sewerage/100)</f>
        <v>189.94512121714072</v>
      </c>
      <c r="M149" s="153">
        <f>Baseline.Totex.Sewerage*(AllExp.Coeff.Sewerage/100)</f>
        <v>202.0899558301148</v>
      </c>
      <c r="N149" s="153">
        <f>Baseline.Totex.Sewerage*(AllExp.Coeff.Sewerage/100)</f>
        <v>233.57546101033313</v>
      </c>
      <c r="O149" s="153">
        <f>Baseline.Totex.Sewerage*(AllExp.Coeff.Sewerage/100)</f>
        <v>232.801487227222</v>
      </c>
      <c r="P149" s="153">
        <f>Baseline.Totex.Sewerage*(AllExp.Coeff.Sewerage/100)</f>
        <v>233.06626644236158</v>
      </c>
      <c r="Q149" s="89" t="s">
        <v>269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 ht="13">
      <c r="A151" s="75"/>
      <c r="B151" s="3"/>
      <c r="C151" s="3"/>
      <c r="D151" s="30"/>
      <c r="E151" s="27" t="s">
        <v>270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41</v>
      </c>
      <c r="E152" s="32" t="s">
        <v>271</v>
      </c>
      <c r="F152" s="33" t="s">
        <v>28</v>
      </c>
      <c r="G152" s="153"/>
      <c r="H152" s="75"/>
      <c r="I152" s="75"/>
      <c r="J152" s="75"/>
      <c r="K152" s="75"/>
      <c r="L152" s="153">
        <f>L148+L144</f>
        <v>147.54488072762865</v>
      </c>
      <c r="M152" s="153">
        <f t="shared" ref="M152:P152" si="7">M148+M144</f>
        <v>154.6088535617088</v>
      </c>
      <c r="N152" s="153">
        <f t="shared" si="7"/>
        <v>143.22690589773242</v>
      </c>
      <c r="O152" s="153">
        <f t="shared" si="7"/>
        <v>124.86549473978822</v>
      </c>
      <c r="P152" s="153">
        <f t="shared" si="7"/>
        <v>110.7544497741375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41</v>
      </c>
      <c r="E153" s="32" t="s">
        <v>272</v>
      </c>
      <c r="F153" s="33" t="s">
        <v>28</v>
      </c>
      <c r="G153" s="153"/>
      <c r="H153" s="75"/>
      <c r="I153" s="75"/>
      <c r="J153" s="75"/>
      <c r="K153" s="75"/>
      <c r="L153" s="153">
        <f>L149+L145</f>
        <v>190.38026872900821</v>
      </c>
      <c r="M153" s="153">
        <f t="shared" ref="M153:P153" si="8">M149+M145</f>
        <v>202.36610334198278</v>
      </c>
      <c r="N153" s="153">
        <f t="shared" si="8"/>
        <v>233.85160852220065</v>
      </c>
      <c r="O153" s="153">
        <f t="shared" si="8"/>
        <v>233.07763473908963</v>
      </c>
      <c r="P153" s="153">
        <f t="shared" si="8"/>
        <v>233.34241395422973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 ht="13">
      <c r="A155" s="75"/>
      <c r="B155" s="3"/>
      <c r="C155" s="3"/>
      <c r="D155" s="30"/>
      <c r="E155" s="27" t="s">
        <v>273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41</v>
      </c>
      <c r="E156" s="32" t="s">
        <v>274</v>
      </c>
      <c r="F156" s="33" t="s">
        <v>28</v>
      </c>
      <c r="G156" s="153"/>
      <c r="H156" s="75"/>
      <c r="I156" s="75"/>
      <c r="J156" s="75"/>
      <c r="K156" s="75"/>
      <c r="L156" s="153">
        <f t="shared" ref="L156:P157" si="9">L148-L136</f>
        <v>5.2533378456587343E-3</v>
      </c>
      <c r="M156" s="153">
        <f t="shared" si="9"/>
        <v>5.5095551227850592E-3</v>
      </c>
      <c r="N156" s="153">
        <f t="shared" si="9"/>
        <v>5.1019617174290488E-3</v>
      </c>
      <c r="O156" s="153">
        <f t="shared" si="9"/>
        <v>4.4444301312154266E-3</v>
      </c>
      <c r="P156" s="153">
        <f t="shared" si="9"/>
        <v>3.939106346493304E-3</v>
      </c>
      <c r="Q156" s="75"/>
      <c r="R156" s="3"/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41</v>
      </c>
      <c r="E157" s="32" t="s">
        <v>275</v>
      </c>
      <c r="F157" s="33" t="s">
        <v>28</v>
      </c>
      <c r="G157" s="153"/>
      <c r="H157" s="75"/>
      <c r="I157" s="75"/>
      <c r="J157" s="75"/>
      <c r="K157" s="75"/>
      <c r="L157" s="153">
        <f t="shared" si="9"/>
        <v>-1.6176773131803657E-2</v>
      </c>
      <c r="M157" s="153">
        <f t="shared" si="9"/>
        <v>-1.7211094166214025E-2</v>
      </c>
      <c r="N157" s="153">
        <f t="shared" si="9"/>
        <v>-1.9892573274347569E-2</v>
      </c>
      <c r="O157" s="153">
        <f t="shared" si="9"/>
        <v>-1.9826657402376213E-2</v>
      </c>
      <c r="P157" s="153">
        <f t="shared" si="9"/>
        <v>-1.9849207459259333E-2</v>
      </c>
      <c r="Q157" s="75"/>
      <c r="R157" s="3"/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4">
      <c r="A159" s="19"/>
      <c r="B159" s="19"/>
      <c r="C159" s="19"/>
      <c r="D159" s="182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 ht="13">
      <c r="B161" s="3"/>
      <c r="C161" s="3"/>
      <c r="E161" s="49" t="s">
        <v>277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 ht="13">
      <c r="B162" s="3"/>
      <c r="C162" s="3"/>
      <c r="D162" s="30" t="s">
        <v>41</v>
      </c>
      <c r="E162" s="32" t="s">
        <v>278</v>
      </c>
      <c r="F162" s="33" t="s">
        <v>28</v>
      </c>
      <c r="L162" s="218">
        <f>(Actual.Totex.Water-SUM(Inputs!L60:L64))/Indexation.Average+TransitionExp.Water-L148</f>
        <v>-3.5296878416628488</v>
      </c>
      <c r="M162" s="218">
        <f>(Actual.Totex.Water-SUM(Inputs!M60:M64))/Indexation.Average-M148</f>
        <v>-14.904200712523306</v>
      </c>
      <c r="N162" s="218">
        <f>(Actual.Totex.Water-SUM(Inputs!N60:N64))/Indexation.Average-N148</f>
        <v>-16.218964837328144</v>
      </c>
      <c r="O162" s="218">
        <f>(Actual.Totex.Water-SUM(Inputs!O60:O64))/Indexation.Average-O148</f>
        <v>-9.1942121239018633</v>
      </c>
      <c r="P162" s="218">
        <f>(Actual.Totex.Water-SUM(Inputs!P60:P64))/Indexation.Average-P148</f>
        <v>12.563499892466979</v>
      </c>
      <c r="Q162" s="161"/>
      <c r="R162" s="3"/>
      <c r="S162" s="3"/>
      <c r="T162" s="3"/>
      <c r="W162" s="211" t="s">
        <v>279</v>
      </c>
      <c r="X162" s="76"/>
    </row>
    <row r="163" spans="1:24" s="75" customFormat="1" ht="13">
      <c r="B163" s="3"/>
      <c r="C163" s="3"/>
      <c r="D163" s="30" t="s">
        <v>41</v>
      </c>
      <c r="E163" s="32" t="s">
        <v>280</v>
      </c>
      <c r="F163" s="33" t="s">
        <v>28</v>
      </c>
      <c r="K163" s="153"/>
      <c r="L163" s="218">
        <f>(Actual.Totex.Sewerage-SUM(Inputs!L66:L72))/Indexation.Average+TransitionExp.Sewerage-L149</f>
        <v>-30.060794868953934</v>
      </c>
      <c r="M163" s="218">
        <f>(Actual.Totex.Sewerage-SUM(Inputs!M66:M72))/Indexation.Average-M149</f>
        <v>-33.143521818394476</v>
      </c>
      <c r="N163" s="218">
        <f>(Actual.Totex.Sewerage-SUM(Inputs!N66:N72))/Indexation.Average-N149</f>
        <v>-21.398736490955315</v>
      </c>
      <c r="O163" s="218">
        <f>(Actual.Totex.Sewerage-SUM(Inputs!O66:O72))/Indexation.Average-O149</f>
        <v>-32.797904051367595</v>
      </c>
      <c r="P163" s="218">
        <f>(Actual.Totex.Sewerage-SUM(Inputs!P66:P72))/Indexation.Average-P149</f>
        <v>-43.73034519109072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 ht="13">
      <c r="B165" s="3"/>
      <c r="C165" s="3"/>
      <c r="E165" s="49" t="s">
        <v>281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 ht="13">
      <c r="B166" s="3"/>
      <c r="C166" s="3"/>
      <c r="D166" s="30" t="s">
        <v>41</v>
      </c>
      <c r="E166" s="32" t="s">
        <v>282</v>
      </c>
      <c r="F166" s="33" t="s">
        <v>28</v>
      </c>
      <c r="G166" s="153"/>
      <c r="L166" s="153">
        <f>L162+L156</f>
        <v>-3.52443450381719</v>
      </c>
      <c r="M166" s="153">
        <f t="shared" ref="L166:P167" si="10">M162+M156</f>
        <v>-14.898691157400521</v>
      </c>
      <c r="N166" s="153">
        <f t="shared" si="10"/>
        <v>-16.213862875610715</v>
      </c>
      <c r="O166" s="153">
        <f t="shared" si="10"/>
        <v>-9.1897676937706478</v>
      </c>
      <c r="P166" s="153">
        <f t="shared" si="10"/>
        <v>12.567438998813472</v>
      </c>
      <c r="Q166" s="89" t="s">
        <v>283</v>
      </c>
      <c r="R166" s="3"/>
      <c r="S166" s="3"/>
      <c r="T166" s="3"/>
      <c r="X166" s="76"/>
    </row>
    <row r="167" spans="1:24" s="75" customFormat="1" ht="13">
      <c r="B167" s="3"/>
      <c r="C167" s="3"/>
      <c r="D167" s="30" t="s">
        <v>41</v>
      </c>
      <c r="E167" s="32" t="s">
        <v>284</v>
      </c>
      <c r="F167" s="33" t="s">
        <v>28</v>
      </c>
      <c r="G167" s="153"/>
      <c r="L167" s="153">
        <f t="shared" si="10"/>
        <v>-30.076971642085738</v>
      </c>
      <c r="M167" s="153">
        <f t="shared" si="10"/>
        <v>-33.16073291256069</v>
      </c>
      <c r="N167" s="153">
        <f t="shared" si="10"/>
        <v>-21.418629064229663</v>
      </c>
      <c r="O167" s="153">
        <f t="shared" si="10"/>
        <v>-32.817730708769972</v>
      </c>
      <c r="P167" s="153">
        <f t="shared" si="10"/>
        <v>-43.750194398549979</v>
      </c>
      <c r="Q167" s="89" t="s">
        <v>285</v>
      </c>
      <c r="R167" s="3"/>
      <c r="S167" s="3"/>
      <c r="T167" s="3"/>
      <c r="X167" s="76"/>
    </row>
    <row r="168" spans="1:24" s="75" customFormat="1" ht="13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 ht="13">
      <c r="B169" s="3"/>
      <c r="C169" s="3"/>
      <c r="E169" s="49" t="s">
        <v>286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41</v>
      </c>
      <c r="E170" s="32" t="s">
        <v>287</v>
      </c>
      <c r="F170" s="33" t="s">
        <v>28</v>
      </c>
      <c r="J170" s="153"/>
      <c r="K170" s="153"/>
      <c r="L170" s="153">
        <f>L166*(1+WACC)^Calcs!L7</f>
        <v>-4.0600227388299723</v>
      </c>
      <c r="M170" s="153">
        <f>M166*(1+WACC)^Calcs!M7</f>
        <v>-16.566371026954389</v>
      </c>
      <c r="N170" s="153">
        <f>N166*(1+WACC)^Calcs!N7</f>
        <v>-17.402274168941478</v>
      </c>
      <c r="O170" s="153">
        <f>O166*(1+WACC)^Calcs!O7</f>
        <v>-9.520599330746391</v>
      </c>
      <c r="P170" s="153">
        <f>P166*(1+WACC)^Calcs!P7</f>
        <v>12.567438998813472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41</v>
      </c>
      <c r="E171" s="32" t="s">
        <v>288</v>
      </c>
      <c r="F171" s="33" t="s">
        <v>28</v>
      </c>
      <c r="J171" s="153"/>
      <c r="K171" s="153"/>
      <c r="L171" s="153">
        <f>L167*(1+WACC)^Calcs!L7</f>
        <v>-34.647597692553482</v>
      </c>
      <c r="M171" s="153">
        <f>M167*(1+WACC)^Calcs!M7</f>
        <v>-36.872568143836048</v>
      </c>
      <c r="N171" s="153">
        <f>N167*(1+WACC)^Calcs!N7</f>
        <v>-22.988528900121441</v>
      </c>
      <c r="O171" s="153">
        <f>O167*(1+WACC)^Calcs!O7</f>
        <v>-33.999169014285691</v>
      </c>
      <c r="P171" s="153">
        <f>P167*(1+WACC)^Calcs!P7</f>
        <v>-43.750194398549979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 ht="13">
      <c r="B173" s="3"/>
      <c r="C173" s="3"/>
      <c r="E173" s="151" t="s">
        <v>289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 ht="13">
      <c r="B174" s="3"/>
      <c r="C174" s="3"/>
      <c r="D174" s="184" t="s">
        <v>41</v>
      </c>
      <c r="E174" s="152" t="s">
        <v>290</v>
      </c>
      <c r="F174" s="33" t="s">
        <v>28</v>
      </c>
      <c r="L174" s="77"/>
      <c r="P174" s="88">
        <f>SUM(L170:P170)</f>
        <v>-34.981828266658759</v>
      </c>
      <c r="Q174" s="89"/>
      <c r="R174" s="3"/>
      <c r="S174" s="3"/>
      <c r="T174" s="3"/>
      <c r="X174" s="76"/>
    </row>
    <row r="175" spans="1:24" s="75" customFormat="1" ht="13">
      <c r="B175" s="3"/>
      <c r="C175" s="3"/>
      <c r="D175" s="184" t="s">
        <v>41</v>
      </c>
      <c r="E175" s="152" t="s">
        <v>291</v>
      </c>
      <c r="F175" s="33" t="s">
        <v>28</v>
      </c>
      <c r="L175" s="77"/>
      <c r="P175" s="88">
        <f>SUM(L171:P171)</f>
        <v>-172.25805814934665</v>
      </c>
      <c r="Q175" s="89"/>
      <c r="R175" s="3"/>
      <c r="S175" s="3"/>
      <c r="T175" s="3"/>
      <c r="X175" s="76"/>
    </row>
    <row r="176" spans="1:24" s="75" customFormat="1" ht="13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4">
      <c r="A177" s="19"/>
      <c r="B177" s="19"/>
      <c r="C177" s="19"/>
      <c r="D177" s="182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 ht="13">
      <c r="A179" s="3"/>
      <c r="B179" s="3"/>
      <c r="C179" s="3"/>
      <c r="E179" s="49" t="s">
        <v>293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 ht="13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53"/>
      <c r="L180" s="223">
        <f>(Inputs!L72/Indexation.Average)-Inputs!L151</f>
        <v>0</v>
      </c>
      <c r="M180" s="223">
        <f>(Inputs!M72/Indexation.Average)-Inputs!M151</f>
        <v>0</v>
      </c>
      <c r="N180" s="223">
        <f>(Inputs!N72/Indexation.Average)-Inputs!N151</f>
        <v>0</v>
      </c>
      <c r="O180" s="223">
        <f>(Inputs!O72/Indexation.Average)-Inputs!O151</f>
        <v>0</v>
      </c>
      <c r="P180" s="223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 ht="13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 ht="13">
      <c r="A182" s="3"/>
      <c r="B182" s="3"/>
      <c r="C182" s="3"/>
      <c r="E182" s="49" t="s">
        <v>295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53"/>
      <c r="K183" s="153"/>
      <c r="L183" s="223">
        <f>L180*(1+WACC)^Calcs!L7</f>
        <v>0</v>
      </c>
      <c r="M183" s="223">
        <f>M180*(1+WACC)^Calcs!M7</f>
        <v>0</v>
      </c>
      <c r="N183" s="223">
        <f>N180*(1+WACC)^Calcs!N7</f>
        <v>0</v>
      </c>
      <c r="O183" s="223">
        <f>O180*(1+WACC)^Calcs!O7</f>
        <v>0</v>
      </c>
      <c r="P183" s="223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 ht="13">
      <c r="A185" s="3"/>
      <c r="B185" s="3"/>
      <c r="C185" s="3"/>
      <c r="E185" s="151" t="s">
        <v>297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 ht="13">
      <c r="A186" s="3"/>
      <c r="B186" s="3"/>
      <c r="C186" s="3"/>
      <c r="D186" s="184" t="s">
        <v>41</v>
      </c>
      <c r="E186" s="152" t="s">
        <v>298</v>
      </c>
      <c r="F186" s="33" t="s">
        <v>28</v>
      </c>
      <c r="L186" s="77"/>
      <c r="P186" s="224">
        <f>SUM(L183:P183)</f>
        <v>0</v>
      </c>
      <c r="Q186" s="89"/>
      <c r="R186" s="3"/>
      <c r="S186" s="3"/>
      <c r="T186" s="3"/>
      <c r="X186" s="76"/>
    </row>
    <row r="187" spans="1:24" s="75" customFormat="1" ht="13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4">
      <c r="A188" s="19"/>
      <c r="B188" s="19"/>
      <c r="C188" s="19"/>
      <c r="D188" s="182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4">
      <c r="A190" s="19"/>
      <c r="B190" s="19"/>
      <c r="C190" s="19"/>
      <c r="D190" s="182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 ht="13">
      <c r="A192" s="75"/>
      <c r="D192" s="28" t="s">
        <v>88</v>
      </c>
      <c r="E192" s="91" t="s">
        <v>301</v>
      </c>
      <c r="F192" s="33"/>
      <c r="G192" s="180">
        <f>IF(SUM(Baseline.Totex.Water)&lt;&gt;0,SUMPRODUCT(PAYG.Water,Baseline.Totex.Water)/SUM(Baseline.Totex.Water),0)</f>
        <v>0.56156826424560269</v>
      </c>
      <c r="H192" s="89" t="s">
        <v>302</v>
      </c>
    </row>
    <row r="193" spans="1:24" ht="13">
      <c r="A193" s="75"/>
      <c r="D193" s="28" t="s">
        <v>88</v>
      </c>
      <c r="E193" s="91" t="s">
        <v>303</v>
      </c>
      <c r="F193" s="33"/>
      <c r="G193" s="204">
        <f>IF(SUM(Baseline.Totex.Sewerage)&lt;&gt;0,SUMPRODUCT(PAYG.Sewerage,Baseline.Totex.Sewerage)/SUM(Baseline.Totex.Sewerage),0)</f>
        <v>0.53058870052651097</v>
      </c>
      <c r="H193" s="89" t="s">
        <v>304</v>
      </c>
    </row>
    <row r="194" spans="1:24"/>
    <row r="195" spans="1:24" s="22" customFormat="1" ht="14">
      <c r="A195" s="19"/>
      <c r="B195" s="19"/>
      <c r="C195" s="19"/>
      <c r="D195" s="182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41</v>
      </c>
      <c r="E197" s="91" t="s">
        <v>306</v>
      </c>
      <c r="F197" s="33" t="s">
        <v>28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-3.0160425703610869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41</v>
      </c>
      <c r="E198" s="91" t="s">
        <v>307</v>
      </c>
      <c r="F198" s="33" t="s">
        <v>28</v>
      </c>
      <c r="G198" s="91"/>
      <c r="H198" s="3"/>
      <c r="I198" s="3"/>
      <c r="J198" s="3"/>
      <c r="K198" s="3"/>
      <c r="L198" s="3"/>
      <c r="M198" s="3"/>
      <c r="N198" s="3"/>
      <c r="O198" s="3"/>
      <c r="P198" s="220">
        <f>Total.Adj.Sewerage*WeightedPAYG.Sewerage+P114</f>
        <v>-6.0994421252654121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4">
      <c r="A200" s="19"/>
      <c r="B200" s="19"/>
      <c r="C200" s="19"/>
      <c r="D200" s="182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41</v>
      </c>
      <c r="E202" s="91" t="s">
        <v>309</v>
      </c>
      <c r="F202" s="33" t="s">
        <v>28</v>
      </c>
      <c r="P202" s="88">
        <f>Total.Adj.Water*(1-WeightedPAYG.Water)</f>
        <v>-15.337143686813439</v>
      </c>
    </row>
    <row r="203" spans="1:24">
      <c r="A203" s="75"/>
      <c r="D203" s="184" t="s">
        <v>41</v>
      </c>
      <c r="E203" s="91" t="s">
        <v>310</v>
      </c>
      <c r="F203" s="33" t="s">
        <v>28</v>
      </c>
      <c r="P203" s="88">
        <f>Total.Adj.Sewerage*(1-WeightedPAYG.Sewerage)+P186</f>
        <v>-80.859878920664656</v>
      </c>
    </row>
    <row r="204" spans="1:24"/>
    <row r="205" spans="1:24" ht="13" thickBot="1"/>
    <row r="206" spans="1:24" ht="13.5" thickBot="1">
      <c r="A206" s="92" t="s">
        <v>311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51"/>
  <sheetViews>
    <sheetView showGridLines="0" zoomScale="80" zoomScaleNormal="80" workbookViewId="0">
      <pane xSplit="8" ySplit="7" topLeftCell="O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4296875" style="7" customWidth="1"/>
    <col min="4" max="4" width="9.54296875" style="7" customWidth="1"/>
    <col min="5" max="5" width="29.36328125" style="7" customWidth="1"/>
    <col min="6" max="6" width="17.90625" style="7" customWidth="1"/>
    <col min="7" max="7" width="11.54296875" style="7" customWidth="1"/>
    <col min="8" max="8" width="4.08984375" style="7" customWidth="1"/>
    <col min="9" max="21" width="13.08984375" style="7" customWidth="1"/>
    <col min="22" max="22" width="15.90625" style="7" bestFit="1" customWidth="1"/>
    <col min="23" max="16384" width="9.08984375" style="7" hidden="1"/>
  </cols>
  <sheetData>
    <row r="1" spans="1:24" ht="32.5">
      <c r="A1" s="94"/>
      <c r="B1" s="94"/>
      <c r="C1" s="94"/>
      <c r="D1" s="1" t="s">
        <v>312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3">
      <c r="E3" s="7" t="s">
        <v>1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313</v>
      </c>
    </row>
    <row r="4" spans="1:24" ht="13">
      <c r="V4" s="96"/>
    </row>
    <row r="5" spans="1:24" ht="13">
      <c r="E5" s="7" t="s">
        <v>2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314</v>
      </c>
    </row>
    <row r="6" spans="1:24" ht="13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5"/>
    <row r="8" spans="1:24" ht="12.5"/>
    <row r="9" spans="1:24" s="22" customFormat="1" ht="14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5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5">
      <c r="A11" s="72"/>
      <c r="D11" s="30" t="s">
        <v>41</v>
      </c>
      <c r="E11" s="91" t="s">
        <v>306</v>
      </c>
      <c r="F11" s="33" t="s">
        <v>28</v>
      </c>
      <c r="P11" s="88">
        <f>Calcs!P197</f>
        <v>-3.0160425703610869</v>
      </c>
      <c r="X11" s="74"/>
    </row>
    <row r="12" spans="1:24" s="3" customFormat="1" ht="12.5">
      <c r="A12" s="72"/>
      <c r="D12" s="30" t="s">
        <v>41</v>
      </c>
      <c r="E12" s="91" t="s">
        <v>307</v>
      </c>
      <c r="F12" s="33" t="s">
        <v>28</v>
      </c>
      <c r="P12" s="88">
        <f>Calcs!P198</f>
        <v>-6.0994421252654121</v>
      </c>
      <c r="X12" s="74"/>
    </row>
    <row r="13" spans="1:24" s="3" customFormat="1" ht="12.5">
      <c r="E13" s="91"/>
      <c r="F13" s="33"/>
      <c r="P13" s="153"/>
      <c r="X13" s="74"/>
    </row>
    <row r="14" spans="1:24" s="3" customFormat="1" ht="13">
      <c r="A14" s="72"/>
      <c r="D14" s="30" t="s">
        <v>41</v>
      </c>
      <c r="E14" s="78" t="s">
        <v>316</v>
      </c>
      <c r="F14" s="33" t="s">
        <v>28</v>
      </c>
      <c r="P14" s="156">
        <f>SUM(P11:P12)</f>
        <v>-9.115484695626499</v>
      </c>
      <c r="X14" s="74"/>
    </row>
    <row r="15" spans="1:24" s="3" customFormat="1" ht="12.5">
      <c r="E15" s="91"/>
      <c r="F15" s="91"/>
      <c r="G15" s="91"/>
      <c r="X15" s="74"/>
    </row>
    <row r="16" spans="1:24" s="22" customFormat="1" ht="14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5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5">
      <c r="A18" s="72"/>
      <c r="D18" s="30" t="s">
        <v>41</v>
      </c>
      <c r="E18" s="91" t="s">
        <v>309</v>
      </c>
      <c r="F18" s="33" t="s">
        <v>28</v>
      </c>
      <c r="P18" s="88">
        <f>Calcs!P202</f>
        <v>-15.337143686813439</v>
      </c>
      <c r="X18" s="74"/>
    </row>
    <row r="19" spans="1:24" s="3" customFormat="1" ht="12.5">
      <c r="A19" s="72"/>
      <c r="D19" s="30" t="s">
        <v>41</v>
      </c>
      <c r="E19" s="91" t="s">
        <v>310</v>
      </c>
      <c r="F19" s="33" t="s">
        <v>28</v>
      </c>
      <c r="P19" s="88">
        <f>Calcs!P203</f>
        <v>-80.859878920664656</v>
      </c>
      <c r="X19" s="74"/>
    </row>
    <row r="20" spans="1:24" customFormat="1" ht="14.5">
      <c r="G20" s="7"/>
    </row>
    <row r="21" spans="1:24" s="3" customFormat="1" ht="13">
      <c r="A21" s="72"/>
      <c r="D21" s="30" t="s">
        <v>41</v>
      </c>
      <c r="E21" s="78" t="s">
        <v>318</v>
      </c>
      <c r="F21" s="33" t="s">
        <v>28</v>
      </c>
      <c r="P21" s="156">
        <f>SUM(P18:P19)</f>
        <v>-96.19702260747809</v>
      </c>
      <c r="X21" s="74"/>
    </row>
    <row r="22" spans="1:24" ht="13" thickBot="1"/>
    <row r="23" spans="1:24" ht="13.5" thickBot="1">
      <c r="A23" s="104" t="s">
        <v>311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5"/>
    <row r="25" spans="1:24" ht="12.5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318</v>
      </c>
      <c r="F41" s="33" t="s">
        <v>28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-96.19702260747809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319</v>
      </c>
    </row>
    <row r="47" spans="4:16" ht="0" hidden="1" customHeight="1">
      <c r="E47" s="7" t="s">
        <v>320</v>
      </c>
    </row>
    <row r="48" spans="4:16" ht="0" hidden="1" customHeight="1">
      <c r="E48" s="7" t="s">
        <v>321</v>
      </c>
    </row>
    <row r="51" spans="5:5" ht="0" hidden="1" customHeight="1">
      <c r="E51" s="7" t="s">
        <v>322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Normal="100" workbookViewId="0">
      <pane xSplit="3" ySplit="2" topLeftCell="E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.90625" style="262" customWidth="1"/>
    <col min="2" max="2" width="20.54296875" style="262" customWidth="1"/>
    <col min="3" max="3" width="22.90625" style="262" customWidth="1"/>
    <col min="4" max="4" width="3.26953125" style="262" customWidth="1"/>
    <col min="5" max="5" width="15.26953125" style="262" customWidth="1"/>
    <col min="6" max="6" width="7.36328125" style="262" customWidth="1"/>
    <col min="7" max="7" width="14.08984375" style="262" customWidth="1"/>
    <col min="8" max="16384" width="8.90625" style="262"/>
  </cols>
  <sheetData>
    <row r="1" spans="1:7">
      <c r="C1" s="262" t="s">
        <v>468</v>
      </c>
    </row>
    <row r="2" spans="1:7">
      <c r="A2" s="262" t="s">
        <v>372</v>
      </c>
      <c r="B2" s="262" t="s">
        <v>373</v>
      </c>
      <c r="C2" s="262" t="s">
        <v>374</v>
      </c>
      <c r="D2" s="262" t="s">
        <v>375</v>
      </c>
      <c r="E2" s="262" t="s">
        <v>376</v>
      </c>
      <c r="F2" s="263" t="s">
        <v>366</v>
      </c>
      <c r="G2" s="263" t="s">
        <v>434</v>
      </c>
    </row>
    <row r="4" spans="1:7">
      <c r="B4" s="262" t="s">
        <v>435</v>
      </c>
      <c r="C4" s="91" t="s">
        <v>306</v>
      </c>
      <c r="D4" s="262" t="s">
        <v>381</v>
      </c>
      <c r="E4" s="262" t="s">
        <v>404</v>
      </c>
      <c r="F4" s="265"/>
      <c r="G4" s="266">
        <f>'Totex menu adjustments'!P11</f>
        <v>-3.0160425703610869</v>
      </c>
    </row>
    <row r="5" spans="1:7">
      <c r="B5" s="262" t="s">
        <v>437</v>
      </c>
      <c r="C5" s="91" t="s">
        <v>307</v>
      </c>
      <c r="D5" s="262" t="s">
        <v>381</v>
      </c>
      <c r="E5" s="262" t="s">
        <v>404</v>
      </c>
      <c r="F5" s="266"/>
      <c r="G5" s="266">
        <f>'Totex menu adjustments'!P12</f>
        <v>-6.0994421252654121</v>
      </c>
    </row>
    <row r="6" spans="1:7">
      <c r="B6" s="262" t="s">
        <v>463</v>
      </c>
      <c r="C6" s="264" t="s">
        <v>464</v>
      </c>
      <c r="D6" s="262" t="s">
        <v>381</v>
      </c>
      <c r="E6" s="262" t="s">
        <v>404</v>
      </c>
      <c r="F6" s="266"/>
      <c r="G6" s="266">
        <f>'Totex menu adjustments'!P14</f>
        <v>-9.115484695626499</v>
      </c>
    </row>
    <row r="7" spans="1:7">
      <c r="B7" s="262" t="s">
        <v>436</v>
      </c>
      <c r="C7" s="91" t="s">
        <v>309</v>
      </c>
      <c r="D7" s="262" t="s">
        <v>381</v>
      </c>
      <c r="E7" s="262" t="s">
        <v>404</v>
      </c>
      <c r="F7" s="266">
        <f>'Totex menu adjustments'!P18</f>
        <v>-15.337143686813439</v>
      </c>
      <c r="G7" s="266"/>
    </row>
    <row r="8" spans="1:7">
      <c r="B8" s="262" t="s">
        <v>438</v>
      </c>
      <c r="C8" s="91" t="s">
        <v>310</v>
      </c>
      <c r="D8" s="262" t="s">
        <v>381</v>
      </c>
      <c r="E8" s="262" t="s">
        <v>404</v>
      </c>
      <c r="F8" s="266">
        <f>'Totex menu adjustments'!P19</f>
        <v>-80.859878920664656</v>
      </c>
      <c r="G8" s="266"/>
    </row>
    <row r="9" spans="1:7">
      <c r="B9" s="262" t="s">
        <v>465</v>
      </c>
      <c r="C9" s="264" t="s">
        <v>466</v>
      </c>
      <c r="D9" s="262" t="s">
        <v>381</v>
      </c>
      <c r="E9" s="262" t="s">
        <v>404</v>
      </c>
      <c r="F9" s="266">
        <f>'Totex menu adjustments'!P21</f>
        <v>-96.19702260747809</v>
      </c>
      <c r="G9" s="266"/>
    </row>
  </sheetData>
  <sheetProtection sort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P26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4296875" style="3" customWidth="1"/>
    <col min="4" max="4" width="11.54296875" style="3" customWidth="1"/>
    <col min="5" max="5" width="53.08984375" style="3" customWidth="1"/>
    <col min="6" max="7" width="2.54296875" style="3" customWidth="1"/>
    <col min="8" max="21" width="11" style="3" customWidth="1"/>
    <col min="22" max="22" width="22.36328125" style="134" bestFit="1" customWidth="1"/>
    <col min="23" max="26" width="8.90625" style="3" hidden="1" customWidth="1"/>
    <col min="27" max="259" width="0" style="3" hidden="1" customWidth="1"/>
    <col min="260" max="16384" width="0" style="3" hidden="1"/>
  </cols>
  <sheetData>
    <row r="1" spans="1:24" s="72" customFormat="1" ht="32.5">
      <c r="A1" s="106"/>
      <c r="B1" s="106"/>
      <c r="C1" s="107"/>
      <c r="D1" s="1" t="s">
        <v>323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5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4">
      <c r="A3" s="115"/>
      <c r="B3" s="115"/>
      <c r="C3" s="116"/>
      <c r="D3" s="115"/>
      <c r="E3" s="117" t="s">
        <v>1</v>
      </c>
      <c r="F3" s="117"/>
      <c r="G3" s="117"/>
      <c r="H3" s="95" t="s">
        <v>324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3">
      <c r="C5" s="116"/>
      <c r="E5" s="115" t="s">
        <v>325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3">
      <c r="C6" s="114"/>
      <c r="E6" s="7" t="s">
        <v>3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326</v>
      </c>
      <c r="J7" s="126" t="s">
        <v>326</v>
      </c>
      <c r="K7" s="126" t="s">
        <v>326</v>
      </c>
      <c r="L7" s="126" t="s">
        <v>326</v>
      </c>
      <c r="M7" s="126" t="s">
        <v>326</v>
      </c>
      <c r="N7" s="126" t="s">
        <v>326</v>
      </c>
      <c r="O7" s="126" t="s">
        <v>326</v>
      </c>
      <c r="P7" s="126" t="s">
        <v>326</v>
      </c>
      <c r="Q7" s="126" t="s">
        <v>326</v>
      </c>
      <c r="R7" s="126" t="s">
        <v>326</v>
      </c>
      <c r="S7" s="126" t="s">
        <v>326</v>
      </c>
      <c r="T7" s="126" t="s">
        <v>326</v>
      </c>
      <c r="U7" s="126" t="s">
        <v>326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327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328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3">
      <c r="B11" s="16">
        <v>1</v>
      </c>
      <c r="C11" s="114"/>
      <c r="D11" s="72" t="s">
        <v>329</v>
      </c>
      <c r="E11" s="127" t="s">
        <v>330</v>
      </c>
      <c r="F11" s="127"/>
      <c r="G11" s="127"/>
      <c r="I11" s="128">
        <f>F_Inputs!G34</f>
        <v>242.5</v>
      </c>
      <c r="J11" s="128">
        <f>F_Inputs!H34</f>
        <v>249.5</v>
      </c>
      <c r="K11" s="128">
        <f>F_Inputs!I34</f>
        <v>255.7</v>
      </c>
      <c r="L11" s="128">
        <f>F_Inputs!J34</f>
        <v>258</v>
      </c>
      <c r="M11" s="128">
        <f>F_Inputs!K34</f>
        <v>261.39999999999998</v>
      </c>
      <c r="N11" s="128">
        <f>F_Inputs!L34</f>
        <v>270.60000000000002</v>
      </c>
      <c r="O11" s="128">
        <f>F_Inputs!M34</f>
        <v>279.7</v>
      </c>
      <c r="P11" s="128">
        <f>F_Inputs!N34</f>
        <v>288.09100000000001</v>
      </c>
      <c r="Q11" s="128">
        <f>F_Inputs!O34</f>
        <v>296.73372999999998</v>
      </c>
      <c r="R11" s="128"/>
      <c r="S11" s="128"/>
      <c r="T11" s="128"/>
      <c r="U11" s="128"/>
      <c r="V11" s="125"/>
    </row>
    <row r="12" spans="1:24" s="72" customFormat="1" ht="13">
      <c r="B12" s="16">
        <v>2</v>
      </c>
      <c r="C12" s="114"/>
      <c r="D12" s="72" t="s">
        <v>329</v>
      </c>
      <c r="E12" s="127" t="s">
        <v>331</v>
      </c>
      <c r="F12" s="127"/>
      <c r="G12" s="127"/>
      <c r="I12" s="128">
        <f>F_Inputs!G35</f>
        <v>242.4</v>
      </c>
      <c r="J12" s="128">
        <f>F_Inputs!H35</f>
        <v>250</v>
      </c>
      <c r="K12" s="128">
        <f>F_Inputs!I35</f>
        <v>255.9</v>
      </c>
      <c r="L12" s="128">
        <f>F_Inputs!J35</f>
        <v>258.5</v>
      </c>
      <c r="M12" s="128">
        <f>F_Inputs!K35</f>
        <v>262.10000000000002</v>
      </c>
      <c r="N12" s="128">
        <f>F_Inputs!L35</f>
        <v>271.7</v>
      </c>
      <c r="O12" s="128">
        <f>F_Inputs!M35</f>
        <v>280.7</v>
      </c>
      <c r="P12" s="128">
        <f>F_Inputs!N35</f>
        <v>289.12099999999998</v>
      </c>
      <c r="Q12" s="128">
        <f>F_Inputs!O35</f>
        <v>297.79462999999998</v>
      </c>
      <c r="R12" s="128"/>
      <c r="S12" s="128"/>
      <c r="T12" s="128"/>
      <c r="U12" s="128"/>
      <c r="V12" s="125"/>
    </row>
    <row r="13" spans="1:24" s="72" customFormat="1" ht="13">
      <c r="B13" s="16">
        <v>3</v>
      </c>
      <c r="C13" s="114"/>
      <c r="D13" s="72" t="s">
        <v>329</v>
      </c>
      <c r="E13" s="127" t="s">
        <v>332</v>
      </c>
      <c r="F13" s="127"/>
      <c r="G13" s="127"/>
      <c r="I13" s="128">
        <f>F_Inputs!G36</f>
        <v>241.8</v>
      </c>
      <c r="J13" s="128">
        <f>F_Inputs!H36</f>
        <v>249.7</v>
      </c>
      <c r="K13" s="128">
        <f>F_Inputs!I36</f>
        <v>256.3</v>
      </c>
      <c r="L13" s="128">
        <f>F_Inputs!J36</f>
        <v>258.89999999999998</v>
      </c>
      <c r="M13" s="128">
        <f>F_Inputs!K36</f>
        <v>263.10000000000002</v>
      </c>
      <c r="N13" s="128">
        <f>F_Inputs!L36</f>
        <v>272.3</v>
      </c>
      <c r="O13" s="128">
        <f>F_Inputs!M36</f>
        <v>281.5</v>
      </c>
      <c r="P13" s="128">
        <f>F_Inputs!N36</f>
        <v>289.94499999999999</v>
      </c>
      <c r="Q13" s="128">
        <f>F_Inputs!O36</f>
        <v>298.64335</v>
      </c>
      <c r="R13" s="128"/>
      <c r="S13" s="128"/>
      <c r="T13" s="128"/>
      <c r="U13" s="128"/>
      <c r="V13" s="125"/>
    </row>
    <row r="14" spans="1:24" s="72" customFormat="1" ht="13">
      <c r="B14" s="16">
        <v>4</v>
      </c>
      <c r="C14" s="114"/>
      <c r="D14" s="72" t="s">
        <v>329</v>
      </c>
      <c r="E14" s="127" t="s">
        <v>333</v>
      </c>
      <c r="F14" s="127"/>
      <c r="G14" s="127"/>
      <c r="I14" s="128">
        <f>F_Inputs!G37</f>
        <v>242.1</v>
      </c>
      <c r="J14" s="128">
        <f>F_Inputs!H37</f>
        <v>249.7</v>
      </c>
      <c r="K14" s="128">
        <f>F_Inputs!I37</f>
        <v>256</v>
      </c>
      <c r="L14" s="128">
        <f>F_Inputs!J37</f>
        <v>258.60000000000002</v>
      </c>
      <c r="M14" s="128">
        <f>F_Inputs!K37</f>
        <v>263.39999999999998</v>
      </c>
      <c r="N14" s="128">
        <f>F_Inputs!L37</f>
        <v>272.89999999999998</v>
      </c>
      <c r="O14" s="128">
        <f>F_Inputs!M37</f>
        <v>281.08699999999999</v>
      </c>
      <c r="P14" s="128">
        <f>F_Inputs!N37</f>
        <v>289.51961</v>
      </c>
      <c r="Q14" s="128">
        <f>F_Inputs!O37</f>
        <v>298.20519830000001</v>
      </c>
      <c r="R14" s="128"/>
      <c r="S14" s="128"/>
      <c r="T14" s="128"/>
      <c r="U14" s="128"/>
      <c r="V14" s="125"/>
    </row>
    <row r="15" spans="1:24" s="72" customFormat="1" ht="13">
      <c r="B15" s="16">
        <v>5</v>
      </c>
      <c r="C15" s="114"/>
      <c r="D15" s="72" t="s">
        <v>329</v>
      </c>
      <c r="E15" s="127" t="s">
        <v>334</v>
      </c>
      <c r="F15" s="127"/>
      <c r="G15" s="127"/>
      <c r="I15" s="128">
        <f>F_Inputs!G38</f>
        <v>243</v>
      </c>
      <c r="J15" s="128">
        <f>F_Inputs!H38</f>
        <v>251</v>
      </c>
      <c r="K15" s="128">
        <f>F_Inputs!I38</f>
        <v>257</v>
      </c>
      <c r="L15" s="128">
        <f>F_Inputs!J38</f>
        <v>259.8</v>
      </c>
      <c r="M15" s="128">
        <f>F_Inputs!K38</f>
        <v>264.39999999999998</v>
      </c>
      <c r="N15" s="128">
        <f>F_Inputs!L38</f>
        <v>274.7</v>
      </c>
      <c r="O15" s="128">
        <f>F_Inputs!M38</f>
        <v>282.94099999999997</v>
      </c>
      <c r="P15" s="128">
        <f>F_Inputs!N38</f>
        <v>291.42923000000002</v>
      </c>
      <c r="Q15" s="128">
        <f>F_Inputs!O38</f>
        <v>300.17210690000002</v>
      </c>
      <c r="R15" s="128"/>
      <c r="S15" s="128"/>
      <c r="T15" s="128"/>
      <c r="U15" s="128"/>
      <c r="V15" s="125"/>
    </row>
    <row r="16" spans="1:24" s="72" customFormat="1" ht="13">
      <c r="B16" s="16">
        <v>6</v>
      </c>
      <c r="C16" s="114"/>
      <c r="D16" s="72" t="s">
        <v>329</v>
      </c>
      <c r="E16" s="127" t="s">
        <v>335</v>
      </c>
      <c r="F16" s="127"/>
      <c r="G16" s="127"/>
      <c r="I16" s="128">
        <f>F_Inputs!G39</f>
        <v>244.2</v>
      </c>
      <c r="J16" s="128">
        <f>F_Inputs!H39</f>
        <v>251.9</v>
      </c>
      <c r="K16" s="128">
        <f>F_Inputs!I39</f>
        <v>257.60000000000002</v>
      </c>
      <c r="L16" s="128">
        <f>F_Inputs!J39</f>
        <v>259.60000000000002</v>
      </c>
      <c r="M16" s="128">
        <f>F_Inputs!K39</f>
        <v>264.89999999999998</v>
      </c>
      <c r="N16" s="128">
        <f>F_Inputs!L39</f>
        <v>275.10000000000002</v>
      </c>
      <c r="O16" s="128">
        <f>F_Inputs!M39</f>
        <v>283.35300000000001</v>
      </c>
      <c r="P16" s="128">
        <f>F_Inputs!N39</f>
        <v>291.85359</v>
      </c>
      <c r="Q16" s="128">
        <f>F_Inputs!O39</f>
        <v>300.60919769999998</v>
      </c>
      <c r="R16" s="128"/>
      <c r="S16" s="128"/>
      <c r="T16" s="128"/>
      <c r="U16" s="128"/>
      <c r="V16" s="125"/>
    </row>
    <row r="17" spans="2:22" s="72" customFormat="1" ht="13">
      <c r="B17" s="16">
        <v>7</v>
      </c>
      <c r="C17" s="114"/>
      <c r="D17" s="72" t="s">
        <v>329</v>
      </c>
      <c r="E17" s="127" t="s">
        <v>336</v>
      </c>
      <c r="F17" s="127"/>
      <c r="G17" s="127"/>
      <c r="I17" s="128">
        <f>F_Inputs!G40</f>
        <v>245.6</v>
      </c>
      <c r="J17" s="128">
        <f>F_Inputs!H40</f>
        <v>251.9</v>
      </c>
      <c r="K17" s="128">
        <f>F_Inputs!I40</f>
        <v>257.7</v>
      </c>
      <c r="L17" s="128">
        <f>F_Inputs!J40</f>
        <v>259.5</v>
      </c>
      <c r="M17" s="128">
        <f>F_Inputs!K40</f>
        <v>264.8</v>
      </c>
      <c r="N17" s="128">
        <f>F_Inputs!L40</f>
        <v>275.3</v>
      </c>
      <c r="O17" s="128">
        <f>F_Inputs!M40</f>
        <v>283.55900000000003</v>
      </c>
      <c r="P17" s="128">
        <f>F_Inputs!N40</f>
        <v>292.06576999999999</v>
      </c>
      <c r="Q17" s="128">
        <f>F_Inputs!O40</f>
        <v>300.82774310000002</v>
      </c>
      <c r="R17" s="128"/>
      <c r="S17" s="128"/>
      <c r="T17" s="128"/>
      <c r="U17" s="128"/>
      <c r="V17" s="125"/>
    </row>
    <row r="18" spans="2:22" s="72" customFormat="1" ht="13">
      <c r="B18" s="16">
        <v>8</v>
      </c>
      <c r="C18" s="114"/>
      <c r="D18" s="72" t="s">
        <v>329</v>
      </c>
      <c r="E18" s="127" t="s">
        <v>337</v>
      </c>
      <c r="F18" s="127"/>
      <c r="G18" s="127"/>
      <c r="H18" s="128">
        <f>F_Inputs!F41</f>
        <v>238.5</v>
      </c>
      <c r="I18" s="128">
        <f>F_Inputs!G41</f>
        <v>245.6</v>
      </c>
      <c r="J18" s="128">
        <f>F_Inputs!H41</f>
        <v>252.1</v>
      </c>
      <c r="K18" s="128">
        <f>F_Inputs!I41</f>
        <v>257.10000000000002</v>
      </c>
      <c r="L18" s="128">
        <f>F_Inputs!J41</f>
        <v>259.8</v>
      </c>
      <c r="M18" s="128">
        <f>F_Inputs!K41</f>
        <v>265.5</v>
      </c>
      <c r="N18" s="128">
        <f>F_Inputs!L41</f>
        <v>275.8</v>
      </c>
      <c r="O18" s="128">
        <f>F_Inputs!M41</f>
        <v>284.07400000000001</v>
      </c>
      <c r="P18" s="128">
        <f>F_Inputs!N41</f>
        <v>292.59622000000002</v>
      </c>
      <c r="Q18" s="128">
        <f>F_Inputs!O41</f>
        <v>301.3741066</v>
      </c>
      <c r="R18" s="128"/>
      <c r="S18" s="128"/>
      <c r="T18" s="128"/>
      <c r="U18" s="128"/>
      <c r="V18" s="125"/>
    </row>
    <row r="19" spans="2:22" s="72" customFormat="1" ht="13">
      <c r="B19" s="16">
        <v>9</v>
      </c>
      <c r="C19" s="114"/>
      <c r="D19" s="72" t="s">
        <v>329</v>
      </c>
      <c r="E19" s="127" t="s">
        <v>338</v>
      </c>
      <c r="F19" s="127"/>
      <c r="G19" s="127"/>
      <c r="I19" s="128">
        <f>F_Inputs!G42</f>
        <v>246.8</v>
      </c>
      <c r="J19" s="128">
        <f>F_Inputs!H42</f>
        <v>253.4</v>
      </c>
      <c r="K19" s="128">
        <f>F_Inputs!I42</f>
        <v>257.5</v>
      </c>
      <c r="L19" s="128">
        <f>F_Inputs!J42</f>
        <v>260.60000000000002</v>
      </c>
      <c r="M19" s="128">
        <f>F_Inputs!K42</f>
        <v>267.10000000000002</v>
      </c>
      <c r="N19" s="128">
        <f>F_Inputs!L42</f>
        <v>278.10000000000002</v>
      </c>
      <c r="O19" s="128">
        <f>F_Inputs!M42</f>
        <v>286.44299999999998</v>
      </c>
      <c r="P19" s="128">
        <f>F_Inputs!N42</f>
        <v>295.03629000000001</v>
      </c>
      <c r="Q19" s="128">
        <f>F_Inputs!O42</f>
        <v>303.8873787</v>
      </c>
      <c r="R19" s="128"/>
      <c r="S19" s="128"/>
      <c r="T19" s="128"/>
      <c r="U19" s="128"/>
      <c r="V19" s="125"/>
    </row>
    <row r="20" spans="2:22" s="72" customFormat="1" ht="13">
      <c r="B20" s="16">
        <v>10</v>
      </c>
      <c r="C20" s="114"/>
      <c r="D20" s="72" t="s">
        <v>329</v>
      </c>
      <c r="E20" s="127" t="s">
        <v>339</v>
      </c>
      <c r="F20" s="127"/>
      <c r="G20" s="127"/>
      <c r="I20" s="128">
        <f>F_Inputs!G43</f>
        <v>245.8</v>
      </c>
      <c r="J20" s="128">
        <f>F_Inputs!H43</f>
        <v>252.6</v>
      </c>
      <c r="K20" s="128">
        <f>F_Inputs!I43</f>
        <v>255.4</v>
      </c>
      <c r="L20" s="128">
        <f>F_Inputs!J43</f>
        <v>258.8</v>
      </c>
      <c r="M20" s="128">
        <f>F_Inputs!K43</f>
        <v>265.5</v>
      </c>
      <c r="N20" s="128">
        <f>F_Inputs!L43</f>
        <v>276</v>
      </c>
      <c r="O20" s="128">
        <f>F_Inputs!M43</f>
        <v>284.27999999999997</v>
      </c>
      <c r="P20" s="128">
        <f>F_Inputs!N43</f>
        <v>292.80840000000001</v>
      </c>
      <c r="Q20" s="128">
        <f>F_Inputs!O43</f>
        <v>301.59265199999999</v>
      </c>
      <c r="R20" s="128"/>
      <c r="S20" s="128"/>
      <c r="T20" s="128"/>
      <c r="U20" s="128"/>
      <c r="V20" s="125"/>
    </row>
    <row r="21" spans="2:22" s="72" customFormat="1" ht="13">
      <c r="B21" s="16">
        <v>11</v>
      </c>
      <c r="C21" s="114"/>
      <c r="D21" s="72" t="s">
        <v>329</v>
      </c>
      <c r="E21" s="127" t="s">
        <v>340</v>
      </c>
      <c r="F21" s="127"/>
      <c r="G21" s="127"/>
      <c r="I21" s="128">
        <f>F_Inputs!G44</f>
        <v>247.6</v>
      </c>
      <c r="J21" s="128">
        <f>F_Inputs!H44</f>
        <v>254.2</v>
      </c>
      <c r="K21" s="128">
        <f>F_Inputs!I44</f>
        <v>256.7</v>
      </c>
      <c r="L21" s="128">
        <f>F_Inputs!J44</f>
        <v>260</v>
      </c>
      <c r="M21" s="128">
        <f>F_Inputs!K44</f>
        <v>268.39999999999998</v>
      </c>
      <c r="N21" s="128">
        <f>F_Inputs!L44</f>
        <v>278.10000000000002</v>
      </c>
      <c r="O21" s="128">
        <f>F_Inputs!M44</f>
        <v>286.44299999999998</v>
      </c>
      <c r="P21" s="128">
        <f>F_Inputs!N44</f>
        <v>295.03629000000001</v>
      </c>
      <c r="Q21" s="128">
        <f>F_Inputs!O44</f>
        <v>303.8873787</v>
      </c>
      <c r="R21" s="128"/>
      <c r="S21" s="128"/>
      <c r="T21" s="128"/>
      <c r="U21" s="128"/>
      <c r="V21" s="125"/>
    </row>
    <row r="22" spans="2:22" s="72" customFormat="1" ht="13">
      <c r="B22" s="16">
        <v>12</v>
      </c>
      <c r="C22" s="114"/>
      <c r="D22" s="72" t="s">
        <v>329</v>
      </c>
      <c r="E22" s="127" t="s">
        <v>341</v>
      </c>
      <c r="F22" s="127"/>
      <c r="G22" s="127"/>
      <c r="I22" s="128">
        <f>F_Inputs!G45</f>
        <v>248.7</v>
      </c>
      <c r="J22" s="128">
        <f>F_Inputs!H45</f>
        <v>254.8</v>
      </c>
      <c r="K22" s="128">
        <f>F_Inputs!I45</f>
        <v>257.10000000000002</v>
      </c>
      <c r="L22" s="128">
        <f>F_Inputs!J45</f>
        <v>261.10000000000002</v>
      </c>
      <c r="M22" s="128">
        <f>F_Inputs!K45</f>
        <v>269.3</v>
      </c>
      <c r="N22" s="128">
        <f>F_Inputs!L45</f>
        <v>278.3</v>
      </c>
      <c r="O22" s="128">
        <f>F_Inputs!M45</f>
        <v>286.649</v>
      </c>
      <c r="P22" s="128">
        <f>F_Inputs!N45</f>
        <v>295.24847</v>
      </c>
      <c r="Q22" s="128">
        <f>F_Inputs!O45</f>
        <v>304.10592409999998</v>
      </c>
      <c r="R22" s="128"/>
      <c r="S22" s="128"/>
      <c r="T22" s="128"/>
      <c r="U22" s="128"/>
      <c r="V22" s="125"/>
    </row>
    <row r="23" spans="2:22" s="72" customFormat="1" ht="13">
      <c r="B23" s="114"/>
      <c r="C23" s="114"/>
      <c r="D23" s="91"/>
      <c r="E23" s="127" t="s">
        <v>342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3">
      <c r="C24" s="131"/>
      <c r="D24" s="130" t="s">
        <v>343</v>
      </c>
      <c r="E24" s="130" t="s">
        <v>344</v>
      </c>
      <c r="I24" s="146" t="s">
        <v>326</v>
      </c>
      <c r="J24" s="146" t="s">
        <v>326</v>
      </c>
      <c r="K24" s="146" t="s">
        <v>326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3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3">
      <c r="C26" s="131" t="s">
        <v>345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346</v>
      </c>
    </row>
    <row r="27" spans="2:22" s="72" customFormat="1" ht="12.75" customHeight="1">
      <c r="C27" s="114"/>
      <c r="I27" s="126" t="s">
        <v>326</v>
      </c>
      <c r="J27" s="126" t="s">
        <v>326</v>
      </c>
      <c r="K27" s="126" t="s">
        <v>326</v>
      </c>
      <c r="L27" s="126" t="s">
        <v>326</v>
      </c>
      <c r="M27" s="126" t="s">
        <v>326</v>
      </c>
      <c r="N27" s="126" t="s">
        <v>326</v>
      </c>
      <c r="O27" s="126" t="s">
        <v>326</v>
      </c>
      <c r="P27" s="126" t="s">
        <v>326</v>
      </c>
      <c r="Q27" s="126" t="s">
        <v>326</v>
      </c>
      <c r="R27" s="126" t="s">
        <v>326</v>
      </c>
      <c r="S27" s="126" t="s">
        <v>326</v>
      </c>
      <c r="T27" s="126" t="s">
        <v>326</v>
      </c>
      <c r="U27" s="126" t="s">
        <v>326</v>
      </c>
      <c r="V27" s="125"/>
    </row>
    <row r="28" spans="2:22" s="72" customFormat="1" ht="12.75" customHeight="1">
      <c r="E28" s="120" t="s">
        <v>347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329</v>
      </c>
      <c r="E29" s="127" t="s">
        <v>330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279.7</v>
      </c>
      <c r="P29" s="133">
        <f t="shared" si="2"/>
        <v>288.09100000000001</v>
      </c>
      <c r="Q29" s="133">
        <f t="shared" si="2"/>
        <v>296.73372999999998</v>
      </c>
      <c r="R29" s="133">
        <f t="shared" si="2"/>
        <v>296.73372999999998</v>
      </c>
      <c r="S29" s="133">
        <f t="shared" si="2"/>
        <v>296.73372999999998</v>
      </c>
      <c r="T29" s="133">
        <f t="shared" si="2"/>
        <v>296.73372999999998</v>
      </c>
      <c r="U29" s="133">
        <f t="shared" si="2"/>
        <v>296.73372999999998</v>
      </c>
    </row>
    <row r="30" spans="2:22" ht="12.75" customHeight="1">
      <c r="B30" s="16">
        <v>2</v>
      </c>
      <c r="C30" s="114"/>
      <c r="D30" s="91" t="s">
        <v>329</v>
      </c>
      <c r="E30" s="127" t="s">
        <v>331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280.7</v>
      </c>
      <c r="P30" s="133">
        <f t="shared" si="3"/>
        <v>289.12099999999998</v>
      </c>
      <c r="Q30" s="133">
        <f t="shared" si="3"/>
        <v>297.79462999999998</v>
      </c>
      <c r="R30" s="133">
        <f t="shared" si="3"/>
        <v>297.79462999999998</v>
      </c>
      <c r="S30" s="133">
        <f t="shared" si="3"/>
        <v>297.79462999999998</v>
      </c>
      <c r="T30" s="133">
        <f t="shared" si="3"/>
        <v>297.79462999999998</v>
      </c>
      <c r="U30" s="133">
        <f t="shared" si="3"/>
        <v>297.79462999999998</v>
      </c>
    </row>
    <row r="31" spans="2:22" ht="12.75" customHeight="1">
      <c r="B31" s="16">
        <v>3</v>
      </c>
      <c r="C31" s="114"/>
      <c r="D31" s="91" t="s">
        <v>329</v>
      </c>
      <c r="E31" s="127" t="s">
        <v>332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281.5</v>
      </c>
      <c r="P31" s="133">
        <f t="shared" si="3"/>
        <v>289.94499999999999</v>
      </c>
      <c r="Q31" s="133">
        <f t="shared" si="3"/>
        <v>298.64335</v>
      </c>
      <c r="R31" s="133">
        <f t="shared" si="3"/>
        <v>298.64335</v>
      </c>
      <c r="S31" s="133">
        <f t="shared" si="3"/>
        <v>298.64335</v>
      </c>
      <c r="T31" s="133">
        <f t="shared" si="3"/>
        <v>298.64335</v>
      </c>
      <c r="U31" s="133">
        <f t="shared" si="3"/>
        <v>298.64335</v>
      </c>
    </row>
    <row r="32" spans="2:22" ht="12.75" customHeight="1">
      <c r="B32" s="16">
        <v>4</v>
      </c>
      <c r="C32" s="114"/>
      <c r="D32" s="91" t="s">
        <v>329</v>
      </c>
      <c r="E32" s="127" t="s">
        <v>333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281.08699999999999</v>
      </c>
      <c r="P32" s="133">
        <f t="shared" si="3"/>
        <v>289.51961</v>
      </c>
      <c r="Q32" s="133">
        <f t="shared" si="3"/>
        <v>298.20519830000001</v>
      </c>
      <c r="R32" s="133">
        <f t="shared" si="3"/>
        <v>298.20519830000001</v>
      </c>
      <c r="S32" s="133">
        <f t="shared" si="3"/>
        <v>298.20519830000001</v>
      </c>
      <c r="T32" s="133">
        <f t="shared" si="3"/>
        <v>298.20519830000001</v>
      </c>
      <c r="U32" s="133">
        <f t="shared" si="3"/>
        <v>298.20519830000001</v>
      </c>
    </row>
    <row r="33" spans="2:22" ht="12.75" customHeight="1">
      <c r="B33" s="16">
        <v>5</v>
      </c>
      <c r="C33" s="114"/>
      <c r="D33" s="91" t="s">
        <v>329</v>
      </c>
      <c r="E33" s="127" t="s">
        <v>334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282.94099999999997</v>
      </c>
      <c r="P33" s="133">
        <f t="shared" si="3"/>
        <v>291.42923000000002</v>
      </c>
      <c r="Q33" s="133">
        <f t="shared" si="3"/>
        <v>300.17210690000002</v>
      </c>
      <c r="R33" s="133">
        <f t="shared" si="3"/>
        <v>300.17210690000002</v>
      </c>
      <c r="S33" s="133">
        <f t="shared" si="3"/>
        <v>300.17210690000002</v>
      </c>
      <c r="T33" s="133">
        <f t="shared" si="3"/>
        <v>300.17210690000002</v>
      </c>
      <c r="U33" s="133">
        <f t="shared" si="3"/>
        <v>300.17210690000002</v>
      </c>
    </row>
    <row r="34" spans="2:22" ht="12.75" customHeight="1">
      <c r="B34" s="16">
        <v>6</v>
      </c>
      <c r="C34" s="114"/>
      <c r="D34" s="91" t="s">
        <v>329</v>
      </c>
      <c r="E34" s="127" t="s">
        <v>335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283.35300000000001</v>
      </c>
      <c r="P34" s="133">
        <f t="shared" si="3"/>
        <v>291.85359</v>
      </c>
      <c r="Q34" s="133">
        <f t="shared" si="3"/>
        <v>300.60919769999998</v>
      </c>
      <c r="R34" s="133">
        <f t="shared" si="3"/>
        <v>300.60919769999998</v>
      </c>
      <c r="S34" s="133">
        <f t="shared" si="3"/>
        <v>300.60919769999998</v>
      </c>
      <c r="T34" s="133">
        <f t="shared" si="3"/>
        <v>300.60919769999998</v>
      </c>
      <c r="U34" s="133">
        <f t="shared" si="3"/>
        <v>300.60919769999998</v>
      </c>
    </row>
    <row r="35" spans="2:22" ht="12.75" customHeight="1">
      <c r="B35" s="16">
        <v>7</v>
      </c>
      <c r="C35" s="114"/>
      <c r="D35" s="91" t="s">
        <v>329</v>
      </c>
      <c r="E35" s="127" t="s">
        <v>336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283.55900000000003</v>
      </c>
      <c r="P35" s="133">
        <f t="shared" si="3"/>
        <v>292.06576999999999</v>
      </c>
      <c r="Q35" s="133">
        <f t="shared" si="3"/>
        <v>300.82774310000002</v>
      </c>
      <c r="R35" s="133">
        <f t="shared" si="3"/>
        <v>300.82774310000002</v>
      </c>
      <c r="S35" s="133">
        <f t="shared" si="3"/>
        <v>300.82774310000002</v>
      </c>
      <c r="T35" s="133">
        <f t="shared" si="3"/>
        <v>300.82774310000002</v>
      </c>
      <c r="U35" s="133">
        <f t="shared" si="3"/>
        <v>300.82774310000002</v>
      </c>
    </row>
    <row r="36" spans="2:22" ht="12.75" customHeight="1">
      <c r="B36" s="16">
        <v>8</v>
      </c>
      <c r="C36" s="114"/>
      <c r="D36" s="91" t="s">
        <v>329</v>
      </c>
      <c r="E36" s="127" t="s">
        <v>337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284.07400000000001</v>
      </c>
      <c r="P36" s="133">
        <f t="shared" si="3"/>
        <v>292.59622000000002</v>
      </c>
      <c r="Q36" s="133">
        <f t="shared" si="3"/>
        <v>301.3741066</v>
      </c>
      <c r="R36" s="133">
        <f t="shared" si="3"/>
        <v>301.3741066</v>
      </c>
      <c r="S36" s="133">
        <f t="shared" si="3"/>
        <v>301.3741066</v>
      </c>
      <c r="T36" s="133">
        <f t="shared" si="3"/>
        <v>301.3741066</v>
      </c>
      <c r="U36" s="133">
        <f t="shared" si="3"/>
        <v>301.3741066</v>
      </c>
    </row>
    <row r="37" spans="2:22" ht="12.75" customHeight="1">
      <c r="B37" s="16">
        <v>9</v>
      </c>
      <c r="C37" s="114"/>
      <c r="D37" s="91" t="s">
        <v>329</v>
      </c>
      <c r="E37" s="127" t="s">
        <v>338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286.44299999999998</v>
      </c>
      <c r="P37" s="133">
        <f t="shared" si="3"/>
        <v>295.03629000000001</v>
      </c>
      <c r="Q37" s="133">
        <f t="shared" si="3"/>
        <v>303.8873787</v>
      </c>
      <c r="R37" s="133">
        <f t="shared" si="3"/>
        <v>303.8873787</v>
      </c>
      <c r="S37" s="133">
        <f t="shared" si="3"/>
        <v>303.8873787</v>
      </c>
      <c r="T37" s="133">
        <f t="shared" si="3"/>
        <v>303.8873787</v>
      </c>
      <c r="U37" s="133">
        <f t="shared" si="3"/>
        <v>303.8873787</v>
      </c>
    </row>
    <row r="38" spans="2:22" ht="12.75" customHeight="1">
      <c r="B38" s="16">
        <v>10</v>
      </c>
      <c r="C38" s="114"/>
      <c r="D38" s="91" t="s">
        <v>329</v>
      </c>
      <c r="E38" s="127" t="s">
        <v>339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284.27999999999997</v>
      </c>
      <c r="P38" s="133">
        <f t="shared" si="3"/>
        <v>292.80840000000001</v>
      </c>
      <c r="Q38" s="133">
        <f t="shared" si="3"/>
        <v>301.59265199999999</v>
      </c>
      <c r="R38" s="133">
        <f t="shared" si="3"/>
        <v>301.59265199999999</v>
      </c>
      <c r="S38" s="133">
        <f t="shared" si="3"/>
        <v>301.59265199999999</v>
      </c>
      <c r="T38" s="133">
        <f t="shared" si="3"/>
        <v>301.59265199999999</v>
      </c>
      <c r="U38" s="133">
        <f t="shared" si="3"/>
        <v>301.59265199999999</v>
      </c>
    </row>
    <row r="39" spans="2:22" ht="12.75" customHeight="1">
      <c r="B39" s="16">
        <v>11</v>
      </c>
      <c r="C39" s="114"/>
      <c r="D39" s="91" t="s">
        <v>329</v>
      </c>
      <c r="E39" s="127" t="s">
        <v>340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286.44299999999998</v>
      </c>
      <c r="P39" s="133">
        <f t="shared" si="3"/>
        <v>295.03629000000001</v>
      </c>
      <c r="Q39" s="133">
        <f t="shared" si="3"/>
        <v>303.8873787</v>
      </c>
      <c r="R39" s="133">
        <f t="shared" si="3"/>
        <v>303.8873787</v>
      </c>
      <c r="S39" s="133">
        <f t="shared" si="3"/>
        <v>303.8873787</v>
      </c>
      <c r="T39" s="133">
        <f t="shared" si="3"/>
        <v>303.8873787</v>
      </c>
      <c r="U39" s="133">
        <f t="shared" si="3"/>
        <v>303.8873787</v>
      </c>
    </row>
    <row r="40" spans="2:22" ht="12.75" customHeight="1">
      <c r="B40" s="16">
        <v>12</v>
      </c>
      <c r="C40" s="114"/>
      <c r="D40" s="91" t="s">
        <v>329</v>
      </c>
      <c r="E40" s="127" t="s">
        <v>341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286.649</v>
      </c>
      <c r="P40" s="133">
        <f t="shared" si="3"/>
        <v>295.24847</v>
      </c>
      <c r="Q40" s="133">
        <f t="shared" si="3"/>
        <v>304.10592409999998</v>
      </c>
      <c r="R40" s="133">
        <f t="shared" si="3"/>
        <v>304.10592409999998</v>
      </c>
      <c r="S40" s="133">
        <f t="shared" si="3"/>
        <v>304.10592409999998</v>
      </c>
      <c r="T40" s="133">
        <f t="shared" si="3"/>
        <v>304.10592409999998</v>
      </c>
      <c r="U40" s="133">
        <f t="shared" si="3"/>
        <v>304.10592409999998</v>
      </c>
    </row>
    <row r="41" spans="2:22" ht="12.75" customHeight="1">
      <c r="B41" s="114"/>
      <c r="C41" s="114"/>
      <c r="D41" s="91" t="s">
        <v>329</v>
      </c>
      <c r="E41" s="127" t="s">
        <v>342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283.3940833333333</v>
      </c>
      <c r="P41" s="129">
        <f t="shared" si="4"/>
        <v>291.8959058333333</v>
      </c>
      <c r="Q41" s="129">
        <f t="shared" si="4"/>
        <v>300.65278300833336</v>
      </c>
      <c r="R41" s="129">
        <f t="shared" si="4"/>
        <v>300.65278300833336</v>
      </c>
      <c r="S41" s="129">
        <f t="shared" si="4"/>
        <v>300.65278300833336</v>
      </c>
      <c r="T41" s="129">
        <f t="shared" si="4"/>
        <v>300.65278300833336</v>
      </c>
      <c r="U41" s="129">
        <f t="shared" si="4"/>
        <v>300.65278300833336</v>
      </c>
    </row>
    <row r="42" spans="2:22" s="72" customFormat="1" ht="12.75" customHeight="1">
      <c r="V42" s="125"/>
    </row>
    <row r="43" spans="2:22" s="72" customFormat="1" ht="12.75" customHeight="1">
      <c r="E43" s="98" t="s">
        <v>348</v>
      </c>
      <c r="F43" s="98"/>
      <c r="G43" s="98"/>
      <c r="V43" s="125"/>
    </row>
    <row r="44" spans="2:22" s="72" customFormat="1" ht="12.75" customHeight="1">
      <c r="E44" s="136" t="s">
        <v>349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350</v>
      </c>
    </row>
    <row r="45" spans="2:22" s="72" customFormat="1" ht="12.75" customHeight="1">
      <c r="C45" s="138"/>
      <c r="D45" s="130" t="s">
        <v>343</v>
      </c>
      <c r="E45" s="127" t="s">
        <v>351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1.1910859538784067</v>
      </c>
      <c r="Q45" s="185">
        <f t="shared" si="5"/>
        <v>1.2268185324947589</v>
      </c>
      <c r="R45" s="185">
        <f t="shared" si="5"/>
        <v>1.2636230884696018</v>
      </c>
      <c r="S45" s="185">
        <f t="shared" si="5"/>
        <v>1.2636230884696018</v>
      </c>
      <c r="T45" s="185">
        <f t="shared" si="5"/>
        <v>1.2636230884696018</v>
      </c>
      <c r="U45" s="185">
        <f t="shared" si="5"/>
        <v>1.2636230884696018</v>
      </c>
      <c r="V45" s="125" t="s">
        <v>352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353</v>
      </c>
      <c r="F47" s="140"/>
      <c r="G47" s="140"/>
    </row>
    <row r="48" spans="2:22" s="72" customFormat="1" ht="12.75" customHeight="1">
      <c r="E48" s="136" t="s">
        <v>349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354</v>
      </c>
    </row>
    <row r="49" spans="1:22" s="72" customFormat="1" ht="12.75" customHeight="1">
      <c r="C49" s="138"/>
      <c r="D49" s="130" t="s">
        <v>343</v>
      </c>
      <c r="E49" s="127" t="s">
        <v>351</v>
      </c>
      <c r="F49" s="127"/>
      <c r="G49" s="127"/>
      <c r="I49" s="185">
        <f t="shared" ref="I49:U49" si="6">IF(Indexation.Average.Override&lt;&gt;"",Indexation.Average.Override,IF($I41=0,0,I41/$I41))</f>
        <v>1</v>
      </c>
      <c r="J49" s="185">
        <f t="shared" si="6"/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1.1582469943121827</v>
      </c>
      <c r="P49" s="185">
        <f t="shared" si="6"/>
        <v>1.1929944041415483</v>
      </c>
      <c r="Q49" s="185">
        <f t="shared" si="6"/>
        <v>1.228784236265795</v>
      </c>
      <c r="R49" s="185">
        <f t="shared" si="6"/>
        <v>1.228784236265795</v>
      </c>
      <c r="S49" s="185">
        <f t="shared" si="6"/>
        <v>1.228784236265795</v>
      </c>
      <c r="T49" s="185">
        <f t="shared" si="6"/>
        <v>1.228784236265795</v>
      </c>
      <c r="U49" s="185">
        <f t="shared" si="6"/>
        <v>1.228784236265795</v>
      </c>
      <c r="V49" s="125" t="s">
        <v>355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343</v>
      </c>
      <c r="E51" s="142" t="s">
        <v>356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3.0867561914577291E-2</v>
      </c>
      <c r="P51" s="139">
        <f t="shared" si="7"/>
        <v>3.0000000000000027E-2</v>
      </c>
      <c r="Q51" s="139">
        <f t="shared" si="7"/>
        <v>3.0000000000000249E-2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357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311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K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4296875" style="7" customWidth="1"/>
    <col min="4" max="4" width="9.54296875" style="7" customWidth="1"/>
    <col min="5" max="5" width="29.36328125" style="7" customWidth="1"/>
    <col min="6" max="6" width="4.08984375" style="7" customWidth="1"/>
    <col min="7" max="7" width="11.54296875" style="7" customWidth="1"/>
    <col min="8" max="8" width="4.08984375" style="7" customWidth="1"/>
    <col min="9" max="21" width="9.54296875" style="7" customWidth="1"/>
    <col min="22" max="22" width="15.90625" style="7" bestFit="1" customWidth="1"/>
    <col min="23" max="16384" width="9.08984375" style="7" hidden="1"/>
  </cols>
  <sheetData>
    <row r="1" spans="1:22" ht="32.5">
      <c r="A1" s="94"/>
      <c r="B1" s="94"/>
      <c r="C1" s="94"/>
      <c r="D1" s="1" t="s">
        <v>358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3">
      <c r="E3" s="7" t="s">
        <v>1</v>
      </c>
      <c r="I3" s="95" t="s">
        <v>359</v>
      </c>
      <c r="J3" s="95" t="s">
        <v>360</v>
      </c>
      <c r="K3" s="95" t="s">
        <v>361</v>
      </c>
      <c r="L3" s="10" t="s">
        <v>362</v>
      </c>
      <c r="M3" s="10" t="s">
        <v>363</v>
      </c>
      <c r="N3" s="10" t="s">
        <v>364</v>
      </c>
      <c r="O3" s="10" t="s">
        <v>365</v>
      </c>
      <c r="P3" s="10" t="s">
        <v>366</v>
      </c>
      <c r="Q3" s="95" t="s">
        <v>367</v>
      </c>
      <c r="R3" s="95" t="s">
        <v>368</v>
      </c>
      <c r="S3" s="95" t="s">
        <v>369</v>
      </c>
      <c r="T3" s="95" t="s">
        <v>370</v>
      </c>
      <c r="U3" s="95" t="s">
        <v>371</v>
      </c>
      <c r="V3" s="96" t="s">
        <v>313</v>
      </c>
    </row>
    <row r="4" spans="1:22" ht="13">
      <c r="V4" s="96"/>
    </row>
    <row r="5" spans="1:22" ht="13">
      <c r="E5" s="7" t="s">
        <v>2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314</v>
      </c>
    </row>
    <row r="6" spans="1:22" ht="13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5"/>
    <row r="8" spans="1:22" ht="13" thickBot="1"/>
    <row r="9" spans="1:22" ht="13.5" thickBot="1">
      <c r="A9" s="104" t="s">
        <v>311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5"/>
    <row r="11" spans="1:22" ht="12.5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98</vt:i4>
      </vt:variant>
    </vt:vector>
  </HeadingPairs>
  <TitlesOfParts>
    <vt:vector size="105" baseType="lpstr">
      <vt:lpstr>F_Inputs</vt:lpstr>
      <vt:lpstr>Inputs</vt:lpstr>
      <vt:lpstr>Calcs</vt:lpstr>
      <vt:lpstr>Totex menu adjustments</vt:lpstr>
      <vt:lpstr>F_Outputs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2019-01-20T12:20:46Z</dcterms:created>
  <dcterms:modified xsi:type="dcterms:W3CDTF">2019-01-28T16:42:31Z</dcterms:modified>
  <cp:category/>
  <cp:contentStatus/>
</cp:coreProperties>
</file>