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0" yWindow="1680" windowWidth="17340" windowHeight="9630" tabRatio="739"/>
  </bookViews>
  <sheets>
    <sheet name="F_Inputs" sheetId="14" r:id="rId1"/>
    <sheet name="F_Outputs" sheetId="15" r:id="rId2"/>
    <sheet name="Change Log" sheetId="13" r:id="rId3"/>
    <sheet name="Inputs &gt;" sheetId="8" r:id="rId4"/>
    <sheet name="Input_Override" sheetId="21" r:id="rId5"/>
    <sheet name="Data" sheetId="1" r:id="rId6"/>
    <sheet name="RPI" sheetId="12" r:id="rId7"/>
    <sheet name="Calcs &gt;" sheetId="9" r:id="rId8"/>
    <sheet name="WRFIM - Water" sheetId="5" r:id="rId9"/>
    <sheet name="WRFIM - Waste" sheetId="6" r:id="rId10"/>
    <sheet name="WRFIM - Dmmy" sheetId="16" r:id="rId11"/>
    <sheet name="Output &gt;" sheetId="10" r:id="rId12"/>
    <sheet name="WFRIM adjustments" sheetId="7" r:id="rId13"/>
    <sheet name="Other &gt;" sheetId="11" r:id="rId14"/>
    <sheet name="Timeline" sheetId="3" r:id="rId15"/>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Dist_Values" localSheetId="10">#REF!</definedName>
    <definedName name="_Dist_Values">#REF!</definedName>
    <definedName name="_Fill" localSheetId="10">#REF!</definedName>
    <definedName name="_Fill">#REF!</definedName>
    <definedName name="_Key1" localSheetId="10">#REF!</definedName>
    <definedName name="_Key1">#REF!</definedName>
    <definedName name="_Key2" localSheetId="10">#REF!</definedName>
    <definedName name="_Key2">#REF!</definedName>
    <definedName name="_Order1">255</definedName>
    <definedName name="_Order2">255</definedName>
    <definedName name="_Sort" localSheetId="10">#REF!</definedName>
    <definedName name="_Sort">#REF!</definedName>
    <definedName name="Additional.Analysis">Data!$G$22</definedName>
    <definedName name="Adj.AllRev.Dmmy" localSheetId="10">'WRFIM - Dmmy'!$I$46:$U$46</definedName>
    <definedName name="Adj.AllRev.Waste">'WRFIM - Waste'!$I$46:$U$46</definedName>
    <definedName name="Adj.AllRev.Water">'WRFIM - Water'!$I$46:$U$46</definedName>
    <definedName name="AllRev.Dmmy">Data!$I$29:$U$29</definedName>
    <definedName name="AllRev.Outturn.Dmmy" localSheetId="10">'WRFIM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0">'WRFIM - Dmmy'!$K$27</definedName>
    <definedName name="AMP5.RCM.Adj.Waste">'WRFIM - Waste'!$K$27</definedName>
    <definedName name="AMP5.RCM.Adj.Water">'WRFIM - Water'!$K$27</definedName>
    <definedName name="AMP6.FI.Adj.Dmmy" localSheetId="10">'WRFIM - Dmmy'!$I$40:$U$40</definedName>
    <definedName name="AMP6.FI.Adj.Waste">'WRFIM - Waste'!$I$40:$U$40</definedName>
    <definedName name="AMP6.FI.Adj.Water">'WRFIM - Water'!$I$40:$U$40</definedName>
    <definedName name="Baseline.AllRev.Dmmy" localSheetId="10">'WRFIM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10">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nalty.Rate.Waste" localSheetId="10">'WRFIM - Dmmy'!#REF!</definedName>
    <definedName name="Penalty.Rate.Waste">'WRFIM - Waste'!#REF!</definedName>
    <definedName name="Penalty.Rate.Water" localSheetId="10">'WRFIM - Water'!#REF!</definedName>
    <definedName name="Penalty.Rate.Water">'WRFIM - Water'!#REF!</definedName>
    <definedName name="Perc.Recovered.Dmmy" localSheetId="10">'WRFIM - Dmmy'!$I$52:$U$52</definedName>
    <definedName name="Perc.Recovered.Waste">'WRFIM - Waste'!$I$52:$U$52</definedName>
    <definedName name="Perc.Recovered.Water">'WRFIM - Water'!$I$52:$U$52</definedName>
    <definedName name="_xlnm.Print_Area" localSheetId="2">'Change Log'!$A$1:$F$24</definedName>
    <definedName name="_xlnm.Print_Area" localSheetId="5">Data!$A$1:$W$74</definedName>
    <definedName name="_xlnm.Print_Area" localSheetId="0">F_Inputs!$A$1:$O$76</definedName>
    <definedName name="_xlnm.Print_Area" localSheetId="1">F_Outputs!$A$1:$P$46</definedName>
    <definedName name="_xlnm.Print_Area" localSheetId="4">Input_Override!$A$1:$O$88</definedName>
    <definedName name="_xlnm.Print_Area" localSheetId="6">RPI!$A$1:$V$60</definedName>
    <definedName name="_xlnm.Print_Area" localSheetId="14">Timeline!$A$1:$V$10</definedName>
    <definedName name="_xlnm.Print_Area" localSheetId="12">'WFRIM adjustments'!$A$1:$V$16</definedName>
    <definedName name="_xlnm.Print_Area" localSheetId="10">'WRFIM - Dmmy'!$A$1:$W$97</definedName>
    <definedName name="_xlnm.Print_Area" localSheetId="9">'WRFIM - Waste'!$A$1:$W$97</definedName>
    <definedName name="_xlnm.Print_Area" localSheetId="8">'WRFIM - Water'!$A$1:$W$97</definedName>
    <definedName name="RCM.BlindYear.Adj.Dmmy" localSheetId="10">'WRFIM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otsthis" localSheetId="0">{"P&amp;L phased",#N/A,FALSE,"P and L";"Interest phased",#N/A,FALSE,"Interest";"Cshf phased",#N/A,FALSE,"Cashflow";"BSheet phased",#N/A,FALSE,"B Sheet";"Capex phased",#N/A,FALSE,"Capex"}</definedName>
    <definedName name="wotsthis">{"P&amp;L phased",#N/A,FALSE,"P and L";"Interest phased",#N/A,FALSE,"Interest";"Cshf phased",#N/A,FALSE,"Cashflow";"BSheet phased",#N/A,FALSE,"B Sheet";"Capex phased",#N/A,FALSE,"Capex"}</definedName>
    <definedName name="WRFIM.Dmmy" localSheetId="10">'WRFIM - Dmmy'!$P$95</definedName>
    <definedName name="WRFIM.Waste">'WRFIM - Waste'!$P$95</definedName>
    <definedName name="WRFIM.Water">'WRFIM - Water'!$P$95</definedName>
    <definedName name="wrn.Print._.5._.and._.12." localSheetId="0">{"EBIT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{"P&amp;L phased",#N/A,FALSE,"P and L";"Interest phased",#N/A,FALSE,"Interest";"Cshf phased",#N/A,FALSE,"Cashflow";"BSheet phased",#N/A,FALSE,"B Sheet";"Capex phased",#N/A,FALSE,"Capex"}</definedName>
    <definedName name="wrn.Print._.Phased.">{"P&amp;L phased",#N/A,FALSE,"P and L";"Interest phased",#N/A,FALSE,"Interest";"Cshf phased",#N/A,FALSE,"Cashflow";"BSheet phased",#N/A,FALSE,"B Sheet";"Capex phased",#N/A,FALSE,"Capex"}</definedName>
    <definedName name="wrn.wpapers." localSheetId="0">{"bal",#N/A,FALSE,"working papers";"income",#N/A,FALSE,"working papers"}</definedName>
    <definedName name="wrn.wpapers.">{"bal",#N/A,FALSE,"working papers";"income",#N/A,FALSE,"working papers"}</definedName>
  </definedNames>
  <calcPr calcId="152511" calcMode="manual" calcOnSave="0"/>
</workbook>
</file>

<file path=xl/calcChain.xml><?xml version="1.0" encoding="utf-8"?>
<calcChain xmlns="http://schemas.openxmlformats.org/spreadsheetml/2006/main">
  <c r="G21" i="16" l="1"/>
  <c r="E21" i="16"/>
  <c r="D21" i="16"/>
  <c r="G21" i="6"/>
  <c r="E21" i="6"/>
  <c r="D21" i="6"/>
  <c r="G21" i="5"/>
  <c r="E21" i="5"/>
  <c r="D21" i="5"/>
  <c r="G20" i="1" l="1"/>
  <c r="P39" i="1" l="1"/>
  <c r="O39" i="1"/>
  <c r="P72" i="1" l="1"/>
  <c r="P93" i="16" s="1"/>
  <c r="P71" i="1"/>
  <c r="P93" i="6" s="1"/>
  <c r="P70" i="1"/>
  <c r="P93" i="5" s="1"/>
  <c r="N68" i="1"/>
  <c r="N67" i="1"/>
  <c r="N66" i="1"/>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J32" i="12"/>
  <c r="J33" i="12"/>
  <c r="L28" i="6"/>
  <c r="M28" i="6" s="1"/>
  <c r="N28" i="6" s="1"/>
  <c r="N30" i="6" s="1"/>
  <c r="K29" i="12"/>
  <c r="L29" i="12"/>
  <c r="M29" i="12" s="1"/>
  <c r="N29" i="12"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K33" i="12"/>
  <c r="L33" i="12" s="1"/>
  <c r="M33" i="12" s="1"/>
  <c r="N33" i="12" s="1"/>
  <c r="O33" i="12" s="1"/>
  <c r="P33" i="12" s="1"/>
  <c r="I49" i="12"/>
  <c r="I36" i="12"/>
  <c r="J51" i="12" s="1"/>
  <c r="I54" i="12" s="1"/>
  <c r="G4" i="15" s="1"/>
  <c r="J30" i="12"/>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O29" i="12"/>
  <c r="P29" i="12" s="1"/>
  <c r="K30" i="12"/>
  <c r="L30" i="12" s="1"/>
  <c r="M30" i="12" s="1"/>
  <c r="K39" i="12"/>
  <c r="L39" i="12" s="1"/>
  <c r="M39" i="12" s="1"/>
  <c r="N39" i="12" s="1"/>
  <c r="O39" i="12" s="1"/>
  <c r="P39" i="12" s="1"/>
  <c r="J40" i="12"/>
  <c r="J31" i="12"/>
  <c r="K31" i="12" s="1"/>
  <c r="K40" i="12"/>
  <c r="L40" i="12" s="1"/>
  <c r="M40" i="12" s="1"/>
  <c r="N40" i="12" s="1"/>
  <c r="O40" i="12" s="1"/>
  <c r="P40" i="12" s="1"/>
  <c r="J49" i="12"/>
  <c r="O28" i="6"/>
  <c r="Q47" i="1"/>
  <c r="Q48" i="1"/>
  <c r="G41" i="6"/>
  <c r="P33" i="6"/>
  <c r="N30" i="16" l="1"/>
  <c r="O28" i="5"/>
  <c r="O30" i="5" s="1"/>
  <c r="I41" i="12"/>
  <c r="J36" i="12"/>
  <c r="J41" i="12" s="1"/>
  <c r="L31" i="12"/>
  <c r="N30" i="12"/>
  <c r="M36" i="12"/>
  <c r="N49" i="12" s="1"/>
  <c r="O30" i="6"/>
  <c r="P28" i="6"/>
  <c r="P28" i="16"/>
  <c r="O30" i="16"/>
  <c r="N31" i="16" l="1"/>
  <c r="P28" i="5"/>
  <c r="P34" i="5" s="1"/>
  <c r="P35" i="5" s="1"/>
  <c r="N31" i="6"/>
  <c r="K36" i="12"/>
  <c r="K49" i="12"/>
  <c r="K51" i="12"/>
  <c r="J54" i="12" s="1"/>
  <c r="H4" i="15" s="1"/>
  <c r="N31" i="5"/>
  <c r="N36" i="12"/>
  <c r="O49" i="12" s="1"/>
  <c r="O31" i="6" s="1"/>
  <c r="O30" i="12"/>
  <c r="M31" i="12"/>
  <c r="P30" i="6"/>
  <c r="P34" i="6"/>
  <c r="P35" i="6" s="1"/>
  <c r="P34" i="16"/>
  <c r="P35" i="16" s="1"/>
  <c r="P30" i="16"/>
  <c r="P30" i="5" l="1"/>
  <c r="L36" i="12"/>
  <c r="M51" i="12" s="1"/>
  <c r="L49" i="12"/>
  <c r="L51" i="12"/>
  <c r="K41" i="12"/>
  <c r="O31" i="5"/>
  <c r="O31" i="16"/>
  <c r="O51" i="12"/>
  <c r="O36" i="12"/>
  <c r="P49" i="12" s="1"/>
  <c r="P31" i="6" s="1"/>
  <c r="N31" i="12"/>
  <c r="M41" i="12"/>
  <c r="P30" i="12"/>
  <c r="O13" i="5" l="1"/>
  <c r="O14" i="5" s="1"/>
  <c r="O18" i="6"/>
  <c r="O19" i="6" s="1"/>
  <c r="O20" i="6" s="1"/>
  <c r="O18" i="5"/>
  <c r="O19" i="5" s="1"/>
  <c r="O20" i="5" s="1"/>
  <c r="O18" i="16"/>
  <c r="O19" i="16" s="1"/>
  <c r="O20" i="16" s="1"/>
  <c r="L13" i="5"/>
  <c r="L14" i="5" s="1"/>
  <c r="L15" i="5" s="1"/>
  <c r="L23" i="5" s="1"/>
  <c r="L13" i="16"/>
  <c r="L14" i="16" s="1"/>
  <c r="L15" i="16" s="1"/>
  <c r="K54" i="12"/>
  <c r="I4" i="15" s="1"/>
  <c r="L13" i="6"/>
  <c r="L14" i="6" s="1"/>
  <c r="L15" i="6" s="1"/>
  <c r="M13" i="6"/>
  <c r="M14" i="6" s="1"/>
  <c r="L54" i="12"/>
  <c r="J4" i="15" s="1"/>
  <c r="M13" i="16"/>
  <c r="M14" i="16" s="1"/>
  <c r="M13" i="5"/>
  <c r="M14" i="5" s="1"/>
  <c r="O13" i="16"/>
  <c r="O14" i="16" s="1"/>
  <c r="O13" i="6"/>
  <c r="O14" i="6" s="1"/>
  <c r="M49" i="12"/>
  <c r="N51" i="12"/>
  <c r="L41" i="12"/>
  <c r="N54" i="12"/>
  <c r="L4" i="15" s="1"/>
  <c r="P36" i="16"/>
  <c r="P90" i="16" s="1"/>
  <c r="N43" i="15" s="1"/>
  <c r="P51" i="12"/>
  <c r="P31" i="16"/>
  <c r="P36" i="5"/>
  <c r="P90" i="5" s="1"/>
  <c r="N21" i="15" s="1"/>
  <c r="P31" i="5"/>
  <c r="P36" i="6"/>
  <c r="P90" i="6" s="1"/>
  <c r="N32" i="15" s="1"/>
  <c r="O31" i="12"/>
  <c r="N41" i="12"/>
  <c r="P36" i="12"/>
  <c r="Q49" i="12" s="1"/>
  <c r="L23" i="16" l="1"/>
  <c r="L45" i="16" s="1"/>
  <c r="L23" i="6"/>
  <c r="L46" i="6" s="1"/>
  <c r="L46" i="5"/>
  <c r="L45" i="5"/>
  <c r="P43" i="5"/>
  <c r="P18" i="6"/>
  <c r="P19" i="6" s="1"/>
  <c r="P20" i="6" s="1"/>
  <c r="P18" i="5"/>
  <c r="P19" i="5" s="1"/>
  <c r="P20" i="5" s="1"/>
  <c r="P18" i="16"/>
  <c r="P19" i="16" s="1"/>
  <c r="P20" i="16" s="1"/>
  <c r="Q51" i="12"/>
  <c r="P54" i="12" s="1"/>
  <c r="N4" i="15" s="1"/>
  <c r="O54" i="12"/>
  <c r="M4" i="15" s="1"/>
  <c r="P43" i="6"/>
  <c r="M15" i="16"/>
  <c r="N13" i="5"/>
  <c r="N14" i="5" s="1"/>
  <c r="N13" i="16"/>
  <c r="N14" i="16" s="1"/>
  <c r="N13" i="6"/>
  <c r="N14" i="6" s="1"/>
  <c r="M54" i="12"/>
  <c r="K4" i="15" s="1"/>
  <c r="M15" i="6"/>
  <c r="P13" i="5"/>
  <c r="P14" i="5" s="1"/>
  <c r="M15" i="5"/>
  <c r="M23" i="5" s="1"/>
  <c r="P13" i="16"/>
  <c r="P14" i="16" s="1"/>
  <c r="P13" i="6"/>
  <c r="P14" i="6" s="1"/>
  <c r="P43" i="16"/>
  <c r="P31" i="12"/>
  <c r="P41" i="12" s="1"/>
  <c r="O41" i="12"/>
  <c r="L45" i="6" l="1"/>
  <c r="M23" i="16"/>
  <c r="M46" i="16" s="1"/>
  <c r="L46" i="16"/>
  <c r="L51" i="16" s="1"/>
  <c r="L55" i="16" s="1"/>
  <c r="L56" i="16" s="1"/>
  <c r="M46" i="6"/>
  <c r="M23" i="6"/>
  <c r="M45" i="16"/>
  <c r="M45" i="6"/>
  <c r="M45" i="5"/>
  <c r="M46" i="5"/>
  <c r="L47" i="5"/>
  <c r="L60" i="5" s="1"/>
  <c r="L61" i="5" s="1"/>
  <c r="L62" i="5" s="1"/>
  <c r="L64" i="5" s="1"/>
  <c r="L65" i="5" s="1"/>
  <c r="L66" i="5" s="1"/>
  <c r="N67" i="5" s="1"/>
  <c r="L13" i="15" s="1"/>
  <c r="L51" i="5"/>
  <c r="L55" i="5" s="1"/>
  <c r="L56" i="5" s="1"/>
  <c r="L47" i="16"/>
  <c r="L60" i="16" s="1"/>
  <c r="L61" i="16" s="1"/>
  <c r="L62" i="16" s="1"/>
  <c r="L64" i="16" s="1"/>
  <c r="L65" i="16" s="1"/>
  <c r="L66" i="16" s="1"/>
  <c r="N67" i="16" s="1"/>
  <c r="N15" i="6"/>
  <c r="N23" i="6" s="1"/>
  <c r="N15" i="5"/>
  <c r="N23" i="5" s="1"/>
  <c r="L51" i="6"/>
  <c r="L55" i="6" s="1"/>
  <c r="L56" i="6" s="1"/>
  <c r="L47" i="6"/>
  <c r="L60" i="6" s="1"/>
  <c r="L61" i="6" s="1"/>
  <c r="L62" i="6" s="1"/>
  <c r="L64" i="6" s="1"/>
  <c r="L65" i="6" s="1"/>
  <c r="L66" i="6" s="1"/>
  <c r="N67" i="6" s="1"/>
  <c r="N15" i="16"/>
  <c r="N23" i="16" s="1"/>
  <c r="L52" i="16" l="1"/>
  <c r="L75" i="16" s="1"/>
  <c r="N40" i="16"/>
  <c r="N46" i="16" s="1"/>
  <c r="N45" i="16"/>
  <c r="N45" i="6"/>
  <c r="N45" i="5"/>
  <c r="N71" i="5"/>
  <c r="M47" i="16"/>
  <c r="M60" i="16" s="1"/>
  <c r="M61" i="16" s="1"/>
  <c r="M62" i="16" s="1"/>
  <c r="M64" i="16" s="1"/>
  <c r="M65" i="16" s="1"/>
  <c r="M66" i="16" s="1"/>
  <c r="O67" i="16" s="1"/>
  <c r="M35" i="15" s="1"/>
  <c r="L52" i="6"/>
  <c r="L75" i="6" s="1"/>
  <c r="L52" i="5"/>
  <c r="L75" i="5" s="1"/>
  <c r="L24" i="15"/>
  <c r="N71" i="6"/>
  <c r="O15" i="5"/>
  <c r="O15" i="6"/>
  <c r="O23" i="6" s="1"/>
  <c r="N57" i="6"/>
  <c r="N40" i="6"/>
  <c r="N46" i="6" s="1"/>
  <c r="L35" i="15"/>
  <c r="N71" i="16"/>
  <c r="M51" i="16"/>
  <c r="M55" i="16" s="1"/>
  <c r="M56" i="16" s="1"/>
  <c r="M52" i="16"/>
  <c r="M75" i="16" s="1"/>
  <c r="N57" i="16"/>
  <c r="O15" i="16"/>
  <c r="O23" i="16" s="1"/>
  <c r="M47" i="5"/>
  <c r="M60" i="5" s="1"/>
  <c r="M61" i="5" s="1"/>
  <c r="M62" i="5" s="1"/>
  <c r="M64" i="5" s="1"/>
  <c r="M65" i="5" s="1"/>
  <c r="M66" i="5" s="1"/>
  <c r="O67" i="5" s="1"/>
  <c r="M51" i="5"/>
  <c r="M55" i="5" s="1"/>
  <c r="M56" i="5" s="1"/>
  <c r="M47" i="6"/>
  <c r="M60" i="6" s="1"/>
  <c r="M61" i="6" s="1"/>
  <c r="M62" i="6" s="1"/>
  <c r="M64" i="6" s="1"/>
  <c r="M65" i="6" s="1"/>
  <c r="M66" i="6" s="1"/>
  <c r="O67" i="6" s="1"/>
  <c r="M51" i="6"/>
  <c r="M55" i="6" s="1"/>
  <c r="M56" i="6" s="1"/>
  <c r="N40" i="5"/>
  <c r="N46" i="5" s="1"/>
  <c r="N57" i="5"/>
  <c r="O23" i="5" l="1"/>
  <c r="O45" i="5" s="1"/>
  <c r="O45" i="16"/>
  <c r="O45" i="6"/>
  <c r="N47" i="6"/>
  <c r="N60" i="6" s="1"/>
  <c r="N61" i="6" s="1"/>
  <c r="N62" i="6" s="1"/>
  <c r="N64" i="6" s="1"/>
  <c r="N65" i="6" s="1"/>
  <c r="N66" i="6" s="1"/>
  <c r="P67" i="6" s="1"/>
  <c r="O71" i="16"/>
  <c r="M52" i="6"/>
  <c r="M75" i="6" s="1"/>
  <c r="N51" i="5"/>
  <c r="N55" i="5" s="1"/>
  <c r="N56" i="5" s="1"/>
  <c r="O71" i="5"/>
  <c r="M13" i="15"/>
  <c r="P15" i="16"/>
  <c r="P23" i="16" s="1"/>
  <c r="L12" i="15"/>
  <c r="N70" i="5"/>
  <c r="N72" i="5" s="1"/>
  <c r="L14" i="15" s="1"/>
  <c r="N51" i="16"/>
  <c r="N55" i="16" s="1"/>
  <c r="N56" i="16" s="1"/>
  <c r="N47" i="16"/>
  <c r="N60" i="16" s="1"/>
  <c r="N61" i="16" s="1"/>
  <c r="N62" i="16" s="1"/>
  <c r="N64" i="16" s="1"/>
  <c r="N65" i="16" s="1"/>
  <c r="N66" i="16" s="1"/>
  <c r="P67" i="16" s="1"/>
  <c r="N47" i="5"/>
  <c r="N60" i="5" s="1"/>
  <c r="N61" i="5" s="1"/>
  <c r="N62" i="5" s="1"/>
  <c r="N64" i="5" s="1"/>
  <c r="N65" i="5" s="1"/>
  <c r="N66" i="5" s="1"/>
  <c r="P67" i="5" s="1"/>
  <c r="O57" i="5"/>
  <c r="O40" i="5"/>
  <c r="O46" i="5" s="1"/>
  <c r="N70" i="16"/>
  <c r="N72" i="16" s="1"/>
  <c r="L36" i="15" s="1"/>
  <c r="L34" i="15"/>
  <c r="P15" i="6"/>
  <c r="P23" i="6" s="1"/>
  <c r="P15" i="5"/>
  <c r="O57" i="6"/>
  <c r="O40" i="6"/>
  <c r="O46" i="6" s="1"/>
  <c r="M52" i="5"/>
  <c r="M75" i="5" s="1"/>
  <c r="M24" i="15"/>
  <c r="O71" i="6"/>
  <c r="O57" i="16"/>
  <c r="O40" i="16"/>
  <c r="O46" i="16" s="1"/>
  <c r="L23" i="15"/>
  <c r="N70" i="6"/>
  <c r="N72" i="6" s="1"/>
  <c r="L25" i="15" s="1"/>
  <c r="P23" i="5" l="1"/>
  <c r="P45" i="5" s="1"/>
  <c r="P45" i="16"/>
  <c r="O51" i="6"/>
  <c r="P80" i="6" s="1"/>
  <c r="P45" i="6"/>
  <c r="N51" i="6"/>
  <c r="N55" i="6" s="1"/>
  <c r="N56" i="6" s="1"/>
  <c r="P40" i="6" s="1"/>
  <c r="P46" i="6" s="1"/>
  <c r="N52" i="16"/>
  <c r="N75" i="16" s="1"/>
  <c r="N52" i="5"/>
  <c r="N75" i="5" s="1"/>
  <c r="O47" i="5"/>
  <c r="O60" i="5" s="1"/>
  <c r="O61" i="5" s="1"/>
  <c r="O62" i="5" s="1"/>
  <c r="O64" i="5" s="1"/>
  <c r="P81" i="5" s="1"/>
  <c r="N16" i="15" s="1"/>
  <c r="O51" i="5"/>
  <c r="P80" i="5" s="1"/>
  <c r="O70" i="6"/>
  <c r="O72" i="6" s="1"/>
  <c r="M25" i="15" s="1"/>
  <c r="M23" i="15"/>
  <c r="O47" i="16"/>
  <c r="O60" i="16" s="1"/>
  <c r="O61" i="16" s="1"/>
  <c r="O62" i="16" s="1"/>
  <c r="O64" i="16" s="1"/>
  <c r="P81" i="16" s="1"/>
  <c r="N38" i="15" s="1"/>
  <c r="O51" i="16"/>
  <c r="P80" i="16" s="1"/>
  <c r="P71" i="6"/>
  <c r="N24" i="15"/>
  <c r="O70" i="5"/>
  <c r="O72" i="5" s="1"/>
  <c r="M14" i="15" s="1"/>
  <c r="M12" i="15"/>
  <c r="P71" i="16"/>
  <c r="N35" i="15"/>
  <c r="M34" i="15"/>
  <c r="O70" i="16"/>
  <c r="O72" i="16" s="1"/>
  <c r="M36" i="15" s="1"/>
  <c r="P71" i="5"/>
  <c r="N13" i="15"/>
  <c r="P57" i="16"/>
  <c r="P40" i="16"/>
  <c r="P46" i="16" s="1"/>
  <c r="P40" i="5"/>
  <c r="P46" i="5" s="1"/>
  <c r="P57" i="5"/>
  <c r="O52" i="6" l="1"/>
  <c r="O75" i="6" s="1"/>
  <c r="O47" i="6"/>
  <c r="O60" i="6" s="1"/>
  <c r="O61" i="6" s="1"/>
  <c r="O62" i="6" s="1"/>
  <c r="O64" i="6" s="1"/>
  <c r="P81" i="6" s="1"/>
  <c r="N27" i="15" s="1"/>
  <c r="O52" i="16"/>
  <c r="O75" i="16" s="1"/>
  <c r="P57" i="6"/>
  <c r="N23" i="15" s="1"/>
  <c r="N52" i="6"/>
  <c r="N75" i="6" s="1"/>
  <c r="O52" i="5"/>
  <c r="O75" i="5" s="1"/>
  <c r="N12" i="15"/>
  <c r="P70" i="5"/>
  <c r="P72" i="5" s="1"/>
  <c r="N14" i="15" s="1"/>
  <c r="P82" i="16"/>
  <c r="N37" i="15"/>
  <c r="P51" i="5"/>
  <c r="P85" i="5" s="1"/>
  <c r="P47" i="5"/>
  <c r="P60" i="5" s="1"/>
  <c r="P61" i="5" s="1"/>
  <c r="P62" i="5" s="1"/>
  <c r="P64" i="5" s="1"/>
  <c r="P86" i="5" s="1"/>
  <c r="N19" i="15" s="1"/>
  <c r="N26" i="15"/>
  <c r="P82" i="6"/>
  <c r="N15" i="15"/>
  <c r="P82" i="5"/>
  <c r="P47" i="6"/>
  <c r="P60" i="6" s="1"/>
  <c r="P61" i="6" s="1"/>
  <c r="P62" i="6" s="1"/>
  <c r="P64" i="6" s="1"/>
  <c r="P86" i="6" s="1"/>
  <c r="N30" i="15" s="1"/>
  <c r="P51" i="6"/>
  <c r="P85" i="6" s="1"/>
  <c r="P70" i="16"/>
  <c r="P72" i="16" s="1"/>
  <c r="N36" i="15" s="1"/>
  <c r="N34" i="15"/>
  <c r="P47" i="16"/>
  <c r="P60" i="16" s="1"/>
  <c r="P61" i="16" s="1"/>
  <c r="P62" i="16" s="1"/>
  <c r="P64" i="16" s="1"/>
  <c r="P86" i="16" s="1"/>
  <c r="N41" i="15" s="1"/>
  <c r="P51" i="16"/>
  <c r="P85" i="16" s="1"/>
  <c r="N39" i="15" l="1"/>
  <c r="P70" i="6"/>
  <c r="P72" i="6" s="1"/>
  <c r="N25" i="15" s="1"/>
  <c r="P52" i="16"/>
  <c r="P75" i="16" s="1"/>
  <c r="P52" i="5"/>
  <c r="P75" i="5" s="1"/>
  <c r="P52" i="6"/>
  <c r="P75" i="6" s="1"/>
  <c r="N40" i="15"/>
  <c r="P87" i="16"/>
  <c r="P95" i="16" s="1"/>
  <c r="N17" i="15"/>
  <c r="P87" i="6"/>
  <c r="N31" i="15" s="1"/>
  <c r="N29" i="15"/>
  <c r="N28" i="15"/>
  <c r="N18" i="15"/>
  <c r="P87" i="5"/>
  <c r="N20" i="15" s="1"/>
  <c r="P95" i="6" l="1"/>
  <c r="P95" i="5"/>
  <c r="N22" i="15" s="1"/>
  <c r="N42" i="15"/>
  <c r="P22" i="15" l="1"/>
  <c r="P10" i="7"/>
  <c r="N44" i="15"/>
  <c r="P14" i="7"/>
  <c r="P44" i="15"/>
  <c r="N33" i="15"/>
  <c r="P12" i="7"/>
  <c r="P33" i="15"/>
</calcChain>
</file>

<file path=xl/sharedStrings.xml><?xml version="1.0" encoding="utf-8"?>
<sst xmlns="http://schemas.openxmlformats.org/spreadsheetml/2006/main" count="1827" uniqueCount="556">
  <si>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</si>
  <si>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</si>
  <si>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</si>
  <si>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</si>
  <si>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</si>
  <si>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</si>
  <si>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</si>
  <si>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</si>
  <si>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</si>
  <si>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</si>
  <si>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</si>
  <si>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</si>
  <si>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</si>
  <si>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</si>
  <si>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</si>
  <si>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</si>
  <si>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</si>
  <si>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</si>
  <si>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</si>
  <si>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</si>
  <si>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</si>
  <si>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</si>
  <si>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</si>
  <si>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</si>
  <si>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</si>
  <si>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</si>
  <si>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</si>
  <si>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</si>
  <si>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</si>
  <si>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</si>
  <si>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</si>
  <si>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</si>
  <si>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</si>
  <si>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</si>
  <si>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</si>
  <si>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</si>
  <si>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</si>
  <si>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</si>
  <si>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</si>
  <si>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</si>
  <si>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</si>
  <si>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</si>
  <si>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</si>
  <si>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</si>
  <si>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</si>
  <si>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</si>
  <si>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</si>
  <si>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</si>
  <si>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</si>
  <si>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</si>
  <si>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</si>
  <si>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</si>
  <si>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</si>
  <si>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</si>
  <si>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</si>
  <si>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</si>
  <si>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</si>
  <si>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</si>
  <si>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</si>
  <si>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</si>
  <si>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</si>
  <si>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</si>
  <si>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</si>
  <si>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</si>
  <si>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</si>
  <si>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</si>
  <si>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</si>
  <si>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</si>
  <si>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</si>
  <si>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</si>
  <si>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</si>
  <si>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</si>
  <si>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</si>
  <si>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</si>
  <si>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</si>
  <si>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</si>
  <si>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</si>
  <si>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</si>
  <si>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</si>
  <si>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</si>
  <si>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</si>
  <si>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</si>
  <si>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</si>
  <si>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</si>
  <si>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</si>
  <si>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</si>
  <si>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</si>
  <si>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</si>
  <si>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</si>
  <si>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</si>
  <si>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</si>
  <si>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</si>
  <si>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</si>
  <si>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</si>
  <si>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</si>
  <si>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</si>
  <si>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</si>
  <si>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</si>
  <si>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</si>
  <si>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</si>
  <si>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</si>
  <si>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</si>
  <si>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</si>
  <si>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</si>
  <si>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</si>
  <si>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</si>
  <si>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</si>
  <si>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</si>
  <si>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</si>
  <si>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</si>
  <si>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</si>
  <si>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</si>
  <si>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</si>
  <si>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</si>
  <si>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</si>
  <si>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</si>
  <si>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</si>
  <si>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</si>
  <si>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</si>
  <si>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</si>
  <si>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</si>
  <si>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</si>
  <si>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Added F_Inputs and F_Outputs sheets</t>
  </si>
  <si>
    <t>F_Inputs
F_Outputs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</si>
  <si>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</si>
  <si>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</si>
  <si>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</si>
  <si>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</si>
  <si>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</si>
  <si>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</si>
  <si>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</si>
  <si>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</si>
  <si>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</si>
  <si>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</si>
  <si>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</si>
  <si>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</si>
  <si>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</si>
  <si>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</si>
  <si>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</si>
  <si>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</si>
  <si>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</si>
  <si>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</si>
  <si>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</si>
  <si>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</si>
  <si>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</si>
  <si>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</si>
  <si>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</si>
  <si>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</si>
  <si>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</si>
  <si>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</si>
  <si>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</si>
  <si>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</si>
  <si>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</si>
  <si>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</si>
  <si>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</si>
  <si>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</si>
  <si>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</si>
  <si>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</si>
  <si>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</si>
  <si>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</si>
  <si>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</si>
  <si>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</si>
  <si>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</si>
  <si>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</si>
  <si>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</si>
  <si>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</si>
  <si>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</si>
  <si>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</si>
  <si>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</si>
  <si>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</si>
  <si>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</si>
  <si>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</si>
  <si>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</si>
  <si>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</si>
  <si>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</si>
  <si>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</si>
  <si>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</si>
  <si>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</si>
  <si>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</si>
  <si>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</si>
  <si>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</si>
  <si>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</si>
  <si>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</si>
  <si>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</si>
  <si>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</si>
  <si>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</si>
  <si>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</si>
  <si>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</si>
  <si>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</si>
  <si>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</si>
  <si>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</si>
  <si>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</si>
  <si>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</si>
  <si>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</si>
  <si>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</si>
  <si>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</si>
  <si>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</si>
  <si>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</si>
  <si>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</si>
  <si>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</si>
  <si>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</si>
  <si>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</si>
  <si>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</si>
  <si>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</si>
  <si>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</si>
  <si>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</si>
  <si>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</si>
  <si>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</si>
  <si>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</si>
  <si>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</si>
  <si>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</si>
  <si>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</si>
  <si>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</si>
  <si>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</si>
  <si>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</si>
  <si>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</si>
  <si>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</si>
  <si>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</si>
  <si>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</si>
  <si>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</si>
  <si>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</si>
  <si>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</si>
  <si>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</si>
  <si>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</si>
  <si>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</si>
  <si>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</si>
  <si>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</si>
  <si>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</si>
  <si>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</si>
  <si>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</si>
  <si>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</si>
  <si>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</si>
  <si>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</si>
  <si>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</si>
  <si>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</si>
  <si>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</si>
  <si>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</si>
  <si>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</si>
  <si>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</si>
  <si>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</si>
  <si>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</si>
  <si>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</si>
  <si>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</si>
  <si>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</si>
  <si>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</si>
  <si>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</si>
  <si>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</si>
  <si>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</si>
  <si>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</si>
  <si>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</si>
  <si>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</si>
  <si>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</si>
  <si>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</si>
  <si>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</si>
  <si>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</si>
  <si>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</si>
  <si>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</si>
  <si>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</si>
  <si>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</si>
  <si>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</si>
  <si>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</si>
  <si>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</si>
  <si>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</si>
  <si>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</si>
  <si>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</si>
  <si>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</si>
  <si>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</si>
  <si>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</si>
  <si>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</si>
  <si>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</si>
  <si>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</si>
  <si>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</si>
  <si>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</si>
  <si>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</si>
  <si>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</si>
  <si>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</si>
  <si>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</si>
  <si>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</si>
  <si>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</si>
  <si>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</si>
  <si>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</si>
  <si>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</si>
  <si>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</si>
  <si>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</si>
  <si>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</si>
  <si>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</si>
  <si>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</si>
  <si>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</si>
  <si>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</si>
  <si>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</si>
  <si>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</si>
  <si>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</si>
  <si>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</si>
  <si>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</si>
  <si>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</si>
  <si>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</si>
  <si>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</si>
  <si>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</si>
  <si>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</si>
  <si>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</si>
  <si>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</si>
  <si>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</si>
  <si>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</si>
  <si>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</si>
  <si>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</si>
  <si>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</si>
  <si>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</si>
  <si>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</si>
  <si>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</si>
  <si>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</si>
  <si>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</si>
  <si>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</si>
  <si>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</si>
  <si>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</si>
  <si>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</si>
  <si>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</si>
  <si>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</si>
  <si>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</si>
  <si>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</si>
  <si>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</si>
  <si>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</si>
  <si>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</si>
  <si>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</si>
  <si>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</si>
  <si>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</si>
  <si>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</si>
  <si>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</si>
  <si>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</si>
  <si>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</si>
  <si>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</si>
  <si>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</si>
  <si>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</si>
  <si>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</si>
  <si>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</si>
  <si>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</si>
  <si>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</si>
  <si>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</si>
  <si>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</si>
  <si>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</si>
  <si>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</si>
  <si>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</si>
  <si>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</si>
  <si>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</si>
  <si>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</si>
  <si>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</si>
  <si>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</si>
  <si>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</si>
  <si>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</si>
  <si>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</si>
  <si>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</si>
  <si>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</si>
  <si>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</si>
  <si>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</si>
  <si>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</si>
  <si>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</si>
  <si>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</si>
  <si>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</si>
  <si>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</si>
  <si>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</si>
  <si>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</si>
  <si>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</si>
  <si>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</si>
  <si>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</si>
  <si>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</si>
  <si>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</si>
  <si>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</si>
  <si>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</si>
  <si>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</si>
  <si>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</si>
  <si>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</si>
  <si>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</si>
  <si>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</si>
  <si>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</si>
  <si>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</si>
  <si>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</si>
  <si>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</si>
  <si>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</si>
  <si>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</si>
  <si>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</si>
  <si>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</si>
  <si>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</si>
  <si>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</si>
  <si>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</si>
  <si>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</si>
  <si>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</si>
  <si>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</si>
  <si>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</si>
  <si>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</si>
  <si>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</si>
  <si>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</si>
  <si>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</si>
  <si>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</si>
  <si>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</si>
  <si>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</si>
  <si>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</si>
  <si>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</si>
  <si>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</si>
  <si>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</si>
  <si>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</si>
  <si>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</si>
  <si>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</si>
  <si>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</si>
  <si>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</si>
  <si>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</si>
  <si>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</si>
  <si>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</si>
  <si>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</si>
  <si>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</si>
  <si>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</si>
  <si>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</si>
  <si>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</si>
  <si>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</si>
  <si>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</si>
  <si>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</si>
  <si>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</si>
  <si>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</si>
  <si>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</si>
  <si>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</si>
  <si>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</si>
  <si>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</si>
  <si>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</si>
  <si>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</si>
  <si>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</si>
  <si>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PR19PD005_OUT</t>
  </si>
  <si>
    <t>PR19PD008 Residential retail.xlsx</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</si>
  <si>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</si>
  <si>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</si>
  <si>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</si>
  <si>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</si>
  <si>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</si>
  <si>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</si>
  <si>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</si>
  <si>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</si>
  <si>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</si>
  <si>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</si>
  <si>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</si>
  <si>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</si>
  <si>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</si>
  <si>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</si>
  <si>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</si>
  <si>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</si>
  <si>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</si>
  <si>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</si>
  <si>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</si>
  <si>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</si>
  <si>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</si>
  <si>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</si>
  <si>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</si>
  <si>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</si>
  <si>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</si>
  <si>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</si>
  <si>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</si>
  <si>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</si>
  <si>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</si>
  <si>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</si>
  <si>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</si>
  <si>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</si>
  <si>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</si>
  <si>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</si>
  <si>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</si>
  <si>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</si>
  <si>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</si>
  <si>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</si>
  <si>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</si>
  <si>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</si>
  <si>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</si>
  <si>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</si>
  <si>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</si>
  <si>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</si>
  <si>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</si>
  <si>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</si>
  <si>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</si>
  <si>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</si>
  <si>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</si>
  <si>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</si>
  <si>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</si>
  <si>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</si>
  <si>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</si>
  <si>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</si>
  <si>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</si>
  <si>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</si>
  <si>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</si>
  <si>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</si>
  <si>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</si>
  <si>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</si>
  <si>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</si>
  <si>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</si>
  <si>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</si>
  <si>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</si>
  <si>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</si>
  <si>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</si>
  <si>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</si>
  <si>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</si>
  <si>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</si>
  <si>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</si>
  <si>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</si>
  <si>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</si>
  <si>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</si>
  <si>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</si>
  <si>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</si>
  <si>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</si>
  <si>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</si>
  <si>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</si>
  <si>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</si>
  <si>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</si>
  <si>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</si>
  <si>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</si>
  <si>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</si>
  <si>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</si>
  <si>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</si>
  <si>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</si>
  <si>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</si>
  <si>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</si>
  <si>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</si>
  <si>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</si>
  <si>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</si>
  <si>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</si>
  <si>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</si>
  <si>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</si>
  <si>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</si>
  <si>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</si>
  <si>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</si>
  <si>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</si>
  <si>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</si>
  <si>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</si>
  <si>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</si>
  <si>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</si>
  <si>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</si>
  <si>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</si>
  <si>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</si>
  <si>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</si>
  <si>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</si>
  <si>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</si>
  <si>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</si>
  <si>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</si>
  <si>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</si>
  <si>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</si>
  <si>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</si>
  <si>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</si>
  <si>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</si>
  <si>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</si>
  <si>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</si>
  <si>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</si>
  <si>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</si>
  <si>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</si>
  <si>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</si>
  <si>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</si>
  <si>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</si>
  <si>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</si>
  <si>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</si>
  <si>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The accelerated return of over-recovered revenue and NAV related items are manually input. They are highlighted in the gold cells below.</t>
  </si>
  <si>
    <t>Are NAV adjustments required for this company</t>
  </si>
  <si>
    <t>Input_Override' contains the values for the manual inputs in the gold cells. All other changes made to inputs, if any, are in the blue cells.</t>
  </si>
  <si>
    <t>HDD</t>
  </si>
  <si>
    <t>Model hook up to Fountain database required for Ofwat's internal modelling process.</t>
  </si>
  <si>
    <t>Added inputs for companies that have had an in-period NAV. New calculations added to WRFIM sheets to pick up the NAV decision inputs and fed into calculations of Allowed revenue from FD and Adjusted Allowed Revenue. NAV Other adjustment feed into the total reward / (penalty) at the end of AMP6.</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</si>
</sst>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19">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ont>
    <font>
      <sz val="10"/>
      <color rgb="FF0000FF"/>
      <name val="Arial"/>
      <family val="2"/>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rgb="FFFFC000"/>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032">
    <xf numFmtId="0" fontId="0"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29" fillId="2" borderId="0" applyNumberFormat="0" applyBorder="0" applyAlignment="0" applyProtection="0"/>
    <xf numFmtId="0" fontId="10" fillId="3" borderId="0" applyNumberFormat="0" applyBorder="0" applyAlignment="0" applyProtection="0"/>
    <xf numFmtId="0" fontId="36" fillId="4" borderId="0" applyNumberFormat="0" applyBorder="0" applyAlignment="0" applyProtection="0"/>
    <xf numFmtId="0" fontId="34" fillId="5" borderId="4" applyNumberFormat="0" applyAlignment="0" applyProtection="0"/>
    <xf numFmtId="0" fontId="39" fillId="6" borderId="5" applyNumberFormat="0" applyAlignment="0" applyProtection="0"/>
    <xf numFmtId="0" fontId="25" fillId="6" borderId="4" applyNumberFormat="0" applyAlignment="0" applyProtection="0"/>
    <xf numFmtId="0" fontId="35" fillId="0" borderId="6" applyNumberFormat="0" applyFill="0" applyAlignment="0" applyProtection="0"/>
    <xf numFmtId="0" fontId="26" fillId="7" borderId="7" applyNumberFormat="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0" fillId="0" borderId="9" applyNumberFormat="0" applyFill="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9" fillId="32" borderId="0" applyNumberFormat="0" applyBorder="0" applyAlignment="0" applyProtection="0"/>
    <xf numFmtId="165" fontId="11" fillId="0" borderId="10">
      <alignment horizontal="center"/>
    </xf>
    <xf numFmtId="0" fontId="12" fillId="0" borderId="11" applyNumberFormat="0" applyAlignment="0" applyProtection="0"/>
    <xf numFmtId="0" fontId="13" fillId="0" borderId="0" applyNumberFormat="0" applyAlignment="0" applyProtection="0"/>
    <xf numFmtId="0" fontId="14" fillId="0" borderId="12" applyNumberFormat="0" applyFill="0" applyAlignment="0">
      <alignment vertical="top"/>
    </xf>
    <xf numFmtId="0" fontId="15" fillId="0" borderId="13" applyNumberFormat="0" applyFill="0" applyAlignment="0"/>
    <xf numFmtId="0" fontId="16" fillId="0" borderId="0" applyNumberFormat="0" applyFill="0" applyAlignment="0"/>
    <xf numFmtId="0" fontId="17" fillId="33" borderId="14" applyNumberFormat="0" applyFont="0" applyAlignment="0" applyProtection="0"/>
    <xf numFmtId="0" fontId="17" fillId="34" borderId="14" applyNumberFormat="0" applyFont="0" applyAlignment="0" applyProtection="0"/>
    <xf numFmtId="0" fontId="17" fillId="35" borderId="15" applyNumberFormat="0" applyFont="0" applyAlignment="0" applyProtection="0"/>
    <xf numFmtId="0" fontId="18" fillId="0" borderId="0" applyNumberFormat="0" applyFill="0" applyBorder="0" applyAlignment="0" applyProtection="0"/>
    <xf numFmtId="0" fontId="8" fillId="36" borderId="14" applyNumberFormat="0" applyFont="0" applyAlignment="0" applyProtection="0"/>
    <xf numFmtId="0" fontId="8" fillId="37" borderId="15" applyNumberFormat="0" applyFont="0" applyAlignment="0" applyProtection="0"/>
    <xf numFmtId="0" fontId="19" fillId="0" borderId="0" applyFont="0" applyFill="0" applyBorder="0" applyAlignment="0" applyProtection="0"/>
    <xf numFmtId="0" fontId="20" fillId="0" borderId="0" applyNumberFormat="0" applyFill="0" applyBorder="0" applyAlignment="0" applyProtection="0"/>
    <xf numFmtId="49" fontId="21" fillId="0" borderId="0" applyFont="0" applyFill="0" applyBorder="0" applyAlignment="0" applyProtection="0">
      <alignment horizontal="left"/>
    </xf>
    <xf numFmtId="0" fontId="17" fillId="0" borderId="0" applyAlignment="0" applyProtection="0"/>
    <xf numFmtId="0" fontId="22" fillId="0" borderId="0" applyFill="0" applyBorder="0" applyAlignment="0" applyProtection="0"/>
    <xf numFmtId="49" fontId="22" fillId="0" borderId="0" applyNumberFormat="0" applyAlignment="0" applyProtection="0">
      <alignment horizontal="left"/>
    </xf>
    <xf numFmtId="49" fontId="23" fillId="0" borderId="16" applyNumberFormat="0" applyAlignment="0" applyProtection="0">
      <alignment horizontal="left" wrapText="1"/>
    </xf>
    <xf numFmtId="49" fontId="23" fillId="0" borderId="0" applyNumberFormat="0" applyAlignment="0" applyProtection="0">
      <alignment horizontal="left" wrapText="1"/>
    </xf>
    <xf numFmtId="49" fontId="24" fillId="0" borderId="0" applyAlignment="0" applyProtection="0">
      <alignment horizontal="left"/>
    </xf>
    <xf numFmtId="0" fontId="26" fillId="38" borderId="0" applyNumberFormat="0" applyAlignment="0" applyProtection="0"/>
    <xf numFmtId="0" fontId="28" fillId="0" borderId="10" applyNumberFormat="0" applyAlignment="0" applyProtection="0"/>
    <xf numFmtId="0" fontId="33" fillId="39" borderId="0" applyNumberFormat="0" applyFont="0" applyAlignment="0" applyProtection="0"/>
    <xf numFmtId="0" fontId="37" fillId="40" borderId="0" applyNumberFormat="0" applyAlignment="0" applyProtection="0"/>
    <xf numFmtId="0" fontId="38" fillId="0" borderId="0"/>
    <xf numFmtId="0" fontId="17" fillId="0" borderId="0"/>
    <xf numFmtId="0" fontId="38" fillId="0" borderId="0"/>
    <xf numFmtId="0" fontId="38" fillId="8" borderId="8" applyNumberFormat="0" applyFont="0" applyAlignment="0" applyProtection="0"/>
    <xf numFmtId="0" fontId="19" fillId="0" borderId="0"/>
    <xf numFmtId="0" fontId="26" fillId="41" borderId="10" applyNumberFormat="0" applyAlignment="0" applyProtection="0"/>
    <xf numFmtId="0" fontId="17" fillId="42" borderId="14" applyNumberFormat="0" applyFont="0" applyAlignment="0"/>
    <xf numFmtId="0" fontId="19" fillId="0" borderId="0"/>
    <xf numFmtId="9" fontId="19" fillId="0" borderId="0" applyFont="0" applyFill="0" applyBorder="0" applyAlignment="0" applyProtection="0"/>
    <xf numFmtId="0" fontId="19" fillId="0" borderId="0"/>
    <xf numFmtId="0" fontId="19"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0" fontId="55" fillId="0" borderId="0"/>
    <xf numFmtId="0" fontId="55" fillId="0" borderId="0"/>
    <xf numFmtId="0" fontId="7" fillId="0" borderId="0"/>
    <xf numFmtId="9" fontId="5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0" fontId="19" fillId="0" borderId="0">
      <alignment vertical="top"/>
    </xf>
    <xf numFmtId="0" fontId="56" fillId="51" borderId="0" applyNumberFormat="0" applyBorder="0" applyAlignment="0" applyProtection="0"/>
    <xf numFmtId="0" fontId="56" fillId="34" borderId="0" applyNumberFormat="0" applyBorder="0" applyAlignment="0" applyProtection="0"/>
    <xf numFmtId="0" fontId="56" fillId="52" borderId="0" applyNumberFormat="0" applyBorder="0" applyAlignment="0" applyProtection="0"/>
    <xf numFmtId="0" fontId="56" fillId="51" borderId="0" applyNumberFormat="0" applyBorder="0" applyAlignment="0" applyProtection="0"/>
    <xf numFmtId="0" fontId="56" fillId="53"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33" borderId="0" applyNumberFormat="0" applyBorder="0" applyAlignment="0" applyProtection="0"/>
    <xf numFmtId="0" fontId="56" fillId="54" borderId="0" applyNumberFormat="0" applyBorder="0" applyAlignment="0" applyProtection="0"/>
    <xf numFmtId="0" fontId="56" fillId="56" borderId="0" applyNumberFormat="0" applyBorder="0" applyAlignment="0" applyProtection="0"/>
    <xf numFmtId="0" fontId="56" fillId="34" borderId="0" applyNumberFormat="0" applyBorder="0" applyAlignment="0" applyProtection="0"/>
    <xf numFmtId="0" fontId="57" fillId="57"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57" fillId="34" borderId="0" applyNumberFormat="0" applyBorder="0" applyAlignment="0" applyProtection="0"/>
    <xf numFmtId="0" fontId="57" fillId="57"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57" fillId="60" borderId="0" applyNumberFormat="0" applyBorder="0" applyAlignment="0" applyProtection="0"/>
    <xf numFmtId="0" fontId="57" fillId="57" borderId="0" applyNumberFormat="0" applyBorder="0" applyAlignment="0" applyProtection="0"/>
    <xf numFmtId="0" fontId="57" fillId="61"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62" borderId="0" applyNumberFormat="0" applyBorder="0" applyAlignment="0" applyProtection="0"/>
    <xf numFmtId="37" fontId="46" fillId="63" borderId="22">
      <alignment horizontal="left"/>
    </xf>
    <xf numFmtId="37" fontId="43" fillId="63" borderId="23"/>
    <xf numFmtId="0" fontId="19" fillId="63" borderId="21" applyNumberFormat="0" applyBorder="0"/>
    <xf numFmtId="0" fontId="19" fillId="63" borderId="21" applyNumberFormat="0" applyBorder="0"/>
    <xf numFmtId="0" fontId="19" fillId="63" borderId="21" applyNumberFormat="0" applyBorder="0"/>
    <xf numFmtId="0" fontId="59" fillId="51" borderId="24" applyNumberFormat="0" applyAlignment="0" applyProtection="0"/>
    <xf numFmtId="0" fontId="60" fillId="64" borderId="25" applyNumberFormat="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0" fontId="62" fillId="0" borderId="0" applyNumberFormat="0" applyFill="0" applyBorder="0" applyAlignment="0" applyProtection="0"/>
    <xf numFmtId="0" fontId="46" fillId="65" borderId="0">
      <alignment vertical="top"/>
    </xf>
    <xf numFmtId="0" fontId="19" fillId="0" borderId="26">
      <alignment vertical="top"/>
    </xf>
    <xf numFmtId="0" fontId="19" fillId="50" borderId="18">
      <alignment vertical="top"/>
    </xf>
    <xf numFmtId="0" fontId="46" fillId="50" borderId="0">
      <alignment vertical="top"/>
    </xf>
    <xf numFmtId="0" fontId="19" fillId="66" borderId="0">
      <alignment vertical="top"/>
    </xf>
    <xf numFmtId="0" fontId="63" fillId="67" borderId="0" applyNumberFormat="0" applyBorder="0" applyAlignment="0" applyProtection="0"/>
    <xf numFmtId="0" fontId="64" fillId="63" borderId="27"/>
    <xf numFmtId="37" fontId="19" fillId="63" borderId="0">
      <alignment horizontal="right"/>
    </xf>
    <xf numFmtId="37" fontId="19" fillId="63" borderId="0">
      <alignment horizontal="right"/>
    </xf>
    <xf numFmtId="37" fontId="19" fillId="63" borderId="0">
      <alignment horizontal="right"/>
    </xf>
    <xf numFmtId="0" fontId="65" fillId="0" borderId="28" applyNumberFormat="0" applyFill="0" applyAlignment="0" applyProtection="0"/>
    <xf numFmtId="0" fontId="66" fillId="0" borderId="29" applyNumberFormat="0" applyFill="0" applyAlignment="0" applyProtection="0"/>
    <xf numFmtId="0" fontId="67" fillId="0" borderId="30"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34" borderId="24" applyNumberFormat="0" applyAlignment="0" applyProtection="0"/>
    <xf numFmtId="0" fontId="71" fillId="0" borderId="31" applyNumberFormat="0" applyFill="0" applyAlignment="0" applyProtection="0"/>
    <xf numFmtId="0" fontId="72" fillId="33" borderId="0" applyNumberFormat="0" applyBorder="0" applyAlignment="0" applyProtection="0"/>
    <xf numFmtId="0" fontId="73" fillId="0" borderId="0"/>
    <xf numFmtId="0" fontId="19" fillId="0" borderId="0">
      <alignment vertical="top"/>
    </xf>
    <xf numFmtId="0" fontId="19" fillId="0" borderId="0">
      <alignment vertical="top"/>
    </xf>
    <xf numFmtId="0" fontId="19" fillId="0" borderId="0">
      <alignment vertical="top"/>
    </xf>
    <xf numFmtId="0" fontId="61" fillId="0" borderId="0"/>
    <xf numFmtId="0" fontId="74" fillId="51" borderId="3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75" fillId="0" borderId="0" applyNumberFormat="0" applyFill="0" applyBorder="0" applyAlignment="0" applyProtection="0"/>
    <xf numFmtId="0" fontId="76" fillId="0" borderId="33" applyNumberFormat="0" applyFill="0" applyAlignment="0" applyProtection="0"/>
    <xf numFmtId="0" fontId="77" fillId="0" borderId="0" applyNumberFormat="0" applyFill="0" applyBorder="0" applyAlignment="0" applyProtection="0"/>
    <xf numFmtId="37" fontId="78" fillId="68" borderId="34"/>
    <xf numFmtId="0" fontId="79" fillId="0" borderId="35">
      <alignment horizontal="right"/>
    </xf>
    <xf numFmtId="0" fontId="19" fillId="0" borderId="0"/>
    <xf numFmtId="0" fontId="8" fillId="0" borderId="0"/>
    <xf numFmtId="0" fontId="19" fillId="50" borderId="36"/>
    <xf numFmtId="0" fontId="19" fillId="66" borderId="0"/>
    <xf numFmtId="0" fontId="19" fillId="66" borderId="0"/>
    <xf numFmtId="0" fontId="55" fillId="0" borderId="0"/>
    <xf numFmtId="0" fontId="26" fillId="41" borderId="36" applyNumberFormat="0" applyAlignment="0" applyProtection="0"/>
    <xf numFmtId="9" fontId="8" fillId="0" borderId="0" applyFont="0" applyFill="0" applyBorder="0" applyAlignment="0" applyProtection="0"/>
    <xf numFmtId="171" fontId="4" fillId="0" borderId="0" applyFont="0" applyFill="0" applyBorder="0" applyProtection="0">
      <alignment vertical="top"/>
    </xf>
    <xf numFmtId="0" fontId="61" fillId="0" borderId="0"/>
    <xf numFmtId="0" fontId="3" fillId="0" borderId="0"/>
    <xf numFmtId="0" fontId="3" fillId="0" borderId="0"/>
    <xf numFmtId="171" fontId="6" fillId="0" borderId="0" applyFont="0" applyFill="0" applyBorder="0" applyProtection="0">
      <alignment vertical="top"/>
    </xf>
    <xf numFmtId="164" fontId="6" fillId="0" borderId="0" applyFont="0" applyFill="0" applyBorder="0" applyAlignment="0" applyProtection="0"/>
    <xf numFmtId="178" fontId="6" fillId="0" borderId="0" applyFont="0" applyFill="0" applyBorder="0" applyProtection="0">
      <alignment vertical="top"/>
    </xf>
    <xf numFmtId="0" fontId="44" fillId="38" borderId="0" applyNumberFormat="0" applyBorder="0" applyAlignment="0" applyProtection="0"/>
    <xf numFmtId="178" fontId="6" fillId="0" borderId="0" applyFont="0" applyFill="0" applyBorder="0" applyProtection="0">
      <alignment vertical="top"/>
    </xf>
    <xf numFmtId="0" fontId="93" fillId="44" borderId="0" applyNumberFormat="0" applyBorder="0" applyAlignment="0" applyProtection="0"/>
    <xf numFmtId="0" fontId="93" fillId="75" borderId="0" applyNumberFormat="0" applyBorder="0" applyAlignment="0" applyProtection="0"/>
    <xf numFmtId="0" fontId="93" fillId="76" borderId="0" applyNumberFormat="0" applyBorder="0" applyAlignment="0" applyProtection="0"/>
    <xf numFmtId="0" fontId="93" fillId="77" borderId="0" applyNumberFormat="0" applyBorder="0" applyAlignment="0" applyProtection="0"/>
    <xf numFmtId="0" fontId="93" fillId="78" borderId="0" applyNumberFormat="0" applyBorder="0" applyAlignment="0" applyProtection="0"/>
    <xf numFmtId="0" fontId="93" fillId="79" borderId="0" applyNumberFormat="0" applyBorder="0" applyAlignment="0" applyProtection="0"/>
    <xf numFmtId="0" fontId="93" fillId="80" borderId="0" applyNumberFormat="0" applyBorder="0" applyAlignment="0" applyProtection="0"/>
    <xf numFmtId="0" fontId="93" fillId="81" borderId="0" applyNumberFormat="0" applyBorder="0" applyAlignment="0" applyProtection="0"/>
    <xf numFmtId="0" fontId="93" fillId="82" borderId="0" applyNumberFormat="0" applyBorder="0" applyAlignment="0" applyProtection="0"/>
    <xf numFmtId="174" fontId="6" fillId="83" borderId="0" applyNumberFormat="0" applyFont="0" applyBorder="0" applyAlignment="0" applyProtection="0"/>
    <xf numFmtId="0" fontId="6" fillId="84" borderId="0" applyNumberFormat="0" applyFont="0" applyBorder="0" applyAlignment="0" applyProtection="0"/>
    <xf numFmtId="175" fontId="98" fillId="0" borderId="0" applyNumberFormat="0" applyProtection="0">
      <alignment vertical="top"/>
    </xf>
    <xf numFmtId="175" fontId="99" fillId="0" borderId="0" applyNumberFormat="0" applyProtection="0">
      <alignment vertical="top"/>
    </xf>
    <xf numFmtId="175" fontId="19" fillId="63" borderId="0" applyNumberFormat="0" applyProtection="0">
      <alignment vertical="top"/>
    </xf>
    <xf numFmtId="9" fontId="6" fillId="0" borderId="0" applyFont="0" applyFill="0" applyBorder="0" applyAlignment="0" applyProtection="0"/>
    <xf numFmtId="0" fontId="102" fillId="0" borderId="0" applyNumberFormat="0" applyFill="0" applyBorder="0" applyProtection="0">
      <alignment vertical="top"/>
    </xf>
    <xf numFmtId="0" fontId="100" fillId="0" borderId="0" applyNumberFormat="0" applyFill="0" applyBorder="0" applyAlignment="0" applyProtection="0">
      <alignment vertical="top"/>
      <protection locked="0"/>
    </xf>
    <xf numFmtId="179" fontId="19" fillId="0" borderId="0" applyFont="0" applyFill="0" applyBorder="0" applyProtection="0">
      <alignment vertical="top"/>
    </xf>
    <xf numFmtId="180" fontId="19" fillId="0" borderId="0" applyFont="0" applyFill="0" applyBorder="0" applyProtection="0">
      <alignment vertical="top"/>
    </xf>
    <xf numFmtId="177" fontId="19" fillId="0" borderId="0" applyFont="0" applyFill="0" applyBorder="0" applyProtection="0">
      <alignment vertical="top"/>
    </xf>
    <xf numFmtId="0" fontId="94" fillId="0" borderId="0"/>
    <xf numFmtId="0" fontId="95" fillId="0" borderId="0"/>
    <xf numFmtId="0" fontId="96" fillId="0" borderId="0"/>
    <xf numFmtId="176" fontId="46" fillId="0" borderId="0" applyNumberFormat="0" applyFill="0" applyBorder="0" applyProtection="0">
      <alignment vertical="top"/>
    </xf>
    <xf numFmtId="0" fontId="97" fillId="0" borderId="0" applyNumberFormat="0" applyFill="0" applyBorder="0" applyProtection="0">
      <alignment vertical="top"/>
    </xf>
    <xf numFmtId="0" fontId="19" fillId="0" borderId="0" applyNumberFormat="0" applyFill="0" applyBorder="0" applyProtection="0">
      <alignment horizontal="right" vertical="top"/>
    </xf>
    <xf numFmtId="0" fontId="19" fillId="0" borderId="0"/>
    <xf numFmtId="0" fontId="59" fillId="51" borderId="43" applyNumberFormat="0" applyAlignment="0" applyProtection="0"/>
    <xf numFmtId="0" fontId="70" fillId="34" borderId="43" applyNumberFormat="0" applyAlignment="0" applyProtection="0"/>
    <xf numFmtId="0" fontId="19" fillId="52" borderId="44" applyNumberFormat="0" applyFont="0" applyAlignment="0" applyProtection="0"/>
    <xf numFmtId="0" fontId="74" fillId="51" borderId="45" applyNumberFormat="0" applyAlignment="0" applyProtection="0"/>
    <xf numFmtId="9" fontId="19" fillId="0" borderId="0" applyFont="0" applyFill="0" applyBorder="0" applyAlignment="0" applyProtection="0"/>
    <xf numFmtId="0" fontId="103" fillId="0" borderId="0">
      <alignment vertical="top"/>
    </xf>
    <xf numFmtId="0" fontId="76" fillId="0" borderId="46" applyNumberFormat="0" applyFill="0" applyAlignment="0" applyProtection="0"/>
    <xf numFmtId="0" fontId="19" fillId="0" borderId="0"/>
    <xf numFmtId="164" fontId="19" fillId="0" borderId="0" applyFont="0" applyFill="0" applyBorder="0" applyAlignment="0" applyProtection="0"/>
    <xf numFmtId="0" fontId="101" fillId="0" borderId="0" applyNumberForma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66" borderId="0">
      <alignment vertical="top"/>
    </xf>
    <xf numFmtId="181" fontId="6" fillId="0" borderId="0" applyFont="0" applyFill="0" applyBorder="0" applyProtection="0">
      <alignment vertical="top"/>
    </xf>
    <xf numFmtId="9" fontId="19" fillId="0" borderId="0" applyFont="0" applyFill="0" applyBorder="0" applyAlignment="0" applyProtection="0"/>
    <xf numFmtId="0" fontId="19" fillId="0" borderId="0"/>
    <xf numFmtId="171" fontId="3" fillId="0" borderId="0" applyFont="0" applyFill="0" applyBorder="0" applyProtection="0">
      <alignment vertical="top"/>
    </xf>
    <xf numFmtId="164" fontId="3" fillId="0" borderId="0" applyFont="0" applyFill="0" applyBorder="0" applyAlignment="0" applyProtection="0"/>
    <xf numFmtId="178" fontId="3" fillId="0" borderId="0" applyFont="0" applyFill="0" applyBorder="0" applyProtection="0">
      <alignment vertical="top"/>
    </xf>
    <xf numFmtId="0" fontId="3" fillId="0" borderId="0"/>
    <xf numFmtId="0" fontId="3" fillId="0" borderId="0"/>
    <xf numFmtId="0" fontId="19" fillId="0" borderId="0"/>
    <xf numFmtId="164" fontId="3" fillId="0" borderId="0" applyFont="0" applyFill="0" applyBorder="0" applyAlignment="0" applyProtection="0"/>
    <xf numFmtId="9" fontId="3" fillId="0" borderId="0" applyFont="0" applyFill="0" applyBorder="0" applyAlignment="0" applyProtection="0"/>
    <xf numFmtId="0" fontId="61" fillId="0" borderId="0"/>
    <xf numFmtId="0" fontId="108" fillId="0" borderId="0"/>
    <xf numFmtId="0" fontId="3" fillId="0" borderId="0"/>
    <xf numFmtId="0" fontId="3" fillId="0" borderId="0"/>
    <xf numFmtId="0" fontId="3" fillId="0" borderId="0"/>
    <xf numFmtId="9" fontId="108" fillId="0" borderId="0" applyFont="0" applyFill="0" applyBorder="0" applyAlignment="0" applyProtection="0"/>
    <xf numFmtId="0" fontId="3" fillId="0" borderId="0"/>
    <xf numFmtId="171" fontId="3" fillId="0" borderId="0" applyFont="0" applyFill="0" applyBorder="0" applyProtection="0">
      <alignment vertical="top"/>
    </xf>
    <xf numFmtId="0" fontId="3" fillId="0" borderId="0"/>
    <xf numFmtId="164" fontId="3" fillId="0" borderId="0" applyFont="0" applyFill="0" applyBorder="0" applyAlignment="0" applyProtection="0"/>
    <xf numFmtId="0" fontId="5" fillId="0" borderId="0"/>
    <xf numFmtId="9" fontId="19" fillId="0" borderId="0" applyFont="0" applyFill="0" applyBorder="0" applyAlignment="0" applyProtection="0"/>
    <xf numFmtId="9" fontId="5" fillId="0" borderId="0" applyFont="0" applyFill="0" applyBorder="0" applyAlignment="0" applyProtection="0"/>
    <xf numFmtId="0" fontId="108" fillId="0" borderId="0"/>
    <xf numFmtId="164" fontId="108" fillId="0" borderId="0" applyFont="0" applyFill="0" applyBorder="0" applyAlignment="0" applyProtection="0"/>
    <xf numFmtId="177" fontId="3" fillId="0" borderId="0" applyFont="0" applyFill="0" applyBorder="0" applyProtection="0">
      <alignment vertical="top"/>
    </xf>
    <xf numFmtId="0" fontId="109" fillId="0" borderId="0"/>
    <xf numFmtId="0" fontId="19" fillId="0" borderId="0">
      <alignment vertical="top"/>
    </xf>
    <xf numFmtId="0" fontId="3" fillId="0" borderId="0"/>
    <xf numFmtId="0" fontId="3" fillId="0" borderId="0"/>
    <xf numFmtId="0" fontId="3" fillId="0" borderId="0"/>
    <xf numFmtId="0" fontId="92" fillId="0" borderId="0" applyNumberFormat="0" applyFill="0" applyBorder="0" applyAlignment="0" applyProtection="0"/>
    <xf numFmtId="0" fontId="3" fillId="0" borderId="0"/>
    <xf numFmtId="0" fontId="91" fillId="0" borderId="0" applyNumberFormat="0" applyBorder="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9" fontId="3" fillId="0" borderId="0" applyFont="0" applyFill="0" applyBorder="0" applyProtection="0">
      <alignment vertical="top"/>
    </xf>
    <xf numFmtId="180" fontId="3" fillId="0" borderId="0" applyFont="0" applyFill="0" applyBorder="0" applyProtection="0">
      <alignment vertical="top"/>
    </xf>
    <xf numFmtId="181" fontId="3" fillId="0" borderId="0" applyFont="0" applyFill="0" applyBorder="0" applyProtection="0">
      <alignment vertical="top"/>
    </xf>
    <xf numFmtId="182" fontId="105" fillId="85" borderId="0" applyNumberFormat="0">
      <alignment horizontal="left"/>
    </xf>
    <xf numFmtId="0" fontId="106" fillId="86" borderId="0" applyNumberFormat="0"/>
    <xf numFmtId="0" fontId="107" fillId="91" borderId="0" applyBorder="0"/>
    <xf numFmtId="183" fontId="6" fillId="92" borderId="0">
      <alignment horizontal="right" vertical="center"/>
    </xf>
    <xf numFmtId="0" fontId="6" fillId="88" borderId="47">
      <alignment horizontal="right" vertical="center" wrapText="1"/>
    </xf>
    <xf numFmtId="0" fontId="6" fillId="89" borderId="47">
      <alignment horizontal="right" vertical="center" wrapText="1"/>
    </xf>
    <xf numFmtId="0" fontId="106" fillId="86" borderId="47">
      <alignment horizontal="center" vertical="center" wrapText="1"/>
    </xf>
    <xf numFmtId="0" fontId="104" fillId="87" borderId="48">
      <alignment horizontal="left" vertical="center" wrapText="1"/>
    </xf>
    <xf numFmtId="183" fontId="93" fillId="93" borderId="0">
      <alignment horizontal="right" vertical="center"/>
    </xf>
    <xf numFmtId="0" fontId="105" fillId="85" borderId="47">
      <alignment horizontal="left" vertical="center" wrapText="1" readingOrder="1"/>
    </xf>
    <xf numFmtId="0" fontId="6" fillId="87" borderId="47">
      <alignment horizontal="right" vertical="center" wrapText="1"/>
    </xf>
    <xf numFmtId="0" fontId="93" fillId="91" borderId="47">
      <alignment horizontal="right" vertical="center" wrapText="1"/>
    </xf>
    <xf numFmtId="0" fontId="6" fillId="0" borderId="47">
      <alignment horizontal="left" vertical="center" wrapText="1"/>
    </xf>
    <xf numFmtId="184" fontId="93" fillId="94" borderId="0">
      <alignment horizontal="righ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78"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3"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15" fillId="95" borderId="0"/>
    <xf numFmtId="0" fontId="92" fillId="0" borderId="0" applyNumberFormat="0" applyFill="0" applyBorder="0" applyAlignment="0" applyProtection="0"/>
    <xf numFmtId="0" fontId="19" fillId="0" borderId="0"/>
    <xf numFmtId="0" fontId="56" fillId="0" borderId="0"/>
    <xf numFmtId="0" fontId="56" fillId="0" borderId="0"/>
    <xf numFmtId="0" fontId="61" fillId="0" borderId="0"/>
    <xf numFmtId="0" fontId="3" fillId="0" borderId="0"/>
    <xf numFmtId="0" fontId="108" fillId="0" borderId="0"/>
    <xf numFmtId="0" fontId="3" fillId="0" borderId="0"/>
    <xf numFmtId="0" fontId="108" fillId="0" borderId="0"/>
    <xf numFmtId="40" fontId="111" fillId="90" borderId="0">
      <alignment horizontal="right"/>
    </xf>
    <xf numFmtId="0" fontId="112" fillId="90" borderId="0">
      <alignment horizontal="right"/>
    </xf>
    <xf numFmtId="0" fontId="113" fillId="90" borderId="49"/>
    <xf numFmtId="0" fontId="113" fillId="0" borderId="0" applyBorder="0">
      <alignment horizontal="centerContinuous"/>
    </xf>
    <xf numFmtId="0" fontId="114" fillId="0" borderId="0" applyBorder="0">
      <alignment horizontal="centerContinuous"/>
    </xf>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8"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08" fillId="0" borderId="0" applyFont="0" applyFill="0" applyBorder="0" applyAlignment="0" applyProtection="0"/>
    <xf numFmtId="9" fontId="110"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78" fontId="3" fillId="0" borderId="0" applyFont="0" applyFill="0" applyBorder="0" applyProtection="0">
      <alignment vertical="top"/>
    </xf>
    <xf numFmtId="164" fontId="3" fillId="0" borderId="0" applyFont="0" applyFill="0" applyBorder="0" applyAlignment="0" applyProtection="0"/>
    <xf numFmtId="171" fontId="3" fillId="0" borderId="0" applyFont="0" applyFill="0" applyBorder="0" applyProtection="0">
      <alignment vertical="top"/>
    </xf>
    <xf numFmtId="0" fontId="3" fillId="0" borderId="0"/>
    <xf numFmtId="9"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64" fontId="3" fillId="0" borderId="0" applyFont="0" applyFill="0" applyBorder="0" applyAlignment="0" applyProtection="0"/>
    <xf numFmtId="9" fontId="19" fillId="0" borderId="0" applyFont="0" applyFill="0" applyBorder="0" applyAlignment="0" applyProtection="0"/>
    <xf numFmtId="164" fontId="108"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8"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3" fillId="0" borderId="0"/>
    <xf numFmtId="0" fontId="3"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78" fontId="3" fillId="0" borderId="0" applyFont="0" applyFill="0" applyBorder="0" applyProtection="0">
      <alignment vertical="top"/>
    </xf>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71" fontId="3" fillId="0" borderId="0" applyFont="0" applyFill="0" applyBorder="0" applyProtection="0">
      <alignment vertical="top"/>
    </xf>
    <xf numFmtId="0" fontId="3" fillId="0" borderId="0"/>
    <xf numFmtId="164" fontId="3" fillId="0" borderId="0" applyFont="0" applyFill="0" applyBorder="0" applyAlignment="0" applyProtection="0"/>
    <xf numFmtId="164" fontId="108" fillId="0" borderId="0" applyFont="0" applyFill="0" applyBorder="0" applyAlignment="0" applyProtection="0"/>
    <xf numFmtId="177" fontId="3" fillId="0" borderId="0" applyFont="0" applyFill="0" applyBorder="0" applyProtection="0">
      <alignment vertical="top"/>
    </xf>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9" fontId="3" fillId="0" borderId="0" applyFont="0" applyFill="0" applyBorder="0" applyProtection="0">
      <alignment vertical="top"/>
    </xf>
    <xf numFmtId="180" fontId="3" fillId="0" borderId="0" applyFont="0" applyFill="0" applyBorder="0" applyProtection="0">
      <alignment vertical="top"/>
    </xf>
    <xf numFmtId="18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78"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3"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78" fontId="3" fillId="0" borderId="0" applyFont="0" applyFill="0" applyBorder="0" applyProtection="0">
      <alignment vertical="top"/>
    </xf>
    <xf numFmtId="164" fontId="3" fillId="0" borderId="0" applyFont="0" applyFill="0" applyBorder="0" applyAlignment="0" applyProtection="0"/>
    <xf numFmtId="171" fontId="3" fillId="0" borderId="0" applyFont="0" applyFill="0" applyBorder="0" applyProtection="0">
      <alignment vertical="top"/>
    </xf>
    <xf numFmtId="0" fontId="3" fillId="0" borderId="0"/>
    <xf numFmtId="171" fontId="3" fillId="0" borderId="0" applyFont="0" applyFill="0" applyBorder="0" applyProtection="0">
      <alignment vertical="top"/>
    </xf>
    <xf numFmtId="171" fontId="3" fillId="0" borderId="0" applyFont="0" applyFill="0" applyBorder="0" applyProtection="0">
      <alignment vertical="top"/>
    </xf>
    <xf numFmtId="164" fontId="3" fillId="0" borderId="0" applyFont="0" applyFill="0" applyBorder="0" applyAlignment="0" applyProtection="0"/>
    <xf numFmtId="164" fontId="108"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8"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117" fillId="0" borderId="0" applyFont="0" applyFill="0" applyBorder="0" applyProtection="0">
      <alignment vertical="top"/>
    </xf>
    <xf numFmtId="175" fontId="19" fillId="0" borderId="0" applyFont="0" applyFill="0" applyBorder="0" applyProtection="0">
      <alignment vertical="top"/>
    </xf>
    <xf numFmtId="175" fontId="46" fillId="0" borderId="0" applyFont="0" applyFill="0" applyBorder="0" applyAlignment="0" applyProtection="0"/>
    <xf numFmtId="178" fontId="19" fillId="0" borderId="0" applyFont="0" applyFill="0" applyBorder="0" applyProtection="0">
      <alignment vertical="top"/>
    </xf>
    <xf numFmtId="175" fontId="19" fillId="0" borderId="0" applyFont="0" applyFill="0" applyBorder="0" applyProtection="0">
      <alignment vertical="top"/>
    </xf>
    <xf numFmtId="180" fontId="19" fillId="0" borderId="0" applyFont="0" applyFill="0" applyBorder="0" applyProtection="0">
      <alignment vertical="top"/>
    </xf>
    <xf numFmtId="171" fontId="19" fillId="0" borderId="0" applyFont="0" applyFill="0" applyBorder="0" applyProtection="0">
      <alignment vertical="top"/>
    </xf>
    <xf numFmtId="177" fontId="19" fillId="0" borderId="0" applyFont="0" applyFill="0" applyBorder="0" applyProtection="0">
      <alignment vertical="top"/>
    </xf>
    <xf numFmtId="178" fontId="19" fillId="0" borderId="0" applyFont="0" applyFill="0" applyBorder="0" applyProtection="0">
      <alignment vertical="top"/>
    </xf>
    <xf numFmtId="181" fontId="19" fillId="0" borderId="0" applyFont="0" applyFill="0" applyBorder="0" applyProtection="0">
      <alignment vertical="top"/>
    </xf>
    <xf numFmtId="0" fontId="6" fillId="0" borderId="0"/>
    <xf numFmtId="0" fontId="44" fillId="38" borderId="0" applyNumberFormat="0" applyBorder="0" applyAlignment="0" applyProtection="0"/>
    <xf numFmtId="0" fontId="61" fillId="0" borderId="0"/>
    <xf numFmtId="164" fontId="6" fillId="0" borderId="0" applyFont="0" applyFill="0" applyBorder="0" applyAlignment="0" applyProtection="0"/>
    <xf numFmtId="0" fontId="19" fillId="0" borderId="0" applyFont="0" applyFill="0" applyBorder="0" applyAlignment="0" applyProtection="0"/>
    <xf numFmtId="0" fontId="19" fillId="0" borderId="0"/>
    <xf numFmtId="0" fontId="39" fillId="6" borderId="5" applyNumberFormat="0" applyAlignment="0" applyProtection="0"/>
    <xf numFmtId="0" fontId="9" fillId="29" borderId="0" applyNumberFormat="0" applyBorder="0" applyAlignment="0" applyProtection="0"/>
    <xf numFmtId="0" fontId="6" fillId="8" borderId="8" applyNumberFormat="0" applyFont="0" applyAlignment="0" applyProtection="0"/>
    <xf numFmtId="0" fontId="19" fillId="0" borderId="0"/>
    <xf numFmtId="0" fontId="19" fillId="0" borderId="0"/>
    <xf numFmtId="0" fontId="46" fillId="65" borderId="0"/>
    <xf numFmtId="0" fontId="19" fillId="0" borderId="0"/>
    <xf numFmtId="178" fontId="19" fillId="0" borderId="0" applyFont="0" applyFill="0" applyBorder="0" applyProtection="0">
      <alignment vertical="top"/>
    </xf>
    <xf numFmtId="0" fontId="77" fillId="0" borderId="0" applyNumberFormat="0" applyFill="0" applyBorder="0" applyAlignment="0" applyProtection="0"/>
    <xf numFmtId="0" fontId="19" fillId="0" borderId="0"/>
    <xf numFmtId="0" fontId="26" fillId="41" borderId="50" applyNumberFormat="0" applyAlignment="0" applyProtection="0"/>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164" fontId="19" fillId="0" borderId="0" applyFont="0" applyFill="0" applyBorder="0" applyAlignment="0" applyProtection="0"/>
    <xf numFmtId="0" fontId="29" fillId="2" borderId="0" applyNumberFormat="0" applyBorder="0" applyAlignment="0" applyProtection="0"/>
    <xf numFmtId="181" fontId="6" fillId="0" borderId="0" applyFont="0" applyFill="0" applyBorder="0" applyProtection="0">
      <alignment vertical="top"/>
    </xf>
    <xf numFmtId="0" fontId="61" fillId="0" borderId="0"/>
    <xf numFmtId="164" fontId="3" fillId="0" borderId="0" applyFont="0" applyFill="0" applyBorder="0" applyAlignment="0" applyProtection="0"/>
    <xf numFmtId="0" fontId="9" fillId="13" borderId="0" applyNumberFormat="0" applyBorder="0" applyAlignment="0" applyProtection="0"/>
    <xf numFmtId="0" fontId="19" fillId="0" borderId="0"/>
    <xf numFmtId="164" fontId="3" fillId="0" borderId="0" applyFont="0" applyFill="0" applyBorder="0" applyAlignment="0" applyProtection="0"/>
    <xf numFmtId="0" fontId="8" fillId="0" borderId="0"/>
    <xf numFmtId="0" fontId="9" fillId="17" borderId="0" applyNumberFormat="0" applyBorder="0" applyAlignment="0" applyProtection="0"/>
    <xf numFmtId="0" fontId="9" fillId="9" borderId="0" applyNumberFormat="0" applyBorder="0" applyAlignment="0" applyProtection="0"/>
    <xf numFmtId="164" fontId="3" fillId="0" borderId="0" applyFont="0" applyFill="0" applyBorder="0" applyAlignment="0" applyProtection="0"/>
    <xf numFmtId="164" fontId="19" fillId="0" borderId="0" applyFont="0" applyFill="0" applyBorder="0" applyAlignment="0" applyProtection="0"/>
    <xf numFmtId="164" fontId="108" fillId="0" borderId="0" applyFont="0" applyFill="0" applyBorder="0" applyAlignment="0" applyProtection="0"/>
    <xf numFmtId="177" fontId="3" fillId="0" borderId="0" applyFont="0" applyFill="0" applyBorder="0" applyProtection="0">
      <alignment vertical="top"/>
    </xf>
    <xf numFmtId="0" fontId="8" fillId="15" borderId="0" applyNumberFormat="0" applyBorder="0" applyAlignment="0" applyProtection="0"/>
    <xf numFmtId="0" fontId="19" fillId="0" borderId="0"/>
    <xf numFmtId="0" fontId="19" fillId="0" borderId="0">
      <alignment vertical="top"/>
    </xf>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80" fontId="3" fillId="0" borderId="0" applyFont="0" applyFill="0" applyBorder="0" applyProtection="0">
      <alignment vertical="top"/>
    </xf>
    <xf numFmtId="175" fontId="19"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71" fontId="3" fillId="0" borderId="0" applyFont="0" applyFill="0" applyBorder="0" applyProtection="0">
      <alignmen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9" fillId="0" borderId="0" applyFont="0" applyFill="0" applyBorder="0" applyAlignment="0" applyProtection="0"/>
    <xf numFmtId="0" fontId="19" fillId="52" borderId="44" applyNumberFormat="0" applyFont="0" applyAlignment="0" applyProtection="0"/>
    <xf numFmtId="164" fontId="3" fillId="0" borderId="0" applyFont="0" applyFill="0" applyBorder="0" applyAlignment="0" applyProtection="0"/>
    <xf numFmtId="0" fontId="36" fillId="4" borderId="0" applyNumberFormat="0" applyBorder="0" applyAlignment="0" applyProtection="0"/>
    <xf numFmtId="0" fontId="25" fillId="6" borderId="4" applyNumberFormat="0" applyAlignment="0" applyProtection="0"/>
    <xf numFmtId="0" fontId="26" fillId="7" borderId="7" applyNumberFormat="0" applyAlignment="0" applyProtection="0"/>
    <xf numFmtId="0" fontId="27" fillId="0" borderId="0" applyNumberFormat="0" applyFill="0" applyBorder="0" applyAlignment="0" applyProtection="0"/>
    <xf numFmtId="0" fontId="10" fillId="3"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9" fillId="66" borderId="0"/>
    <xf numFmtId="0" fontId="19" fillId="52" borderId="44" applyNumberFormat="0" applyFont="0" applyAlignment="0" applyProtection="0"/>
    <xf numFmtId="164" fontId="3" fillId="0" borderId="0" applyFont="0" applyFill="0" applyBorder="0" applyAlignment="0" applyProtection="0"/>
    <xf numFmtId="0" fontId="3" fillId="0" borderId="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19" fillId="66" borderId="0">
      <alignment vertical="top"/>
    </xf>
    <xf numFmtId="0" fontId="46" fillId="5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0" fontId="19" fillId="0" borderId="0">
      <alignment vertical="top"/>
    </xf>
    <xf numFmtId="0" fontId="103" fillId="0" borderId="0">
      <alignment vertical="top"/>
    </xf>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 fillId="0" borderId="0" applyFont="0" applyFill="0" applyBorder="0" applyAlignment="0" applyProtection="0"/>
    <xf numFmtId="0" fontId="8" fillId="10" borderId="0" applyNumberFormat="0" applyBorder="0" applyAlignment="0" applyProtection="0"/>
    <xf numFmtId="164" fontId="3" fillId="0" borderId="0" applyFont="0" applyFill="0" applyBorder="0" applyAlignment="0" applyProtection="0"/>
    <xf numFmtId="0" fontId="8" fillId="0" borderId="0"/>
    <xf numFmtId="9" fontId="19"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08"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5" fillId="0" borderId="6" applyNumberFormat="0" applyFill="0" applyAlignment="0" applyProtection="0"/>
    <xf numFmtId="0" fontId="41" fillId="0" borderId="0" applyNumberFormat="0" applyFill="0" applyBorder="0" applyAlignment="0" applyProtection="0"/>
    <xf numFmtId="164" fontId="3" fillId="0" borderId="0" applyFont="0" applyFill="0" applyBorder="0" applyAlignment="0" applyProtection="0"/>
    <xf numFmtId="0" fontId="34" fillId="5" borderId="4" applyNumberFormat="0" applyAlignment="0" applyProtection="0"/>
    <xf numFmtId="164" fontId="3" fillId="0" borderId="0" applyFont="0" applyFill="0" applyBorder="0" applyAlignment="0" applyProtection="0"/>
    <xf numFmtId="0" fontId="19" fillId="0" borderId="0" applyFont="0" applyFill="0" applyBorder="0" applyAlignment="0" applyProtection="0"/>
    <xf numFmtId="0" fontId="5" fillId="0" borderId="0"/>
    <xf numFmtId="0" fontId="8" fillId="14" borderId="0" applyNumberFormat="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8" fillId="0" borderId="0" applyFont="0" applyFill="0" applyBorder="0" applyAlignment="0" applyProtection="0"/>
    <xf numFmtId="9" fontId="8" fillId="0" borderId="0" applyFont="0" applyFill="0" applyBorder="0" applyAlignment="0" applyProtection="0"/>
    <xf numFmtId="0" fontId="101" fillId="0" borderId="0" applyNumberFormat="0" applyFill="0" applyBorder="0" applyAlignment="0" applyProtection="0"/>
    <xf numFmtId="164" fontId="3" fillId="0" borderId="0" applyFont="0" applyFill="0" applyBorder="0" applyAlignment="0" applyProtection="0"/>
    <xf numFmtId="171" fontId="3" fillId="0" borderId="0" applyFont="0" applyFill="0" applyBorder="0" applyProtection="0">
      <alignment vertical="top"/>
    </xf>
    <xf numFmtId="164" fontId="19" fillId="0" borderId="0" applyFont="0" applyFill="0" applyBorder="0" applyAlignment="0" applyProtection="0"/>
    <xf numFmtId="0" fontId="3" fillId="0" borderId="0"/>
    <xf numFmtId="9" fontId="19" fillId="0" borderId="0" applyFont="0" applyFill="0" applyBorder="0" applyAlignment="0" applyProtection="0"/>
    <xf numFmtId="164" fontId="19" fillId="0" borderId="0" applyFont="0" applyFill="0" applyBorder="0" applyAlignment="0" applyProtection="0"/>
    <xf numFmtId="164" fontId="110" fillId="0" borderId="0" applyFont="0" applyFill="0" applyBorder="0" applyAlignment="0" applyProtection="0"/>
    <xf numFmtId="164" fontId="3" fillId="0" borderId="0" applyFont="0" applyFill="0" applyBorder="0" applyAlignment="0" applyProtection="0"/>
    <xf numFmtId="9" fontId="5" fillId="0" borderId="0" applyFont="0" applyFill="0" applyBorder="0" applyAlignment="0" applyProtection="0"/>
    <xf numFmtId="164" fontId="19" fillId="0" borderId="0" applyFont="0" applyFill="0" applyBorder="0" applyAlignment="0" applyProtection="0"/>
    <xf numFmtId="0" fontId="19" fillId="0" borderId="0">
      <alignment vertical="top"/>
    </xf>
    <xf numFmtId="0" fontId="3" fillId="0" borderId="0"/>
    <xf numFmtId="0" fontId="17" fillId="0" borderId="0"/>
    <xf numFmtId="0" fontId="6" fillId="0" borderId="0"/>
    <xf numFmtId="0" fontId="28" fillId="0" borderId="50" applyNumberFormat="0" applyAlignment="0" applyProtection="0"/>
    <xf numFmtId="0" fontId="8" fillId="18" borderId="0" applyNumberFormat="0" applyBorder="0" applyAlignment="0" applyProtection="0"/>
    <xf numFmtId="0" fontId="8" fillId="30" borderId="0" applyNumberFormat="0" applyBorder="0" applyAlignment="0" applyProtection="0"/>
    <xf numFmtId="165" fontId="11" fillId="0" borderId="50">
      <alignment horizontal="center"/>
    </xf>
    <xf numFmtId="0" fontId="9" fillId="32"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8" fillId="27"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19" borderId="0" applyNumberFormat="0" applyBorder="0" applyAlignment="0" applyProtection="0"/>
    <xf numFmtId="9" fontId="3" fillId="0" borderId="0" applyFont="0" applyFill="0" applyBorder="0" applyAlignment="0" applyProtection="0"/>
    <xf numFmtId="0" fontId="5" fillId="0" borderId="0"/>
    <xf numFmtId="0" fontId="9" fillId="12" borderId="0" applyNumberFormat="0" applyBorder="0" applyAlignment="0" applyProtection="0"/>
    <xf numFmtId="0" fontId="3" fillId="0" borderId="0"/>
    <xf numFmtId="0" fontId="8" fillId="31" borderId="0" applyNumberFormat="0" applyBorder="0" applyAlignment="0" applyProtection="0"/>
    <xf numFmtId="0" fontId="8" fillId="26" borderId="0" applyNumberFormat="0" applyBorder="0" applyAlignment="0" applyProtection="0"/>
    <xf numFmtId="0" fontId="19" fillId="0" borderId="0">
      <alignment vertical="top"/>
    </xf>
    <xf numFmtId="0" fontId="19" fillId="50" borderId="50"/>
    <xf numFmtId="0" fontId="40" fillId="0" borderId="9" applyNumberFormat="0" applyFill="0" applyAlignment="0" applyProtection="0"/>
    <xf numFmtId="0" fontId="9" fillId="16" borderId="0" applyNumberFormat="0" applyBorder="0" applyAlignment="0" applyProtection="0"/>
    <xf numFmtId="0" fontId="19" fillId="0" borderId="0" applyFont="0" applyFill="0" applyBorder="0" applyAlignment="0" applyProtection="0"/>
    <xf numFmtId="0" fontId="19" fillId="0" borderId="0">
      <alignment vertical="top"/>
    </xf>
    <xf numFmtId="0" fontId="19" fillId="50" borderId="50"/>
    <xf numFmtId="9" fontId="3" fillId="0" borderId="0" applyFont="0" applyFill="0" applyBorder="0" applyAlignment="0" applyProtection="0"/>
    <xf numFmtId="0" fontId="3" fillId="0" borderId="0"/>
    <xf numFmtId="0" fontId="8" fillId="23" borderId="0" applyNumberFormat="0" applyBorder="0" applyAlignment="0" applyProtection="0"/>
    <xf numFmtId="164" fontId="61" fillId="0" borderId="0" applyFont="0" applyFill="0" applyBorder="0" applyAlignment="0" applyProtection="0"/>
    <xf numFmtId="0" fontId="3" fillId="0" borderId="0"/>
    <xf numFmtId="9" fontId="19" fillId="0" borderId="0" applyFont="0" applyFill="0" applyBorder="0" applyAlignment="0" applyProtection="0"/>
    <xf numFmtId="164" fontId="5" fillId="0" borderId="0" applyFont="0" applyFill="0" applyBorder="0" applyAlignment="0" applyProtection="0"/>
    <xf numFmtId="178" fontId="3" fillId="0" borderId="0" applyFont="0" applyFill="0" applyBorder="0" applyProtection="0">
      <alignment vertical="top"/>
    </xf>
    <xf numFmtId="173" fontId="19" fillId="0" borderId="0">
      <alignment vertical="top"/>
    </xf>
    <xf numFmtId="0" fontId="19" fillId="0" borderId="0" applyFont="0" applyFill="0" applyBorder="0" applyAlignment="0" applyProtection="0"/>
    <xf numFmtId="9" fontId="8" fillId="0" borderId="0" applyFont="0" applyFill="0" applyBorder="0" applyAlignment="0" applyProtection="0"/>
    <xf numFmtId="0" fontId="3" fillId="0" borderId="0"/>
    <xf numFmtId="9" fontId="5" fillId="0" borderId="0" applyFont="0" applyFill="0" applyBorder="0" applyAlignment="0" applyProtection="0"/>
    <xf numFmtId="0" fontId="9" fillId="20" borderId="0" applyNumberFormat="0" applyBorder="0" applyAlignment="0" applyProtection="0"/>
    <xf numFmtId="0" fontId="6" fillId="0" borderId="0"/>
    <xf numFmtId="0" fontId="8" fillId="11" borderId="0" applyNumberFormat="0" applyBorder="0" applyAlignment="0" applyProtection="0"/>
    <xf numFmtId="0" fontId="3" fillId="0" borderId="0"/>
    <xf numFmtId="0" fontId="26" fillId="41" borderId="50" applyNumberFormat="0" applyAlignment="0" applyProtection="0"/>
    <xf numFmtId="0" fontId="9" fillId="25" borderId="0" applyNumberFormat="0" applyBorder="0" applyAlignment="0" applyProtection="0"/>
    <xf numFmtId="175" fontId="19" fillId="0" borderId="0" applyFont="0" applyFill="0" applyBorder="0" applyProtection="0">
      <alignment vertical="top"/>
    </xf>
    <xf numFmtId="164" fontId="3" fillId="0" borderId="0" applyFont="0" applyFill="0" applyBorder="0" applyAlignment="0" applyProtection="0"/>
    <xf numFmtId="9" fontId="5" fillId="0" borderId="0" applyFont="0" applyFill="0" applyBorder="0" applyAlignment="0" applyProtection="0"/>
    <xf numFmtId="171" fontId="19" fillId="0" borderId="0" applyFont="0" applyFill="0" applyBorder="0" applyProtection="0">
      <alignment vertical="top"/>
    </xf>
    <xf numFmtId="164" fontId="3" fillId="0" borderId="0" applyFont="0" applyFill="0" applyBorder="0" applyAlignment="0" applyProtection="0"/>
    <xf numFmtId="0" fontId="61" fillId="0" borderId="0"/>
    <xf numFmtId="164" fontId="110" fillId="0" borderId="0" applyFont="0" applyFill="0" applyBorder="0" applyAlignment="0" applyProtection="0"/>
    <xf numFmtId="0" fontId="19" fillId="0" borderId="0" applyFont="0" applyFill="0" applyBorder="0" applyAlignment="0" applyProtection="0"/>
    <xf numFmtId="0" fontId="3" fillId="0" borderId="0"/>
    <xf numFmtId="178" fontId="3" fillId="0" borderId="0" applyFont="0" applyFill="0" applyBorder="0" applyProtection="0">
      <alignment vertical="top"/>
    </xf>
    <xf numFmtId="0" fontId="3" fillId="0" borderId="0"/>
    <xf numFmtId="0" fontId="19" fillId="66" borderId="0">
      <alignment vertical="top"/>
    </xf>
    <xf numFmtId="171" fontId="3" fillId="0" borderId="0" applyFont="0" applyFill="0" applyBorder="0" applyProtection="0">
      <alignment vertical="top"/>
    </xf>
    <xf numFmtId="0" fontId="19" fillId="0" borderId="0"/>
    <xf numFmtId="0" fontId="69" fillId="0" borderId="0" applyNumberFormat="0" applyFill="0" applyBorder="0" applyAlignment="0" applyProtection="0">
      <alignment vertical="top"/>
      <protection locked="0"/>
    </xf>
    <xf numFmtId="164" fontId="19" fillId="0" borderId="0" applyFont="0" applyFill="0" applyBorder="0" applyAlignment="0" applyProtection="0"/>
    <xf numFmtId="164" fontId="19" fillId="0" borderId="0" applyFont="0" applyFill="0" applyBorder="0" applyAlignment="0" applyProtection="0"/>
    <xf numFmtId="171" fontId="3" fillId="0" borderId="0" applyFont="0" applyFill="0" applyBorder="0" applyProtection="0">
      <alignment vertical="top"/>
    </xf>
    <xf numFmtId="0" fontId="59" fillId="51" borderId="43" applyNumberFormat="0" applyAlignment="0" applyProtection="0"/>
    <xf numFmtId="0" fontId="70" fillId="34" borderId="43" applyNumberFormat="0" applyAlignment="0" applyProtection="0"/>
    <xf numFmtId="0" fontId="2" fillId="0" borderId="0"/>
    <xf numFmtId="0" fontId="1" fillId="0" borderId="0"/>
  </cellStyleXfs>
  <cellXfs count="202">
    <xf numFmtId="0" fontId="0" fillId="0" borderId="0" xfId="0"/>
    <xf numFmtId="0" fontId="16" fillId="0" borderId="0" xfId="45"/>
    <xf numFmtId="0" fontId="38" fillId="0" borderId="0" xfId="0" applyFont="1"/>
    <xf numFmtId="0" fontId="46" fillId="0" borderId="0" xfId="0" applyFont="1" applyAlignment="1">
      <alignment vertical="center"/>
    </xf>
    <xf numFmtId="0" fontId="47" fillId="0" borderId="0" xfId="0" applyFont="1"/>
    <xf numFmtId="0" fontId="45" fillId="0" borderId="0" xfId="0" applyFont="1"/>
    <xf numFmtId="0" fontId="45" fillId="48" borderId="19" xfId="0" applyFont="1" applyFill="1" applyBorder="1"/>
    <xf numFmtId="0" fontId="45" fillId="48" borderId="20" xfId="0" applyFont="1" applyFill="1" applyBorder="1"/>
    <xf numFmtId="0" fontId="49" fillId="0" borderId="0" xfId="0" applyFont="1"/>
    <xf numFmtId="0" fontId="45" fillId="0" borderId="0" xfId="0" applyFont="1" applyAlignment="1">
      <alignment horizontal="center"/>
    </xf>
    <xf numFmtId="0" fontId="52" fillId="44" borderId="17" xfId="72" applyFont="1" applyFill="1" applyBorder="1" applyAlignment="1">
      <alignment horizontal="left" vertical="center"/>
    </xf>
    <xf numFmtId="0" fontId="6" fillId="0" borderId="0" xfId="0" applyFont="1"/>
    <xf numFmtId="0" fontId="6" fillId="0" borderId="0" xfId="0" applyFont="1" applyAlignment="1">
      <alignment horizontal="center"/>
    </xf>
    <xf numFmtId="0" fontId="6" fillId="0" borderId="0" xfId="0" applyFont="1" applyAlignment="1">
      <alignment horizontal="left" indent="1"/>
    </xf>
    <xf numFmtId="0" fontId="80" fillId="0" borderId="0" xfId="0" applyFont="1"/>
    <xf numFmtId="0" fontId="45" fillId="0" borderId="0" xfId="0" applyFont="1" applyAlignment="1">
      <alignment horizontal="left" indent="1"/>
    </xf>
    <xf numFmtId="0" fontId="6" fillId="0" borderId="0" xfId="0" applyFont="1" applyAlignment="1">
      <alignment horizontal="left"/>
    </xf>
    <xf numFmtId="0" fontId="19" fillId="0" borderId="0" xfId="0" applyFont="1" applyAlignment="1">
      <alignment horizontal="center" shrinkToFit="1"/>
    </xf>
    <xf numFmtId="0" fontId="6" fillId="0" borderId="0" xfId="0" applyFont="1" applyAlignment="1">
      <alignment horizontal="left" indent="2"/>
    </xf>
    <xf numFmtId="165" fontId="0" fillId="36" borderId="14" xfId="50" applyNumberFormat="1" applyFont="1"/>
    <xf numFmtId="167" fontId="6" fillId="0" borderId="0" xfId="0" applyNumberFormat="1" applyFont="1"/>
    <xf numFmtId="166" fontId="19" fillId="33" borderId="14" xfId="46" applyNumberFormat="1" applyFont="1"/>
    <xf numFmtId="0" fontId="45" fillId="0" borderId="0" xfId="0" applyFont="1" applyAlignment="1">
      <alignment horizontal="left"/>
    </xf>
    <xf numFmtId="0" fontId="52" fillId="0" borderId="0" xfId="72" applyFont="1" applyAlignment="1">
      <alignment horizontal="left" vertical="center"/>
    </xf>
    <xf numFmtId="0" fontId="82" fillId="0" borderId="0" xfId="0" applyFont="1"/>
    <xf numFmtId="0" fontId="84" fillId="48" borderId="20" xfId="0" applyFont="1" applyFill="1" applyBorder="1"/>
    <xf numFmtId="0" fontId="85" fillId="0" borderId="0" xfId="0" applyFont="1"/>
    <xf numFmtId="0" fontId="19" fillId="0" borderId="0" xfId="159"/>
    <xf numFmtId="0" fontId="54" fillId="0" borderId="0" xfId="159" applyFont="1"/>
    <xf numFmtId="0" fontId="54" fillId="49" borderId="20" xfId="159" applyFont="1" applyFill="1" applyBorder="1"/>
    <xf numFmtId="0" fontId="19" fillId="49" borderId="20" xfId="159" applyFill="1" applyBorder="1"/>
    <xf numFmtId="0" fontId="46" fillId="49" borderId="20" xfId="159" applyFont="1" applyFill="1" applyBorder="1"/>
    <xf numFmtId="0" fontId="19" fillId="0" borderId="0" xfId="159" applyAlignment="1">
      <alignment vertical="center"/>
    </xf>
    <xf numFmtId="0" fontId="54" fillId="0" borderId="0" xfId="159" applyFont="1" applyAlignment="1">
      <alignment vertical="center"/>
    </xf>
    <xf numFmtId="168" fontId="19" fillId="0" borderId="0" xfId="159" applyNumberFormat="1" applyAlignment="1">
      <alignment horizontal="right" vertical="center"/>
    </xf>
    <xf numFmtId="10" fontId="19" fillId="0" borderId="0" xfId="152" applyNumberFormat="1" applyAlignment="1">
      <alignment vertical="center"/>
    </xf>
    <xf numFmtId="0" fontId="19" fillId="0" borderId="0" xfId="159" applyAlignment="1">
      <alignment horizontal="left" vertical="center" indent="1"/>
    </xf>
    <xf numFmtId="168" fontId="19" fillId="0" borderId="0" xfId="159" applyNumberFormat="1" applyAlignment="1">
      <alignment horizontal="left" vertical="center"/>
    </xf>
    <xf numFmtId="168" fontId="19" fillId="47" borderId="36" xfId="159" applyNumberFormat="1" applyFill="1" applyBorder="1" applyAlignment="1" applyProtection="1">
      <alignment horizontal="right" vertical="center"/>
      <protection locked="0"/>
    </xf>
    <xf numFmtId="0" fontId="19" fillId="0" borderId="0" xfId="160" applyFont="1" applyAlignment="1">
      <alignment horizontal="left" vertical="center" indent="1"/>
    </xf>
    <xf numFmtId="1" fontId="46" fillId="0" borderId="0" xfId="152" applyNumberFormat="1" applyFont="1" applyAlignment="1">
      <alignment vertical="center"/>
    </xf>
    <xf numFmtId="0" fontId="46" fillId="0" borderId="0" xfId="160" applyFont="1" applyAlignment="1">
      <alignment vertical="center"/>
    </xf>
    <xf numFmtId="169" fontId="19" fillId="0" borderId="37" xfId="159" applyNumberFormat="1" applyBorder="1" applyAlignment="1">
      <alignment horizontal="right" vertical="center"/>
    </xf>
    <xf numFmtId="167" fontId="19" fillId="0" borderId="37" xfId="159" applyNumberFormat="1" applyBorder="1" applyAlignment="1">
      <alignment horizontal="right" vertical="center"/>
    </xf>
    <xf numFmtId="0" fontId="19" fillId="0" borderId="0" xfId="159" applyAlignment="1">
      <alignment shrinkToFit="1"/>
    </xf>
    <xf numFmtId="0" fontId="19" fillId="0" borderId="0" xfId="159" applyAlignment="1">
      <alignment horizontal="left" vertical="center"/>
    </xf>
    <xf numFmtId="169" fontId="19" fillId="0" borderId="0" xfId="159" applyNumberFormat="1" applyAlignment="1">
      <alignment horizontal="right"/>
    </xf>
    <xf numFmtId="165" fontId="19" fillId="46" borderId="36" xfId="159" applyNumberFormat="1" applyFill="1" applyBorder="1" applyAlignment="1">
      <alignment horizontal="right" vertical="center"/>
    </xf>
    <xf numFmtId="166" fontId="19" fillId="69" borderId="36" xfId="159" applyNumberFormat="1" applyFill="1" applyBorder="1" applyAlignment="1">
      <alignment horizontal="right"/>
    </xf>
    <xf numFmtId="0" fontId="19" fillId="0" borderId="0" xfId="159" applyAlignment="1">
      <alignment horizontal="right" vertical="center"/>
    </xf>
    <xf numFmtId="0" fontId="46" fillId="0" borderId="0" xfId="159" applyFont="1" applyAlignment="1">
      <alignment horizontal="left" vertical="center"/>
    </xf>
    <xf numFmtId="10" fontId="54" fillId="0" borderId="0" xfId="152" applyNumberFormat="1" applyFont="1" applyAlignment="1">
      <alignment vertical="center"/>
    </xf>
    <xf numFmtId="168" fontId="19" fillId="0" borderId="0" xfId="152" applyNumberFormat="1" applyAlignment="1">
      <alignment horizontal="center"/>
    </xf>
    <xf numFmtId="10" fontId="19" fillId="0" borderId="0" xfId="152" applyNumberFormat="1" applyAlignment="1">
      <alignment horizontal="left" vertical="center"/>
    </xf>
    <xf numFmtId="168" fontId="19" fillId="0" borderId="0" xfId="152" applyNumberFormat="1"/>
    <xf numFmtId="169" fontId="19" fillId="47" borderId="36" xfId="159" applyNumberFormat="1" applyFill="1" applyBorder="1" applyAlignment="1">
      <alignment horizontal="right" vertical="center"/>
    </xf>
    <xf numFmtId="49" fontId="47" fillId="45" borderId="38" xfId="160" applyNumberFormat="1" applyFont="1" applyFill="1" applyBorder="1" applyAlignment="1">
      <alignment horizontal="right" vertical="center"/>
    </xf>
    <xf numFmtId="165" fontId="19" fillId="46" borderId="36" xfId="160" applyNumberFormat="1" applyFont="1" applyFill="1" applyBorder="1" applyAlignment="1">
      <alignment horizontal="right" vertical="center"/>
    </xf>
    <xf numFmtId="0" fontId="6" fillId="0" borderId="0" xfId="160" applyFont="1"/>
    <xf numFmtId="1" fontId="19" fillId="0" borderId="0" xfId="152" applyNumberFormat="1" applyAlignment="1">
      <alignment vertical="center"/>
    </xf>
    <xf numFmtId="1" fontId="54" fillId="0" borderId="0" xfId="152" applyNumberFormat="1" applyFont="1" applyAlignment="1">
      <alignment vertical="center"/>
    </xf>
    <xf numFmtId="0" fontId="45" fillId="0" borderId="0" xfId="160" applyFont="1" applyAlignment="1">
      <alignment horizontal="center"/>
    </xf>
    <xf numFmtId="1" fontId="19" fillId="0" borderId="0" xfId="152" applyNumberFormat="1" applyAlignment="1">
      <alignment horizontal="left" vertical="center"/>
    </xf>
    <xf numFmtId="1" fontId="19" fillId="0" borderId="0" xfId="159" applyNumberFormat="1" applyAlignment="1" applyProtection="1">
      <alignment horizontal="right" vertical="center"/>
      <protection hidden="1"/>
    </xf>
    <xf numFmtId="1" fontId="54" fillId="0" borderId="0" xfId="159" applyNumberFormat="1" applyFont="1" applyAlignment="1" applyProtection="1">
      <alignment horizontal="right" vertical="center"/>
      <protection hidden="1"/>
    </xf>
    <xf numFmtId="1" fontId="46" fillId="0" borderId="0" xfId="159" applyNumberFormat="1" applyFont="1" applyAlignment="1" applyProtection="1">
      <alignment horizontal="right" vertical="center"/>
      <protection hidden="1"/>
    </xf>
    <xf numFmtId="1" fontId="54" fillId="0" borderId="0" xfId="159" applyNumberFormat="1" applyFont="1" applyAlignment="1" applyProtection="1">
      <alignment horizontal="left" vertical="center"/>
      <protection hidden="1"/>
    </xf>
    <xf numFmtId="1" fontId="48" fillId="0" borderId="0" xfId="159" applyNumberFormat="1" applyFont="1" applyAlignment="1">
      <alignment horizontal="left" vertical="center"/>
    </xf>
    <xf numFmtId="0" fontId="19" fillId="0" borderId="0" xfId="159" applyAlignment="1">
      <alignment horizontal="center" vertical="center" shrinkToFit="1"/>
    </xf>
    <xf numFmtId="0" fontId="19" fillId="0" borderId="0" xfId="159" applyAlignment="1">
      <alignment vertical="center" shrinkToFit="1"/>
    </xf>
    <xf numFmtId="0" fontId="19" fillId="0" borderId="0" xfId="159" applyAlignment="1">
      <alignment horizontal="left" vertical="center" shrinkToFit="1"/>
    </xf>
    <xf numFmtId="0" fontId="22" fillId="44" borderId="0" xfId="159" applyFont="1" applyFill="1" applyAlignment="1">
      <alignment vertical="center"/>
    </xf>
    <xf numFmtId="0" fontId="50"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6" fillId="0" borderId="39" xfId="0" applyFont="1" applyBorder="1" applyAlignment="1">
      <alignment horizontal="left" vertical="top" wrapText="1"/>
    </xf>
    <xf numFmtId="0" fontId="19" fillId="0" borderId="39" xfId="0" applyFont="1" applyBorder="1" applyAlignment="1">
      <alignment horizontal="left" vertical="top" wrapText="1"/>
    </xf>
    <xf numFmtId="0" fontId="6" fillId="0" borderId="40" xfId="0" applyFont="1" applyBorder="1" applyAlignment="1">
      <alignment horizontal="left" vertical="top"/>
    </xf>
    <xf numFmtId="0" fontId="6" fillId="0" borderId="41" xfId="0" applyFont="1" applyBorder="1" applyAlignment="1">
      <alignment horizontal="left" vertical="top"/>
    </xf>
    <xf numFmtId="0" fontId="6" fillId="0" borderId="41" xfId="0" applyFont="1" applyBorder="1" applyAlignment="1">
      <alignment horizontal="left" vertical="top" wrapText="1"/>
    </xf>
    <xf numFmtId="0" fontId="87" fillId="0" borderId="39" xfId="0" applyFont="1" applyBorder="1" applyAlignment="1">
      <alignment horizontal="left" vertical="top"/>
    </xf>
    <xf numFmtId="0" fontId="6" fillId="0" borderId="0" xfId="0" applyFont="1" applyAlignment="1">
      <alignment horizontal="left" vertical="top"/>
    </xf>
    <xf numFmtId="0" fontId="0" fillId="50" borderId="0" xfId="0" applyFill="1"/>
    <xf numFmtId="0" fontId="6" fillId="33" borderId="14" xfId="46" applyFont="1"/>
    <xf numFmtId="167" fontId="19" fillId="47" borderId="14" xfId="46" applyNumberFormat="1" applyFont="1" applyFill="1"/>
    <xf numFmtId="167" fontId="19" fillId="33" borderId="14" xfId="46" applyNumberFormat="1" applyFont="1"/>
    <xf numFmtId="170" fontId="19" fillId="33" borderId="14" xfId="166" applyNumberFormat="1" applyFont="1" applyFill="1" applyBorder="1"/>
    <xf numFmtId="0" fontId="88" fillId="0" borderId="0" xfId="0" applyFont="1"/>
    <xf numFmtId="165" fontId="19" fillId="46" borderId="36" xfId="0" applyNumberFormat="1" applyFont="1" applyFill="1" applyBorder="1" applyAlignment="1">
      <alignment horizontal="right" vertical="center"/>
    </xf>
    <xf numFmtId="49" fontId="47" fillId="45" borderId="38" xfId="0" applyNumberFormat="1" applyFont="1" applyFill="1" applyBorder="1" applyAlignment="1">
      <alignment horizontal="right" vertical="center"/>
    </xf>
    <xf numFmtId="168" fontId="6" fillId="47" borderId="14" xfId="46" applyNumberFormat="1" applyFont="1" applyFill="1"/>
    <xf numFmtId="9" fontId="6" fillId="0" borderId="0" xfId="166" applyFont="1"/>
    <xf numFmtId="168" fontId="6" fillId="0" borderId="0" xfId="0" applyNumberFormat="1" applyFont="1"/>
    <xf numFmtId="0" fontId="6" fillId="0" borderId="36" xfId="0" applyFont="1" applyBorder="1"/>
    <xf numFmtId="0" fontId="19" fillId="0" borderId="0" xfId="0" applyFont="1" applyAlignment="1">
      <alignment horizontal="center"/>
    </xf>
    <xf numFmtId="0" fontId="19" fillId="0" borderId="0" xfId="0" applyFont="1"/>
    <xf numFmtId="0" fontId="33" fillId="0" borderId="0" xfId="0" applyFont="1"/>
    <xf numFmtId="170" fontId="6" fillId="0" borderId="0" xfId="166" applyNumberFormat="1" applyFont="1"/>
    <xf numFmtId="0" fontId="6" fillId="0" borderId="42" xfId="0" applyFont="1" applyBorder="1" applyAlignment="1">
      <alignment horizontal="left" vertical="top" wrapText="1"/>
    </xf>
    <xf numFmtId="0" fontId="6" fillId="0" borderId="42" xfId="0" applyFont="1" applyBorder="1" applyAlignment="1">
      <alignment horizontal="left" vertical="top"/>
    </xf>
    <xf numFmtId="10" fontId="19" fillId="0" borderId="0" xfId="152" applyNumberFormat="1" applyAlignment="1">
      <alignment vertical="center" wrapText="1"/>
    </xf>
    <xf numFmtId="168" fontId="19" fillId="0" borderId="0" xfId="159" applyNumberFormat="1" applyAlignment="1" applyProtection="1">
      <alignment horizontal="right" vertical="center"/>
      <protection locked="0"/>
    </xf>
    <xf numFmtId="10" fontId="19" fillId="0" borderId="0" xfId="159" applyNumberFormat="1" applyAlignment="1">
      <alignment shrinkToFit="1"/>
    </xf>
    <xf numFmtId="10" fontId="19" fillId="0" borderId="0" xfId="159" applyNumberFormat="1" applyAlignment="1">
      <alignment horizontal="left" vertical="center"/>
    </xf>
    <xf numFmtId="17" fontId="6" fillId="0" borderId="0" xfId="0" applyNumberFormat="1" applyFont="1"/>
    <xf numFmtId="0" fontId="52" fillId="44" borderId="42" xfId="72" applyFont="1" applyFill="1" applyBorder="1" applyAlignment="1">
      <alignment horizontal="left" vertical="center"/>
    </xf>
    <xf numFmtId="0" fontId="86" fillId="44" borderId="42" xfId="72" applyFont="1" applyFill="1" applyBorder="1" applyAlignment="1">
      <alignment horizontal="left" vertical="center"/>
    </xf>
    <xf numFmtId="1" fontId="43" fillId="0" borderId="42" xfId="0" applyNumberFormat="1" applyFont="1" applyBorder="1" applyAlignment="1">
      <alignment horizontal="center"/>
    </xf>
    <xf numFmtId="1" fontId="44" fillId="43" borderId="42" xfId="0" applyNumberFormat="1" applyFont="1" applyFill="1" applyBorder="1" applyAlignment="1">
      <alignment horizontal="center"/>
    </xf>
    <xf numFmtId="49" fontId="47" fillId="45" borderId="42" xfId="0" applyNumberFormat="1" applyFont="1" applyFill="1" applyBorder="1" applyAlignment="1">
      <alignment horizontal="right" vertical="center"/>
    </xf>
    <xf numFmtId="0" fontId="47" fillId="45" borderId="42" xfId="0" applyFont="1" applyFill="1" applyBorder="1" applyAlignment="1">
      <alignment horizontal="left" vertical="center"/>
    </xf>
    <xf numFmtId="0" fontId="48" fillId="45" borderId="42" xfId="0" applyFont="1" applyFill="1" applyBorder="1" applyAlignment="1">
      <alignment horizontal="left" vertical="center"/>
    </xf>
    <xf numFmtId="0" fontId="83" fillId="45" borderId="42" xfId="0" applyFont="1" applyFill="1" applyBorder="1" applyAlignment="1">
      <alignment horizontal="left" vertical="center"/>
    </xf>
    <xf numFmtId="0" fontId="47" fillId="45" borderId="42" xfId="0" applyFont="1" applyFill="1" applyBorder="1" applyAlignment="1">
      <alignment horizontal="center" vertical="center"/>
    </xf>
    <xf numFmtId="0" fontId="50" fillId="44" borderId="42" xfId="159" applyFont="1" applyFill="1" applyBorder="1" applyAlignment="1">
      <alignment vertical="center"/>
    </xf>
    <xf numFmtId="49" fontId="51" fillId="44" borderId="42" xfId="159" applyNumberFormat="1" applyFont="1" applyFill="1" applyBorder="1"/>
    <xf numFmtId="0" fontId="52" fillId="44" borderId="42" xfId="159" applyFont="1" applyFill="1" applyBorder="1" applyAlignment="1">
      <alignment horizontal="left" vertical="center"/>
    </xf>
    <xf numFmtId="0" fontId="50" fillId="44" borderId="42" xfId="159" applyFont="1" applyFill="1" applyBorder="1" applyAlignment="1">
      <alignment horizontal="right" vertical="center"/>
    </xf>
    <xf numFmtId="1" fontId="53" fillId="44" borderId="42" xfId="159" applyNumberFormat="1" applyFont="1" applyFill="1" applyBorder="1" applyAlignment="1">
      <alignment horizontal="left" vertical="center"/>
    </xf>
    <xf numFmtId="1" fontId="43" fillId="0" borderId="42" xfId="160" applyNumberFormat="1" applyFont="1" applyBorder="1" applyAlignment="1">
      <alignment horizontal="center"/>
    </xf>
    <xf numFmtId="1" fontId="44" fillId="43" borderId="42" xfId="160" applyNumberFormat="1" applyFont="1" applyFill="1" applyBorder="1" applyAlignment="1">
      <alignment horizontal="center"/>
    </xf>
    <xf numFmtId="49" fontId="47" fillId="45" borderId="42" xfId="160" applyNumberFormat="1" applyFont="1" applyFill="1" applyBorder="1" applyAlignment="1">
      <alignment horizontal="right" vertical="center"/>
    </xf>
    <xf numFmtId="0" fontId="47" fillId="45" borderId="42" xfId="160" applyFont="1" applyFill="1" applyBorder="1" applyAlignment="1">
      <alignment horizontal="left" vertical="center"/>
    </xf>
    <xf numFmtId="0" fontId="48" fillId="45" borderId="42" xfId="160" applyFont="1" applyFill="1" applyBorder="1" applyAlignment="1">
      <alignment horizontal="left" vertical="center"/>
    </xf>
    <xf numFmtId="167" fontId="47" fillId="45" borderId="42" xfId="0" applyNumberFormat="1" applyFont="1" applyFill="1" applyBorder="1" applyAlignment="1">
      <alignment horizontal="left" vertical="center"/>
    </xf>
    <xf numFmtId="0" fontId="42" fillId="44" borderId="42" xfId="0" applyFont="1" applyFill="1" applyBorder="1" applyAlignment="1">
      <alignment horizontal="left" vertical="center"/>
    </xf>
    <xf numFmtId="0" fontId="81" fillId="44" borderId="42" xfId="0" applyFont="1" applyFill="1" applyBorder="1" applyAlignment="1">
      <alignment horizontal="left" vertical="center"/>
    </xf>
    <xf numFmtId="0" fontId="61" fillId="0" borderId="0" xfId="168" applyAlignment="1">
      <alignment vertical="top"/>
    </xf>
    <xf numFmtId="0" fontId="61" fillId="72" borderId="0" xfId="168" applyFill="1" applyAlignment="1">
      <alignment vertical="top"/>
    </xf>
    <xf numFmtId="172" fontId="89" fillId="0" borderId="0" xfId="168" applyNumberFormat="1" applyFont="1" applyAlignment="1">
      <alignment vertical="top"/>
    </xf>
    <xf numFmtId="172" fontId="61" fillId="0" borderId="0" xfId="168" applyNumberFormat="1" applyAlignment="1">
      <alignment vertical="top"/>
    </xf>
    <xf numFmtId="0" fontId="38" fillId="72" borderId="0" xfId="0" applyFont="1" applyFill="1"/>
    <xf numFmtId="0" fontId="6" fillId="73" borderId="39" xfId="0" applyFont="1" applyFill="1" applyBorder="1" applyAlignment="1">
      <alignment horizontal="left" vertical="top"/>
    </xf>
    <xf numFmtId="0" fontId="6" fillId="73" borderId="39" xfId="0" applyFont="1" applyFill="1" applyBorder="1" applyAlignment="1">
      <alignment horizontal="left" vertical="top" wrapText="1"/>
    </xf>
    <xf numFmtId="0" fontId="6" fillId="73" borderId="0" xfId="0" applyFont="1" applyFill="1" applyAlignment="1">
      <alignment horizontal="center"/>
    </xf>
    <xf numFmtId="0" fontId="82" fillId="73" borderId="0" xfId="0" applyFont="1" applyFill="1"/>
    <xf numFmtId="0" fontId="49" fillId="73" borderId="0" xfId="0" applyFont="1" applyFill="1"/>
    <xf numFmtId="0" fontId="6" fillId="73" borderId="0" xfId="0" applyFont="1" applyFill="1" applyAlignment="1">
      <alignment horizontal="left" indent="1"/>
    </xf>
    <xf numFmtId="0" fontId="6" fillId="73" borderId="0" xfId="0" applyFont="1" applyFill="1" applyAlignment="1">
      <alignment horizontal="left" indent="2"/>
    </xf>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19" fillId="47" borderId="14" xfId="46" applyNumberFormat="1" applyFont="1" applyFill="1"/>
    <xf numFmtId="0" fontId="6" fillId="74" borderId="0" xfId="0" applyFont="1" applyFill="1" applyAlignment="1">
      <alignment horizontal="left" indent="1"/>
    </xf>
    <xf numFmtId="0" fontId="49" fillId="74" borderId="0" xfId="0" applyFont="1" applyFill="1"/>
    <xf numFmtId="0" fontId="6" fillId="33" borderId="14" xfId="46" applyFont="1" applyAlignment="1">
      <alignment horizontal="center" vertical="center"/>
    </xf>
    <xf numFmtId="0" fontId="6" fillId="47" borderId="14" xfId="46" applyFont="1" applyFill="1" applyAlignment="1">
      <alignment horizontal="center" vertical="center"/>
    </xf>
    <xf numFmtId="0" fontId="6" fillId="74" borderId="0" xfId="0" applyFont="1" applyFill="1" applyAlignment="1">
      <alignment horizontal="center"/>
    </xf>
    <xf numFmtId="0" fontId="6" fillId="74" borderId="0" xfId="0" applyFont="1" applyFill="1" applyAlignment="1">
      <alignment horizontal="left" indent="2"/>
    </xf>
    <xf numFmtId="0" fontId="82" fillId="74" borderId="0" xfId="0" applyFont="1" applyFill="1"/>
    <xf numFmtId="167" fontId="6" fillId="74" borderId="0" xfId="0" applyNumberFormat="1" applyFont="1" applyFill="1"/>
    <xf numFmtId="0" fontId="45" fillId="74" borderId="0" xfId="0" applyFont="1" applyFill="1" applyAlignment="1">
      <alignment horizontal="left"/>
    </xf>
    <xf numFmtId="10" fontId="61" fillId="0" borderId="0" xfId="168" applyNumberFormat="1" applyAlignment="1">
      <alignment vertical="top"/>
    </xf>
    <xf numFmtId="1" fontId="61" fillId="0" borderId="0" xfId="168" applyNumberFormat="1" applyAlignment="1">
      <alignment vertical="top"/>
    </xf>
    <xf numFmtId="0" fontId="90" fillId="0" borderId="0" xfId="0" applyFont="1"/>
    <xf numFmtId="0" fontId="61" fillId="0" borderId="0" xfId="168" applyFill="1" applyAlignment="1">
      <alignment vertical="top"/>
    </xf>
    <xf numFmtId="10" fontId="89" fillId="0" borderId="0" xfId="168" applyNumberFormat="1" applyFont="1" applyAlignment="1">
      <alignment vertical="top"/>
    </xf>
    <xf numFmtId="22" fontId="3" fillId="0" borderId="0" xfId="247" applyNumberFormat="1"/>
    <xf numFmtId="0" fontId="3" fillId="0" borderId="0" xfId="10981" applyFill="1" applyBorder="1" applyAlignment="1">
      <alignment vertical="top"/>
    </xf>
    <xf numFmtId="0" fontId="3" fillId="0" borderId="0" xfId="10981" applyFont="1" applyFill="1" applyAlignment="1"/>
    <xf numFmtId="0" fontId="3" fillId="0" borderId="0" xfId="249" applyFill="1" applyAlignment="1">
      <alignment vertical="top"/>
    </xf>
    <xf numFmtId="0" fontId="3" fillId="0" borderId="0" xfId="11018" applyFill="1" applyAlignment="1">
      <alignment vertical="top"/>
    </xf>
    <xf numFmtId="0" fontId="0" fillId="0" borderId="0" xfId="0" quotePrefix="1"/>
    <xf numFmtId="167" fontId="19" fillId="71" borderId="14" xfId="46" applyNumberFormat="1" applyFont="1" applyFill="1"/>
    <xf numFmtId="1" fontId="6" fillId="47" borderId="14" xfId="46" applyNumberFormat="1" applyFont="1" applyFill="1"/>
    <xf numFmtId="0" fontId="6" fillId="96" borderId="42" xfId="0" applyFont="1" applyFill="1" applyBorder="1" applyAlignment="1">
      <alignment horizontal="left" vertical="top"/>
    </xf>
    <xf numFmtId="0" fontId="6" fillId="96" borderId="42" xfId="0" applyFont="1" applyFill="1" applyBorder="1" applyAlignment="1">
      <alignment horizontal="left" vertical="top" wrapText="1"/>
    </xf>
    <xf numFmtId="0" fontId="6" fillId="96" borderId="0" xfId="0" applyFont="1" applyFill="1" applyAlignment="1">
      <alignment horizontal="center"/>
    </xf>
    <xf numFmtId="0" fontId="6" fillId="96" borderId="0" xfId="0" applyFont="1" applyFill="1"/>
    <xf numFmtId="0" fontId="85" fillId="96" borderId="0" xfId="0" applyFont="1" applyFill="1"/>
    <xf numFmtId="0" fontId="82" fillId="96" borderId="0" xfId="0" applyFont="1" applyFill="1"/>
    <xf numFmtId="167" fontId="6" fillId="96" borderId="0" xfId="0" applyNumberFormat="1" applyFont="1" applyFill="1"/>
    <xf numFmtId="0" fontId="38" fillId="96" borderId="0" xfId="0" applyFont="1" applyFill="1"/>
    <xf numFmtId="0" fontId="6" fillId="96" borderId="0" xfId="0" applyFont="1" applyFill="1" applyAlignment="1">
      <alignment horizontal="left" indent="1"/>
    </xf>
    <xf numFmtId="0" fontId="118" fillId="96" borderId="0" xfId="0" applyNumberFormat="1" applyFont="1" applyFill="1" applyAlignment="1">
      <alignment horizontal="left" indent="1"/>
    </xf>
    <xf numFmtId="0" fontId="49" fillId="96" borderId="0" xfId="0" applyFont="1" applyFill="1"/>
    <xf numFmtId="167" fontId="6" fillId="0" borderId="0" xfId="0" applyNumberFormat="1" applyFont="1" applyFill="1"/>
    <xf numFmtId="0" fontId="0" fillId="0" borderId="0" xfId="0" applyFill="1"/>
    <xf numFmtId="0" fontId="6" fillId="0" borderId="0" xfId="0" applyFont="1" applyFill="1" applyAlignment="1">
      <alignment horizontal="left" indent="1"/>
    </xf>
    <xf numFmtId="170" fontId="6" fillId="0" borderId="0" xfId="166" applyNumberFormat="1" applyFont="1" applyFill="1"/>
    <xf numFmtId="0" fontId="6" fillId="0" borderId="0" xfId="0" applyFont="1" applyFill="1"/>
    <xf numFmtId="0" fontId="0" fillId="71" borderId="0" xfId="0" applyFill="1"/>
    <xf numFmtId="185" fontId="0" fillId="71" borderId="0" xfId="0" applyNumberFormat="1" applyFill="1"/>
    <xf numFmtId="0" fontId="6" fillId="0" borderId="0" xfId="0" applyFont="1" applyFill="1" applyAlignment="1">
      <alignment horizontal="left" indent="2"/>
    </xf>
    <xf numFmtId="173" fontId="0" fillId="71" borderId="0" xfId="0" applyNumberFormat="1" applyFill="1"/>
    <xf numFmtId="0" fontId="6" fillId="0" borderId="0" xfId="0" applyFont="1" applyFill="1" applyAlignment="1">
      <alignment horizontal="center"/>
    </xf>
    <xf numFmtId="0" fontId="85" fillId="0" borderId="0" xfId="0" applyFont="1" applyFill="1"/>
    <xf numFmtId="0" fontId="49" fillId="0" borderId="0" xfId="0" applyFont="1" applyFill="1"/>
    <xf numFmtId="0" fontId="38" fillId="0" borderId="0" xfId="0" applyFont="1" applyFill="1"/>
    <xf numFmtId="0" fontId="6" fillId="0" borderId="51" xfId="0" applyFont="1" applyBorder="1" applyAlignment="1">
      <alignment horizontal="left" vertical="top"/>
    </xf>
    <xf numFmtId="0" fontId="6" fillId="0" borderId="52" xfId="0" applyFont="1" applyBorder="1" applyAlignment="1">
      <alignment horizontal="left" vertical="top" wrapText="1"/>
    </xf>
    <xf numFmtId="0" fontId="6" fillId="0" borderId="53" xfId="0" applyFont="1" applyBorder="1" applyAlignment="1">
      <alignment horizontal="left" vertical="top"/>
    </xf>
    <xf numFmtId="0" fontId="6" fillId="0" borderId="52" xfId="0" applyFont="1" applyBorder="1" applyAlignment="1">
      <alignment horizontal="left" vertical="top"/>
    </xf>
    <xf numFmtId="0" fontId="6" fillId="0" borderId="53" xfId="0" applyFont="1" applyBorder="1" applyAlignment="1">
      <alignment horizontal="left" vertical="top" wrapText="1"/>
    </xf>
    <xf numFmtId="10" fontId="0" fillId="0" borderId="0" xfId="0" applyNumberFormat="1" applyFill="1"/>
    <xf numFmtId="0" fontId="6" fillId="0" borderId="52" xfId="0" applyFont="1" applyFill="1" applyBorder="1" applyAlignment="1">
      <alignment horizontal="left" vertical="top"/>
    </xf>
    <xf numFmtId="0" fontId="6" fillId="0" borderId="52" xfId="0" applyFont="1" applyFill="1" applyBorder="1" applyAlignment="1">
      <alignment horizontal="left" vertical="top" wrapText="1"/>
    </xf>
    <xf numFmtId="0" fontId="6" fillId="0" borderId="39" xfId="0" applyFont="1" applyFill="1" applyBorder="1" applyAlignment="1">
      <alignment horizontal="left" vertical="top"/>
    </xf>
    <xf numFmtId="0" fontId="6" fillId="0" borderId="39" xfId="0" applyFont="1" applyFill="1" applyBorder="1" applyAlignment="1">
      <alignment horizontal="left" vertical="top" wrapText="1"/>
    </xf>
    <xf numFmtId="17" fontId="6" fillId="0" borderId="0" xfId="0" applyNumberFormat="1" applyFont="1" applyFill="1"/>
  </cellXfs>
  <cellStyles count="11032">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3" xfId="220"/>
    <cellStyle name="Normal 7 4" xfId="2949"/>
    <cellStyle name="Normal 7 5" xfId="10981"/>
    <cellStyle name="Normal 7 6" xfId="10789"/>
    <cellStyle name="Normal 7 7" xfId="11018"/>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6"/>
  <sheetViews>
    <sheetView tabSelected="1" workbookViewId="0"/>
  </sheetViews>
  <sheetFormatPr defaultColWidth="9.73046875" defaultRowHeight="12.75"/>
  <cols>
    <col min="1" max="1" width="4.86328125" customWidth="1"/>
    <col min="2" max="2" width="6.3984375" customWidth="1"/>
    <col min="3" max="3" width="13.1328125" customWidth="1"/>
    <col min="4" max="4" width="2.86328125" customWidth="1"/>
    <col min="5" max="5" width="16.265625" customWidth="1"/>
    <col min="6" max="15" width="7.59765625" customWidth="1"/>
    <col min="16" max="16" width="10.73046875" customWidth="1"/>
  </cols>
  <sheetData>
    <row r="1" spans="1:15">
      <c r="C1" t="s">
        <v>429</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553</v>
      </c>
      <c r="B4" t="s">
        <v>430</v>
      </c>
      <c r="C4" t="s">
        <v>431</v>
      </c>
      <c r="D4" t="s">
        <v>15</v>
      </c>
      <c r="E4" t="s">
        <v>16</v>
      </c>
      <c r="F4" s="139"/>
      <c r="G4" s="139"/>
      <c r="H4" s="139"/>
      <c r="I4" s="139"/>
      <c r="J4" s="139"/>
      <c r="K4" s="139"/>
      <c r="L4" s="139"/>
      <c r="M4" s="139"/>
      <c r="N4" s="139"/>
      <c r="O4" s="139">
        <v>2</v>
      </c>
    </row>
    <row r="5" spans="1:15">
      <c r="A5" t="s">
        <v>553</v>
      </c>
      <c r="B5" t="s">
        <v>17</v>
      </c>
      <c r="C5" t="s">
        <v>432</v>
      </c>
      <c r="D5" t="s">
        <v>18</v>
      </c>
      <c r="E5" t="s">
        <v>16</v>
      </c>
      <c r="F5" s="139"/>
      <c r="G5" s="139"/>
      <c r="H5" s="139"/>
      <c r="I5" s="139"/>
      <c r="J5" s="139"/>
      <c r="K5" s="139"/>
      <c r="L5" s="139"/>
      <c r="M5" s="139"/>
      <c r="N5" s="139"/>
      <c r="O5" s="139" t="b">
        <v>1</v>
      </c>
    </row>
    <row r="6" spans="1:15">
      <c r="A6" t="s">
        <v>553</v>
      </c>
      <c r="B6" t="s">
        <v>19</v>
      </c>
      <c r="C6" t="s">
        <v>433</v>
      </c>
      <c r="D6" t="s">
        <v>20</v>
      </c>
      <c r="E6" t="s">
        <v>16</v>
      </c>
      <c r="F6" s="140"/>
      <c r="G6" s="140"/>
      <c r="H6" s="140"/>
      <c r="I6" s="140"/>
      <c r="J6" s="140"/>
      <c r="K6" s="140"/>
      <c r="L6" s="140"/>
      <c r="M6" s="140"/>
      <c r="N6" s="140"/>
      <c r="O6" s="140">
        <v>0.02</v>
      </c>
    </row>
    <row r="7" spans="1:15">
      <c r="A7" t="s">
        <v>553</v>
      </c>
      <c r="B7" t="s">
        <v>21</v>
      </c>
      <c r="C7" t="s">
        <v>434</v>
      </c>
      <c r="D7" t="s">
        <v>20</v>
      </c>
      <c r="E7" t="s">
        <v>16</v>
      </c>
      <c r="F7" s="140"/>
      <c r="G7" s="140"/>
      <c r="H7" s="140"/>
      <c r="I7" s="140"/>
      <c r="J7" s="140"/>
      <c r="K7" s="140"/>
      <c r="L7" s="140"/>
      <c r="M7" s="140"/>
      <c r="N7" s="140"/>
      <c r="O7" s="140">
        <v>0.03</v>
      </c>
    </row>
    <row r="8" spans="1:15">
      <c r="A8" t="s">
        <v>553</v>
      </c>
      <c r="B8" t="s">
        <v>22</v>
      </c>
      <c r="C8" t="s">
        <v>435</v>
      </c>
      <c r="D8" t="s">
        <v>20</v>
      </c>
      <c r="E8" t="s">
        <v>16</v>
      </c>
      <c r="F8" s="140"/>
      <c r="G8" s="140"/>
      <c r="H8" s="140"/>
      <c r="I8" s="140"/>
      <c r="J8" s="140"/>
      <c r="K8" s="140"/>
      <c r="L8" s="140"/>
      <c r="M8" s="140"/>
      <c r="N8" s="140"/>
      <c r="O8" s="140">
        <v>0.03</v>
      </c>
    </row>
    <row r="9" spans="1:15">
      <c r="A9" t="s">
        <v>553</v>
      </c>
      <c r="B9" t="s">
        <v>23</v>
      </c>
      <c r="C9" t="s">
        <v>436</v>
      </c>
      <c r="D9" t="s">
        <v>20</v>
      </c>
      <c r="E9" t="s">
        <v>16</v>
      </c>
      <c r="F9" s="140"/>
      <c r="G9" s="140"/>
      <c r="H9" s="140"/>
      <c r="I9" s="140"/>
      <c r="J9" s="140"/>
      <c r="K9" s="140"/>
      <c r="L9" s="140"/>
      <c r="M9" s="140"/>
      <c r="N9" s="140"/>
      <c r="O9" s="140">
        <v>3.5999999999999997E-2</v>
      </c>
    </row>
    <row r="10" spans="1:15">
      <c r="A10" t="s">
        <v>553</v>
      </c>
      <c r="B10" t="s">
        <v>437</v>
      </c>
      <c r="C10" t="s">
        <v>436</v>
      </c>
      <c r="D10" t="s">
        <v>20</v>
      </c>
      <c r="E10" t="s">
        <v>16</v>
      </c>
      <c r="F10" s="140"/>
      <c r="G10" s="140"/>
      <c r="H10" s="140"/>
      <c r="I10" s="140"/>
      <c r="J10" s="140"/>
      <c r="K10" s="140"/>
      <c r="L10" s="140"/>
      <c r="M10" s="140"/>
      <c r="N10" s="140"/>
      <c r="O10" s="140">
        <v>3.5999999999999997E-2</v>
      </c>
    </row>
    <row r="11" spans="1:15">
      <c r="A11" t="s">
        <v>553</v>
      </c>
      <c r="B11" t="s">
        <v>438</v>
      </c>
      <c r="C11" t="s">
        <v>436</v>
      </c>
      <c r="D11" t="s">
        <v>20</v>
      </c>
      <c r="E11" t="s">
        <v>16</v>
      </c>
      <c r="F11" s="140"/>
      <c r="G11" s="140"/>
      <c r="H11" s="140"/>
      <c r="I11" s="140"/>
      <c r="J11" s="140"/>
      <c r="K11" s="140"/>
      <c r="L11" s="140"/>
      <c r="M11" s="140"/>
      <c r="N11" s="140"/>
      <c r="O11" s="140"/>
    </row>
    <row r="12" spans="1:15">
      <c r="A12" t="s">
        <v>553</v>
      </c>
      <c r="B12" t="s">
        <v>24</v>
      </c>
      <c r="C12" t="s">
        <v>439</v>
      </c>
      <c r="D12" t="s">
        <v>20</v>
      </c>
      <c r="E12" t="s">
        <v>16</v>
      </c>
      <c r="F12" s="140"/>
      <c r="G12" s="140"/>
      <c r="H12" s="140"/>
      <c r="I12" s="140"/>
      <c r="J12" s="140"/>
      <c r="K12" s="140"/>
      <c r="L12" s="140"/>
      <c r="M12" s="140"/>
      <c r="N12" s="140"/>
      <c r="O12" s="140">
        <v>0.06</v>
      </c>
    </row>
    <row r="13" spans="1:15">
      <c r="A13" t="s">
        <v>553</v>
      </c>
      <c r="B13" t="s">
        <v>25</v>
      </c>
      <c r="C13" t="s">
        <v>440</v>
      </c>
      <c r="D13" t="s">
        <v>26</v>
      </c>
      <c r="E13" t="s">
        <v>16</v>
      </c>
      <c r="F13" s="141"/>
      <c r="G13" s="141"/>
      <c r="H13" s="141"/>
      <c r="I13" s="141">
        <v>21.546294802240499</v>
      </c>
      <c r="J13" s="141"/>
      <c r="K13" s="141"/>
      <c r="L13" s="141"/>
      <c r="M13" s="141"/>
      <c r="N13" s="141"/>
      <c r="O13" s="141"/>
    </row>
    <row r="14" spans="1:15">
      <c r="A14" t="s">
        <v>553</v>
      </c>
      <c r="B14" t="s">
        <v>27</v>
      </c>
      <c r="C14" t="s">
        <v>441</v>
      </c>
      <c r="D14" t="s">
        <v>26</v>
      </c>
      <c r="E14" t="s">
        <v>16</v>
      </c>
      <c r="F14" s="141"/>
      <c r="G14" s="141"/>
      <c r="H14" s="141"/>
      <c r="I14" s="141">
        <v>0</v>
      </c>
      <c r="J14" s="141"/>
      <c r="K14" s="141"/>
      <c r="L14" s="141"/>
      <c r="M14" s="141"/>
      <c r="N14" s="141"/>
      <c r="O14" s="141"/>
    </row>
    <row r="15" spans="1:15">
      <c r="A15" t="s">
        <v>553</v>
      </c>
      <c r="B15" t="s">
        <v>28</v>
      </c>
      <c r="C15" t="s">
        <v>441</v>
      </c>
      <c r="D15" t="s">
        <v>26</v>
      </c>
      <c r="E15" t="s">
        <v>16</v>
      </c>
      <c r="F15" s="141"/>
      <c r="G15" s="141"/>
      <c r="H15" s="141"/>
      <c r="I15" s="141"/>
      <c r="J15" s="141"/>
      <c r="K15" s="141"/>
      <c r="L15" s="141"/>
      <c r="M15" s="141"/>
      <c r="N15" s="141"/>
      <c r="O15" s="141"/>
    </row>
    <row r="16" spans="1:15">
      <c r="A16" t="s">
        <v>553</v>
      </c>
      <c r="B16" t="s">
        <v>29</v>
      </c>
      <c r="C16" t="s">
        <v>442</v>
      </c>
      <c r="D16" t="s">
        <v>443</v>
      </c>
      <c r="E16" t="s">
        <v>16</v>
      </c>
      <c r="F16" s="142"/>
      <c r="G16" s="142"/>
      <c r="H16" s="142"/>
      <c r="I16" s="142"/>
      <c r="J16" s="142">
        <v>0</v>
      </c>
      <c r="K16" s="142">
        <v>1.1399999999999999</v>
      </c>
      <c r="L16" s="142">
        <v>0.82</v>
      </c>
      <c r="M16" s="142">
        <v>0</v>
      </c>
      <c r="N16" s="142">
        <v>-7.13</v>
      </c>
      <c r="O16" s="142"/>
    </row>
    <row r="17" spans="1:15">
      <c r="A17" t="s">
        <v>553</v>
      </c>
      <c r="B17" t="s">
        <v>30</v>
      </c>
      <c r="C17" t="s">
        <v>444</v>
      </c>
      <c r="D17" t="s">
        <v>443</v>
      </c>
      <c r="E17" t="s">
        <v>16</v>
      </c>
      <c r="F17" s="142"/>
      <c r="G17" s="142"/>
      <c r="H17" s="142"/>
      <c r="I17" s="142"/>
      <c r="J17" s="142">
        <v>0</v>
      </c>
      <c r="K17" s="142">
        <v>0</v>
      </c>
      <c r="L17" s="142">
        <v>0</v>
      </c>
      <c r="M17" s="142">
        <v>0</v>
      </c>
      <c r="N17" s="142">
        <v>34.21</v>
      </c>
      <c r="O17" s="142"/>
    </row>
    <row r="18" spans="1:15">
      <c r="A18" t="s">
        <v>553</v>
      </c>
      <c r="B18" t="s">
        <v>31</v>
      </c>
      <c r="C18" t="s">
        <v>444</v>
      </c>
      <c r="D18" t="s">
        <v>443</v>
      </c>
      <c r="E18" t="s">
        <v>16</v>
      </c>
      <c r="F18" s="142"/>
      <c r="G18" s="142"/>
      <c r="H18" s="142"/>
      <c r="I18" s="142"/>
      <c r="J18" s="142"/>
      <c r="K18" s="142"/>
      <c r="L18" s="142"/>
      <c r="M18" s="142"/>
      <c r="N18" s="142"/>
      <c r="O18" s="142"/>
    </row>
    <row r="19" spans="1:15">
      <c r="A19" t="s">
        <v>553</v>
      </c>
      <c r="B19" t="s">
        <v>445</v>
      </c>
      <c r="C19" t="s">
        <v>446</v>
      </c>
      <c r="D19" t="s">
        <v>26</v>
      </c>
      <c r="E19" t="s">
        <v>16</v>
      </c>
      <c r="F19" s="141"/>
      <c r="G19" s="141"/>
      <c r="H19" s="141"/>
      <c r="I19" s="141"/>
      <c r="J19" s="141">
        <v>21.973631073605802</v>
      </c>
      <c r="K19" s="141">
        <v>22.454892054382199</v>
      </c>
      <c r="L19" s="141">
        <v>23.131681463723801</v>
      </c>
      <c r="M19" s="141">
        <v>24.0290687295482</v>
      </c>
      <c r="N19" s="141">
        <v>23.1239524282589</v>
      </c>
      <c r="O19" s="141"/>
    </row>
    <row r="20" spans="1:15">
      <c r="A20" t="s">
        <v>553</v>
      </c>
      <c r="B20" t="s">
        <v>447</v>
      </c>
      <c r="C20" t="s">
        <v>448</v>
      </c>
      <c r="D20" t="s">
        <v>26</v>
      </c>
      <c r="E20" t="s">
        <v>16</v>
      </c>
      <c r="F20" s="141"/>
      <c r="G20" s="141"/>
      <c r="H20" s="141"/>
      <c r="I20" s="141">
        <v>0</v>
      </c>
      <c r="J20" s="141">
        <v>0</v>
      </c>
      <c r="K20" s="141">
        <v>0</v>
      </c>
      <c r="L20" s="141">
        <v>0</v>
      </c>
      <c r="M20" s="141">
        <v>0</v>
      </c>
      <c r="N20" s="141">
        <v>0</v>
      </c>
      <c r="O20" s="141"/>
    </row>
    <row r="21" spans="1:15">
      <c r="A21" t="s">
        <v>553</v>
      </c>
      <c r="B21" t="s">
        <v>449</v>
      </c>
      <c r="C21" t="s">
        <v>448</v>
      </c>
      <c r="D21" t="s">
        <v>26</v>
      </c>
      <c r="E21" t="s">
        <v>16</v>
      </c>
      <c r="F21" s="141"/>
      <c r="G21" s="141"/>
      <c r="H21" s="141"/>
      <c r="I21" s="141"/>
      <c r="J21" s="141"/>
      <c r="K21" s="141"/>
      <c r="L21" s="141"/>
      <c r="M21" s="141"/>
      <c r="N21" s="141"/>
      <c r="O21" s="141"/>
    </row>
    <row r="22" spans="1:15">
      <c r="A22" t="s">
        <v>553</v>
      </c>
      <c r="B22" t="s">
        <v>32</v>
      </c>
      <c r="C22" t="s">
        <v>450</v>
      </c>
      <c r="D22" t="s">
        <v>26</v>
      </c>
      <c r="E22" t="s">
        <v>16</v>
      </c>
      <c r="F22" s="141"/>
      <c r="G22" s="141"/>
      <c r="H22" s="141"/>
      <c r="I22" s="141">
        <v>-0.31843915056032501</v>
      </c>
      <c r="J22" s="141"/>
      <c r="K22" s="141"/>
      <c r="L22" s="141"/>
      <c r="M22" s="141"/>
      <c r="N22" s="141"/>
      <c r="O22" s="141"/>
    </row>
    <row r="23" spans="1:15">
      <c r="A23" t="s">
        <v>553</v>
      </c>
      <c r="B23" t="s">
        <v>33</v>
      </c>
      <c r="C23" t="s">
        <v>451</v>
      </c>
      <c r="D23" t="s">
        <v>26</v>
      </c>
      <c r="E23" t="s">
        <v>16</v>
      </c>
      <c r="F23" s="141"/>
      <c r="G23" s="141"/>
      <c r="H23" s="141"/>
      <c r="I23" s="141">
        <v>-5.4945266379669698E-2</v>
      </c>
      <c r="J23" s="141"/>
      <c r="K23" s="141"/>
      <c r="L23" s="141"/>
      <c r="M23" s="141"/>
      <c r="N23" s="141"/>
      <c r="O23" s="141"/>
    </row>
    <row r="24" spans="1:15">
      <c r="A24" t="s">
        <v>553</v>
      </c>
      <c r="B24" t="s">
        <v>34</v>
      </c>
      <c r="C24" t="s">
        <v>452</v>
      </c>
      <c r="D24" t="s">
        <v>20</v>
      </c>
      <c r="E24" t="s">
        <v>16</v>
      </c>
      <c r="F24" s="140"/>
      <c r="G24" s="140"/>
      <c r="H24" s="140"/>
      <c r="I24" s="140"/>
      <c r="J24" s="140"/>
      <c r="K24" s="140"/>
      <c r="L24" s="140">
        <v>0</v>
      </c>
      <c r="M24" s="140">
        <v>0</v>
      </c>
      <c r="N24" s="140">
        <v>0</v>
      </c>
      <c r="O24" s="140"/>
    </row>
    <row r="25" spans="1:15">
      <c r="A25" t="s">
        <v>553</v>
      </c>
      <c r="B25" t="s">
        <v>35</v>
      </c>
      <c r="C25" t="s">
        <v>453</v>
      </c>
      <c r="D25" t="s">
        <v>20</v>
      </c>
      <c r="E25" t="s">
        <v>16</v>
      </c>
      <c r="F25" s="140"/>
      <c r="G25" s="140"/>
      <c r="H25" s="140"/>
      <c r="I25" s="140"/>
      <c r="J25" s="140"/>
      <c r="K25" s="140"/>
      <c r="L25" s="140">
        <v>0</v>
      </c>
      <c r="M25" s="140">
        <v>0</v>
      </c>
      <c r="N25" s="140">
        <v>0</v>
      </c>
      <c r="O25" s="140"/>
    </row>
    <row r="26" spans="1:15">
      <c r="A26" t="s">
        <v>553</v>
      </c>
      <c r="B26" t="s">
        <v>454</v>
      </c>
      <c r="C26" t="s">
        <v>455</v>
      </c>
      <c r="D26" t="s">
        <v>26</v>
      </c>
      <c r="E26" t="s">
        <v>16</v>
      </c>
      <c r="F26" s="141"/>
      <c r="G26" s="141"/>
      <c r="H26" s="141"/>
      <c r="I26" s="141"/>
      <c r="J26" s="141">
        <v>6.9116034692000303</v>
      </c>
      <c r="K26" s="141">
        <v>7.11</v>
      </c>
      <c r="L26" s="141">
        <v>7.0570000000000004</v>
      </c>
      <c r="M26" s="141">
        <v>7.4417323070806702</v>
      </c>
      <c r="N26" s="141">
        <v>7.7321673493935004</v>
      </c>
      <c r="O26" s="141"/>
    </row>
    <row r="27" spans="1:15">
      <c r="A27" t="s">
        <v>553</v>
      </c>
      <c r="B27" t="s">
        <v>456</v>
      </c>
      <c r="C27" t="s">
        <v>457</v>
      </c>
      <c r="D27" t="s">
        <v>26</v>
      </c>
      <c r="E27" t="s">
        <v>16</v>
      </c>
      <c r="F27" s="141"/>
      <c r="G27" s="141"/>
      <c r="H27" s="141"/>
      <c r="I27" s="141"/>
      <c r="J27" s="141">
        <v>8.9067133116588204E-2</v>
      </c>
      <c r="K27" s="141">
        <v>9.1999999999999998E-2</v>
      </c>
      <c r="L27" s="141">
        <v>7.0999999999999994E-2</v>
      </c>
      <c r="M27" s="141">
        <v>0.12055747760294799</v>
      </c>
      <c r="N27" s="141">
        <v>0.124574868593107</v>
      </c>
      <c r="O27" s="141"/>
    </row>
    <row r="28" spans="1:15">
      <c r="A28" t="s">
        <v>553</v>
      </c>
      <c r="B28" t="s">
        <v>458</v>
      </c>
      <c r="C28" t="s">
        <v>459</v>
      </c>
      <c r="D28" t="s">
        <v>26</v>
      </c>
      <c r="E28" t="s">
        <v>16</v>
      </c>
      <c r="F28" s="141"/>
      <c r="G28" s="141"/>
      <c r="H28" s="141"/>
      <c r="I28" s="141"/>
      <c r="J28" s="141">
        <v>6.30033066622007</v>
      </c>
      <c r="K28" s="141">
        <v>6.9189999999999996</v>
      </c>
      <c r="L28" s="141">
        <v>7.5369999999999999</v>
      </c>
      <c r="M28" s="141">
        <v>5.9025654133533303</v>
      </c>
      <c r="N28" s="141">
        <v>6.1254154515275303</v>
      </c>
      <c r="O28" s="141"/>
    </row>
    <row r="29" spans="1:15">
      <c r="A29" t="s">
        <v>553</v>
      </c>
      <c r="B29" t="s">
        <v>460</v>
      </c>
      <c r="C29" t="s">
        <v>461</v>
      </c>
      <c r="D29" t="s">
        <v>26</v>
      </c>
      <c r="E29" t="s">
        <v>16</v>
      </c>
      <c r="F29" s="141"/>
      <c r="G29" s="141"/>
      <c r="H29" s="141"/>
      <c r="I29" s="141"/>
      <c r="J29" s="141">
        <v>6.2542649550052998</v>
      </c>
      <c r="K29" s="141">
        <v>6.8319999999999999</v>
      </c>
      <c r="L29" s="141">
        <v>6.8109999999999999</v>
      </c>
      <c r="M29" s="141">
        <v>6.0857312100507999</v>
      </c>
      <c r="N29" s="141">
        <v>6.2858553119018001</v>
      </c>
      <c r="O29" s="141"/>
    </row>
    <row r="30" spans="1:15">
      <c r="A30" t="s">
        <v>553</v>
      </c>
      <c r="B30" t="s">
        <v>462</v>
      </c>
      <c r="C30" t="s">
        <v>463</v>
      </c>
      <c r="D30" t="s">
        <v>26</v>
      </c>
      <c r="E30" t="s">
        <v>16</v>
      </c>
      <c r="F30" s="141"/>
      <c r="G30" s="141"/>
      <c r="H30" s="141"/>
      <c r="I30" s="141"/>
      <c r="J30" s="141">
        <v>0</v>
      </c>
      <c r="K30" s="141">
        <v>0</v>
      </c>
      <c r="L30" s="141">
        <v>0</v>
      </c>
      <c r="M30" s="141">
        <v>0</v>
      </c>
      <c r="N30" s="141">
        <v>0</v>
      </c>
      <c r="O30" s="141"/>
    </row>
    <row r="31" spans="1:15">
      <c r="A31" t="s">
        <v>553</v>
      </c>
      <c r="B31" t="s">
        <v>464</v>
      </c>
      <c r="C31" t="s">
        <v>465</v>
      </c>
      <c r="D31" t="s">
        <v>26</v>
      </c>
      <c r="E31" t="s">
        <v>16</v>
      </c>
      <c r="F31" s="141"/>
      <c r="G31" s="141"/>
      <c r="H31" s="141"/>
      <c r="I31" s="141"/>
      <c r="J31" s="141">
        <v>0.22776348499999999</v>
      </c>
      <c r="K31" s="141">
        <v>0.26800000000000002</v>
      </c>
      <c r="L31" s="141">
        <v>0.23499999999999999</v>
      </c>
      <c r="M31" s="141">
        <v>0.25549310851840801</v>
      </c>
      <c r="N31" s="141">
        <v>0.282553497096944</v>
      </c>
      <c r="O31" s="141"/>
    </row>
    <row r="32" spans="1:15">
      <c r="A32" t="s">
        <v>553</v>
      </c>
      <c r="B32" t="s">
        <v>466</v>
      </c>
      <c r="C32" t="s">
        <v>467</v>
      </c>
      <c r="D32" t="s">
        <v>26</v>
      </c>
      <c r="E32" t="s">
        <v>16</v>
      </c>
      <c r="F32" s="141"/>
      <c r="G32" s="141"/>
      <c r="H32" s="141"/>
      <c r="I32" s="141"/>
      <c r="J32" s="141">
        <v>0</v>
      </c>
      <c r="K32" s="141">
        <v>0</v>
      </c>
      <c r="L32" s="141"/>
      <c r="M32" s="141"/>
      <c r="N32" s="141"/>
      <c r="O32" s="141"/>
    </row>
    <row r="33" spans="1:15">
      <c r="A33" t="s">
        <v>553</v>
      </c>
      <c r="B33" t="s">
        <v>468</v>
      </c>
      <c r="C33" t="s">
        <v>469</v>
      </c>
      <c r="D33" t="s">
        <v>26</v>
      </c>
      <c r="E33" t="s">
        <v>16</v>
      </c>
      <c r="F33" s="141"/>
      <c r="G33" s="141"/>
      <c r="H33" s="141"/>
      <c r="I33" s="141"/>
      <c r="J33" s="141">
        <v>0.96956796999999995</v>
      </c>
      <c r="K33" s="141">
        <v>0.69399999999999995</v>
      </c>
      <c r="L33" s="141">
        <v>0.81</v>
      </c>
      <c r="M33" s="141">
        <v>1.153</v>
      </c>
      <c r="N33" s="141">
        <v>1.1879999999999999</v>
      </c>
      <c r="O33" s="141"/>
    </row>
    <row r="34" spans="1:15">
      <c r="A34" t="s">
        <v>553</v>
      </c>
      <c r="B34" t="s">
        <v>470</v>
      </c>
      <c r="C34" t="s">
        <v>471</v>
      </c>
      <c r="D34" t="s">
        <v>26</v>
      </c>
      <c r="E34" t="s">
        <v>16</v>
      </c>
      <c r="F34" s="141"/>
      <c r="G34" s="141"/>
      <c r="H34" s="141"/>
      <c r="I34" s="141"/>
      <c r="J34" s="141">
        <v>0</v>
      </c>
      <c r="K34" s="141">
        <v>0</v>
      </c>
      <c r="L34" s="141"/>
      <c r="M34" s="141"/>
      <c r="N34" s="141"/>
      <c r="O34" s="141"/>
    </row>
    <row r="35" spans="1:15">
      <c r="A35" t="s">
        <v>553</v>
      </c>
      <c r="B35" t="s">
        <v>472</v>
      </c>
      <c r="C35" t="s">
        <v>473</v>
      </c>
      <c r="D35" t="s">
        <v>26</v>
      </c>
      <c r="E35" t="s">
        <v>16</v>
      </c>
      <c r="F35" s="141"/>
      <c r="G35" s="141"/>
      <c r="H35" s="141"/>
      <c r="I35" s="141"/>
      <c r="J35" s="141">
        <v>0</v>
      </c>
      <c r="K35" s="141">
        <v>0</v>
      </c>
      <c r="L35" s="141">
        <v>0</v>
      </c>
      <c r="M35" s="141">
        <v>1.1507074377845199</v>
      </c>
      <c r="N35" s="141">
        <v>1.5830655552673401</v>
      </c>
      <c r="O35" s="141"/>
    </row>
    <row r="36" spans="1:15">
      <c r="A36" t="s">
        <v>553</v>
      </c>
      <c r="B36" t="s">
        <v>474</v>
      </c>
      <c r="C36" t="s">
        <v>475</v>
      </c>
      <c r="D36" t="s">
        <v>26</v>
      </c>
      <c r="E36" t="s">
        <v>16</v>
      </c>
      <c r="F36" s="141"/>
      <c r="G36" s="141"/>
      <c r="H36" s="141"/>
      <c r="I36" s="141"/>
      <c r="J36" s="141">
        <v>0</v>
      </c>
      <c r="K36" s="141">
        <v>0</v>
      </c>
      <c r="L36" s="141">
        <v>0</v>
      </c>
      <c r="M36" s="141">
        <v>5.1141668577136298E-2</v>
      </c>
      <c r="N36" s="141">
        <v>7.0357252682087298E-2</v>
      </c>
      <c r="O36" s="141"/>
    </row>
    <row r="37" spans="1:15">
      <c r="A37" t="s">
        <v>553</v>
      </c>
      <c r="B37" t="s">
        <v>476</v>
      </c>
      <c r="C37" t="s">
        <v>477</v>
      </c>
      <c r="D37" t="s">
        <v>26</v>
      </c>
      <c r="E37" t="s">
        <v>16</v>
      </c>
      <c r="F37" s="141"/>
      <c r="G37" s="141"/>
      <c r="H37" s="141"/>
      <c r="I37" s="141"/>
      <c r="J37" s="141">
        <v>0</v>
      </c>
      <c r="K37" s="141">
        <v>0</v>
      </c>
      <c r="L37" s="141">
        <v>0</v>
      </c>
      <c r="M37" s="141">
        <v>0.54890535509344296</v>
      </c>
      <c r="N37" s="141">
        <v>0.75514690547514995</v>
      </c>
      <c r="O37" s="141"/>
    </row>
    <row r="38" spans="1:15">
      <c r="A38" t="s">
        <v>553</v>
      </c>
      <c r="B38" t="s">
        <v>478</v>
      </c>
      <c r="C38" t="s">
        <v>479</v>
      </c>
      <c r="D38" t="s">
        <v>26</v>
      </c>
      <c r="E38" t="s">
        <v>16</v>
      </c>
      <c r="F38" s="141"/>
      <c r="G38" s="141"/>
      <c r="H38" s="141"/>
      <c r="I38" s="141"/>
      <c r="J38" s="141">
        <v>0</v>
      </c>
      <c r="K38" s="141">
        <v>0</v>
      </c>
      <c r="L38" s="141">
        <v>0</v>
      </c>
      <c r="M38" s="141">
        <v>0.79709945114289604</v>
      </c>
      <c r="N38" s="141">
        <v>1.0965955757236701</v>
      </c>
      <c r="O38" s="141"/>
    </row>
    <row r="39" spans="1:15">
      <c r="A39" t="s">
        <v>553</v>
      </c>
      <c r="B39" t="s">
        <v>480</v>
      </c>
      <c r="C39" t="s">
        <v>481</v>
      </c>
      <c r="D39" t="s">
        <v>26</v>
      </c>
      <c r="E39" t="s">
        <v>16</v>
      </c>
      <c r="F39" s="141"/>
      <c r="G39" s="141"/>
      <c r="H39" s="141"/>
      <c r="I39" s="141"/>
      <c r="J39" s="141">
        <v>0</v>
      </c>
      <c r="K39" s="141">
        <v>0</v>
      </c>
      <c r="L39" s="141">
        <v>0</v>
      </c>
      <c r="M39" s="141">
        <v>0</v>
      </c>
      <c r="N39" s="141">
        <v>0</v>
      </c>
      <c r="O39" s="141"/>
    </row>
    <row r="40" spans="1:15">
      <c r="A40" t="s">
        <v>553</v>
      </c>
      <c r="B40" t="s">
        <v>482</v>
      </c>
      <c r="C40" t="s">
        <v>483</v>
      </c>
      <c r="D40" t="s">
        <v>26</v>
      </c>
      <c r="E40" t="s">
        <v>16</v>
      </c>
      <c r="F40" s="141"/>
      <c r="G40" s="141"/>
      <c r="H40" s="141"/>
      <c r="I40" s="141"/>
      <c r="J40" s="141">
        <v>0</v>
      </c>
      <c r="K40" s="141">
        <v>0</v>
      </c>
      <c r="L40" s="141">
        <v>0</v>
      </c>
      <c r="M40" s="141">
        <v>0</v>
      </c>
      <c r="N40" s="141">
        <v>0</v>
      </c>
      <c r="O40" s="141"/>
    </row>
    <row r="41" spans="1:15">
      <c r="A41" t="s">
        <v>553</v>
      </c>
      <c r="B41" t="s">
        <v>484</v>
      </c>
      <c r="C41" t="s">
        <v>485</v>
      </c>
      <c r="D41" t="s">
        <v>26</v>
      </c>
      <c r="E41" t="s">
        <v>16</v>
      </c>
      <c r="F41" s="141"/>
      <c r="G41" s="141"/>
      <c r="H41" s="141"/>
      <c r="I41" s="141"/>
      <c r="J41" s="141">
        <v>0</v>
      </c>
      <c r="K41" s="141">
        <v>0</v>
      </c>
      <c r="L41" s="141"/>
      <c r="M41" s="141"/>
      <c r="N41" s="141"/>
      <c r="O41" s="141"/>
    </row>
    <row r="42" spans="1:15">
      <c r="A42" t="s">
        <v>553</v>
      </c>
      <c r="B42" t="s">
        <v>486</v>
      </c>
      <c r="C42" t="s">
        <v>487</v>
      </c>
      <c r="D42" t="s">
        <v>26</v>
      </c>
      <c r="E42" t="s">
        <v>16</v>
      </c>
      <c r="F42" s="141"/>
      <c r="G42" s="141"/>
      <c r="H42" s="141"/>
      <c r="I42" s="141"/>
      <c r="J42" s="141">
        <v>0</v>
      </c>
      <c r="K42" s="141">
        <v>0</v>
      </c>
      <c r="L42" s="141">
        <v>0</v>
      </c>
      <c r="M42" s="141">
        <v>0</v>
      </c>
      <c r="N42" s="141">
        <v>0</v>
      </c>
      <c r="O42" s="141"/>
    </row>
    <row r="43" spans="1:15">
      <c r="A43" t="s">
        <v>553</v>
      </c>
      <c r="B43" t="s">
        <v>488</v>
      </c>
      <c r="C43" t="s">
        <v>489</v>
      </c>
      <c r="D43" t="s">
        <v>26</v>
      </c>
      <c r="E43" t="s">
        <v>16</v>
      </c>
      <c r="F43" s="141"/>
      <c r="G43" s="141"/>
      <c r="H43" s="141"/>
      <c r="I43" s="141"/>
      <c r="J43" s="141">
        <v>0</v>
      </c>
      <c r="K43" s="141">
        <v>0</v>
      </c>
      <c r="L43" s="141"/>
      <c r="M43" s="141"/>
      <c r="N43" s="141"/>
      <c r="O43" s="141"/>
    </row>
    <row r="44" spans="1:15">
      <c r="A44" t="s">
        <v>553</v>
      </c>
      <c r="B44" t="s">
        <v>490</v>
      </c>
      <c r="C44" t="s">
        <v>491</v>
      </c>
      <c r="D44" t="s">
        <v>26</v>
      </c>
      <c r="E44" t="s">
        <v>16</v>
      </c>
      <c r="F44" s="141"/>
      <c r="G44" s="141"/>
      <c r="H44" s="141"/>
      <c r="I44" s="141"/>
      <c r="J44" s="141"/>
      <c r="K44" s="141"/>
      <c r="L44" s="141"/>
      <c r="M44" s="141"/>
      <c r="N44" s="141"/>
      <c r="O44" s="141"/>
    </row>
    <row r="45" spans="1:15">
      <c r="A45" t="s">
        <v>553</v>
      </c>
      <c r="B45" t="s">
        <v>492</v>
      </c>
      <c r="C45" t="s">
        <v>493</v>
      </c>
      <c r="D45" t="s">
        <v>26</v>
      </c>
      <c r="E45" t="s">
        <v>16</v>
      </c>
      <c r="F45" s="141"/>
      <c r="G45" s="141"/>
      <c r="H45" s="141"/>
      <c r="I45" s="141"/>
      <c r="J45" s="141"/>
      <c r="K45" s="141"/>
      <c r="L45" s="141"/>
      <c r="M45" s="141"/>
      <c r="N45" s="141"/>
      <c r="O45" s="141"/>
    </row>
    <row r="46" spans="1:15">
      <c r="A46" t="s">
        <v>553</v>
      </c>
      <c r="B46" t="s">
        <v>494</v>
      </c>
      <c r="C46" t="s">
        <v>495</v>
      </c>
      <c r="D46" t="s">
        <v>26</v>
      </c>
      <c r="E46" t="s">
        <v>16</v>
      </c>
      <c r="F46" s="141"/>
      <c r="G46" s="141"/>
      <c r="H46" s="141"/>
      <c r="I46" s="141"/>
      <c r="J46" s="141"/>
      <c r="K46" s="141"/>
      <c r="L46" s="141"/>
      <c r="M46" s="141"/>
      <c r="N46" s="141"/>
      <c r="O46" s="141"/>
    </row>
    <row r="47" spans="1:15">
      <c r="A47" t="s">
        <v>553</v>
      </c>
      <c r="B47" t="s">
        <v>496</v>
      </c>
      <c r="C47" t="s">
        <v>497</v>
      </c>
      <c r="D47" t="s">
        <v>26</v>
      </c>
      <c r="E47" t="s">
        <v>16</v>
      </c>
      <c r="F47" s="141"/>
      <c r="G47" s="141"/>
      <c r="H47" s="141"/>
      <c r="I47" s="141"/>
      <c r="J47" s="141"/>
      <c r="K47" s="141"/>
      <c r="L47" s="141"/>
      <c r="M47" s="141"/>
      <c r="N47" s="141"/>
      <c r="O47" s="141"/>
    </row>
    <row r="48" spans="1:15">
      <c r="A48" t="s">
        <v>553</v>
      </c>
      <c r="B48" t="s">
        <v>498</v>
      </c>
      <c r="C48" t="s">
        <v>499</v>
      </c>
      <c r="D48" t="s">
        <v>26</v>
      </c>
      <c r="E48" t="s">
        <v>16</v>
      </c>
      <c r="F48" s="141"/>
      <c r="G48" s="141"/>
      <c r="H48" s="141"/>
      <c r="I48" s="141"/>
      <c r="J48" s="141"/>
      <c r="K48" s="141"/>
      <c r="L48" s="141"/>
      <c r="M48" s="141"/>
      <c r="N48" s="141"/>
      <c r="O48" s="141"/>
    </row>
    <row r="49" spans="1:15">
      <c r="A49" t="s">
        <v>553</v>
      </c>
      <c r="B49" t="s">
        <v>500</v>
      </c>
      <c r="C49" t="s">
        <v>501</v>
      </c>
      <c r="D49" t="s">
        <v>26</v>
      </c>
      <c r="E49" t="s">
        <v>16</v>
      </c>
      <c r="F49" s="141"/>
      <c r="G49" s="141"/>
      <c r="H49" s="141"/>
      <c r="I49" s="141"/>
      <c r="J49" s="141"/>
      <c r="K49" s="141"/>
      <c r="L49" s="141"/>
      <c r="M49" s="141"/>
      <c r="N49" s="141"/>
      <c r="O49" s="141"/>
    </row>
    <row r="50" spans="1:15">
      <c r="A50" t="s">
        <v>553</v>
      </c>
      <c r="B50" t="s">
        <v>502</v>
      </c>
      <c r="C50" t="s">
        <v>503</v>
      </c>
      <c r="D50" t="s">
        <v>26</v>
      </c>
      <c r="E50" t="s">
        <v>16</v>
      </c>
      <c r="F50" s="141"/>
      <c r="G50" s="141"/>
      <c r="H50" s="141"/>
      <c r="I50" s="141"/>
      <c r="J50" s="141"/>
      <c r="K50" s="141"/>
      <c r="L50" s="141"/>
      <c r="M50" s="141"/>
      <c r="N50" s="141"/>
      <c r="O50" s="141"/>
    </row>
    <row r="51" spans="1:15">
      <c r="A51" t="s">
        <v>553</v>
      </c>
      <c r="B51" t="s">
        <v>504</v>
      </c>
      <c r="C51" t="s">
        <v>505</v>
      </c>
      <c r="D51" t="s">
        <v>26</v>
      </c>
      <c r="E51" t="s">
        <v>16</v>
      </c>
      <c r="F51" s="141"/>
      <c r="G51" s="141"/>
      <c r="H51" s="141"/>
      <c r="I51" s="141"/>
      <c r="J51" s="141"/>
      <c r="K51" s="141"/>
      <c r="L51" s="141"/>
      <c r="M51" s="141"/>
      <c r="N51" s="141"/>
      <c r="O51" s="141"/>
    </row>
    <row r="52" spans="1:15">
      <c r="A52" t="s">
        <v>553</v>
      </c>
      <c r="B52" t="s">
        <v>506</v>
      </c>
      <c r="C52" t="s">
        <v>507</v>
      </c>
      <c r="D52" t="s">
        <v>26</v>
      </c>
      <c r="E52" t="s">
        <v>16</v>
      </c>
      <c r="F52" s="141"/>
      <c r="G52" s="141"/>
      <c r="H52" s="141"/>
      <c r="I52" s="141"/>
      <c r="J52" s="141"/>
      <c r="K52" s="141"/>
      <c r="L52" s="141"/>
      <c r="M52" s="141"/>
      <c r="N52" s="141"/>
      <c r="O52" s="141"/>
    </row>
    <row r="53" spans="1:15">
      <c r="A53" t="s">
        <v>553</v>
      </c>
      <c r="B53" t="s">
        <v>36</v>
      </c>
      <c r="C53" t="s">
        <v>508</v>
      </c>
      <c r="D53" t="s">
        <v>26</v>
      </c>
      <c r="E53" t="s">
        <v>16</v>
      </c>
      <c r="F53" s="141"/>
      <c r="G53" s="141"/>
      <c r="H53" s="141"/>
      <c r="I53" s="141"/>
      <c r="J53" s="141"/>
      <c r="K53" s="141"/>
      <c r="L53" s="141">
        <v>1.35334805020744</v>
      </c>
      <c r="M53" s="141">
        <v>0.61515075575820599</v>
      </c>
      <c r="N53" s="141">
        <v>2.2182474552868099</v>
      </c>
      <c r="O53" s="141"/>
    </row>
    <row r="54" spans="1:15">
      <c r="A54" t="s">
        <v>553</v>
      </c>
      <c r="B54" t="s">
        <v>509</v>
      </c>
      <c r="C54" t="s">
        <v>510</v>
      </c>
      <c r="D54" t="s">
        <v>26</v>
      </c>
      <c r="E54" t="s">
        <v>16</v>
      </c>
      <c r="F54" s="141"/>
      <c r="G54" s="141"/>
      <c r="H54" s="141"/>
      <c r="I54" s="141"/>
      <c r="J54" s="141"/>
      <c r="K54" s="141"/>
      <c r="L54" s="141">
        <v>0</v>
      </c>
      <c r="M54" s="141">
        <v>0</v>
      </c>
      <c r="N54" s="141">
        <v>0</v>
      </c>
      <c r="O54" s="141"/>
    </row>
    <row r="55" spans="1:15">
      <c r="A55" t="s">
        <v>553</v>
      </c>
      <c r="B55" t="s">
        <v>511</v>
      </c>
      <c r="C55" t="s">
        <v>510</v>
      </c>
      <c r="D55" t="s">
        <v>26</v>
      </c>
      <c r="E55" t="s">
        <v>16</v>
      </c>
      <c r="F55" s="141"/>
      <c r="G55" s="141"/>
      <c r="H55" s="141"/>
      <c r="I55" s="141"/>
      <c r="J55" s="141"/>
      <c r="K55" s="141"/>
      <c r="L55" s="141"/>
      <c r="M55" s="141"/>
      <c r="N55" s="141"/>
      <c r="O55" s="141"/>
    </row>
    <row r="56" spans="1:15">
      <c r="A56" t="s">
        <v>553</v>
      </c>
      <c r="B56" t="s">
        <v>37</v>
      </c>
      <c r="C56" t="s">
        <v>512</v>
      </c>
      <c r="D56" t="s">
        <v>26</v>
      </c>
      <c r="E56" t="s">
        <v>16</v>
      </c>
      <c r="F56" s="141"/>
      <c r="G56" s="141"/>
      <c r="H56" s="141"/>
      <c r="I56" s="141"/>
      <c r="J56" s="141"/>
      <c r="K56" s="141"/>
      <c r="L56" s="141">
        <v>-3.9189615353497201E-2</v>
      </c>
      <c r="M56" s="141">
        <v>-7.2026159681180899E-3</v>
      </c>
      <c r="N56" s="141">
        <v>-6.42349649214327E-2</v>
      </c>
      <c r="O56" s="141"/>
    </row>
    <row r="57" spans="1:15">
      <c r="A57" t="s">
        <v>553</v>
      </c>
      <c r="B57" t="s">
        <v>513</v>
      </c>
      <c r="C57" t="s">
        <v>514</v>
      </c>
      <c r="D57" t="s">
        <v>26</v>
      </c>
      <c r="E57" t="s">
        <v>16</v>
      </c>
      <c r="F57" s="141"/>
      <c r="G57" s="141"/>
      <c r="H57" s="141"/>
      <c r="I57" s="141"/>
      <c r="J57" s="141"/>
      <c r="K57" s="141"/>
      <c r="L57" s="141">
        <v>0</v>
      </c>
      <c r="M57" s="141">
        <v>0</v>
      </c>
      <c r="N57" s="141">
        <v>0</v>
      </c>
      <c r="O57" s="141"/>
    </row>
    <row r="58" spans="1:15">
      <c r="A58" t="s">
        <v>553</v>
      </c>
      <c r="B58" t="s">
        <v>515</v>
      </c>
      <c r="C58" t="s">
        <v>514</v>
      </c>
      <c r="D58" t="s">
        <v>26</v>
      </c>
      <c r="E58" t="s">
        <v>16</v>
      </c>
      <c r="F58" s="141"/>
      <c r="G58" s="141"/>
      <c r="H58" s="141"/>
      <c r="I58" s="141"/>
      <c r="J58" s="141"/>
      <c r="K58" s="141"/>
      <c r="L58" s="141"/>
      <c r="M58" s="141"/>
      <c r="N58" s="141"/>
      <c r="O58" s="141"/>
    </row>
    <row r="59" spans="1:15">
      <c r="A59" t="s">
        <v>553</v>
      </c>
      <c r="B59" t="s">
        <v>38</v>
      </c>
      <c r="C59" t="s">
        <v>516</v>
      </c>
      <c r="D59" t="s">
        <v>26</v>
      </c>
      <c r="E59" t="s">
        <v>16</v>
      </c>
      <c r="F59" s="141"/>
      <c r="G59" s="141"/>
      <c r="H59" s="141"/>
      <c r="I59" s="141"/>
      <c r="J59" s="141"/>
      <c r="K59" s="141"/>
      <c r="L59" s="141">
        <v>1.3141584348539399</v>
      </c>
      <c r="M59" s="141">
        <v>0.60794813979008799</v>
      </c>
      <c r="N59" s="141">
        <v>2.1540124903653801</v>
      </c>
      <c r="O59" s="141"/>
    </row>
    <row r="60" spans="1:15">
      <c r="A60" t="s">
        <v>553</v>
      </c>
      <c r="B60" t="s">
        <v>39</v>
      </c>
      <c r="C60" t="s">
        <v>517</v>
      </c>
      <c r="D60" t="s">
        <v>26</v>
      </c>
      <c r="E60" t="s">
        <v>16</v>
      </c>
      <c r="F60" s="141"/>
      <c r="G60" s="141"/>
      <c r="H60" s="141"/>
      <c r="I60" s="141"/>
      <c r="J60" s="141"/>
      <c r="K60" s="141"/>
      <c r="L60" s="141">
        <v>0</v>
      </c>
      <c r="M60" s="141">
        <v>0</v>
      </c>
      <c r="N60" s="141">
        <v>0</v>
      </c>
      <c r="O60" s="141"/>
    </row>
    <row r="61" spans="1:15">
      <c r="A61" t="s">
        <v>553</v>
      </c>
      <c r="B61" t="s">
        <v>40</v>
      </c>
      <c r="C61" t="s">
        <v>517</v>
      </c>
      <c r="D61" t="s">
        <v>26</v>
      </c>
      <c r="E61" t="s">
        <v>16</v>
      </c>
      <c r="F61" s="141"/>
      <c r="G61" s="141"/>
      <c r="H61" s="141"/>
      <c r="I61" s="141"/>
      <c r="J61" s="141"/>
      <c r="K61" s="141"/>
      <c r="L61" s="141"/>
      <c r="M61" s="141"/>
      <c r="N61" s="141"/>
      <c r="O61" s="141"/>
    </row>
    <row r="62" spans="1:15">
      <c r="A62" t="s">
        <v>553</v>
      </c>
      <c r="B62" t="s">
        <v>41</v>
      </c>
      <c r="C62" t="s">
        <v>518</v>
      </c>
      <c r="D62" t="s">
        <v>26</v>
      </c>
      <c r="E62" t="s">
        <v>16</v>
      </c>
      <c r="F62" s="141"/>
      <c r="G62" s="141"/>
      <c r="H62" s="141"/>
      <c r="I62" s="141"/>
      <c r="J62" s="141"/>
      <c r="K62" s="141"/>
      <c r="L62" s="141"/>
      <c r="M62" s="141"/>
      <c r="N62" s="141">
        <v>1.98352582293878</v>
      </c>
      <c r="O62" s="141"/>
    </row>
    <row r="63" spans="1:15">
      <c r="A63" t="s">
        <v>553</v>
      </c>
      <c r="B63" t="s">
        <v>42</v>
      </c>
      <c r="C63" t="s">
        <v>519</v>
      </c>
      <c r="D63" t="s">
        <v>26</v>
      </c>
      <c r="E63" t="s">
        <v>16</v>
      </c>
      <c r="F63" s="141"/>
      <c r="G63" s="141"/>
      <c r="H63" s="141"/>
      <c r="I63" s="141"/>
      <c r="J63" s="141"/>
      <c r="K63" s="141"/>
      <c r="L63" s="141"/>
      <c r="M63" s="141"/>
      <c r="N63" s="141">
        <v>-8.1200896971600101E-2</v>
      </c>
      <c r="O63" s="141"/>
    </row>
    <row r="64" spans="1:15">
      <c r="A64" t="s">
        <v>553</v>
      </c>
      <c r="B64" t="s">
        <v>43</v>
      </c>
      <c r="C64" t="s">
        <v>519</v>
      </c>
      <c r="D64" t="s">
        <v>26</v>
      </c>
      <c r="E64" t="s">
        <v>16</v>
      </c>
      <c r="F64" s="141"/>
      <c r="G64" s="141"/>
      <c r="H64" s="141"/>
      <c r="I64" s="141"/>
      <c r="J64" s="141"/>
      <c r="K64" s="141"/>
      <c r="L64" s="141"/>
      <c r="M64" s="141"/>
      <c r="N64" s="141"/>
      <c r="O64" s="141"/>
    </row>
    <row r="65" spans="1:15">
      <c r="A65" t="s">
        <v>553</v>
      </c>
      <c r="B65" t="s">
        <v>44</v>
      </c>
      <c r="C65" t="s">
        <v>520</v>
      </c>
      <c r="D65" t="s">
        <v>443</v>
      </c>
      <c r="E65" t="s">
        <v>16</v>
      </c>
      <c r="F65" s="143">
        <v>234.4</v>
      </c>
      <c r="G65" s="143">
        <v>242.5</v>
      </c>
      <c r="H65" s="143">
        <v>249.5</v>
      </c>
      <c r="I65" s="143">
        <v>255.7</v>
      </c>
      <c r="J65" s="143">
        <v>258</v>
      </c>
      <c r="K65" s="143">
        <v>261.39999999999998</v>
      </c>
      <c r="L65" s="143">
        <v>270.60000000000002</v>
      </c>
      <c r="M65" s="143">
        <v>279.75376435698001</v>
      </c>
      <c r="N65" s="143">
        <v>289.49309613042698</v>
      </c>
      <c r="O65" s="143"/>
    </row>
    <row r="66" spans="1:15">
      <c r="A66" t="s">
        <v>553</v>
      </c>
      <c r="B66" t="s">
        <v>45</v>
      </c>
      <c r="C66" t="s">
        <v>521</v>
      </c>
      <c r="D66" t="s">
        <v>443</v>
      </c>
      <c r="E66" t="s">
        <v>16</v>
      </c>
      <c r="F66" s="143">
        <v>235.2</v>
      </c>
      <c r="G66" s="143">
        <v>242.4</v>
      </c>
      <c r="H66" s="143">
        <v>250</v>
      </c>
      <c r="I66" s="143">
        <v>255.9</v>
      </c>
      <c r="J66" s="143">
        <v>258.5</v>
      </c>
      <c r="K66" s="143">
        <v>262.10000000000002</v>
      </c>
      <c r="L66" s="143">
        <v>271.7</v>
      </c>
      <c r="M66" s="143">
        <v>281.28147815479201</v>
      </c>
      <c r="N66" s="143">
        <v>290.53187575381298</v>
      </c>
      <c r="O66" s="143"/>
    </row>
    <row r="67" spans="1:15">
      <c r="A67" t="s">
        <v>553</v>
      </c>
      <c r="B67" t="s">
        <v>46</v>
      </c>
      <c r="C67" t="s">
        <v>522</v>
      </c>
      <c r="D67" t="s">
        <v>443</v>
      </c>
      <c r="E67" t="s">
        <v>16</v>
      </c>
      <c r="F67" s="143">
        <v>235.2</v>
      </c>
      <c r="G67" s="143">
        <v>241.8</v>
      </c>
      <c r="H67" s="143">
        <v>249.7</v>
      </c>
      <c r="I67" s="143">
        <v>256.3</v>
      </c>
      <c r="J67" s="143">
        <v>258.89999999999998</v>
      </c>
      <c r="K67" s="143">
        <v>263.10000000000002</v>
      </c>
      <c r="L67" s="143">
        <v>272.3</v>
      </c>
      <c r="M67" s="143">
        <v>282.40067535053703</v>
      </c>
      <c r="N67" s="143">
        <v>291.19785372564797</v>
      </c>
      <c r="O67" s="143"/>
    </row>
    <row r="68" spans="1:15">
      <c r="A68" t="s">
        <v>553</v>
      </c>
      <c r="B68" t="s">
        <v>47</v>
      </c>
      <c r="C68" t="s">
        <v>523</v>
      </c>
      <c r="D68" t="s">
        <v>443</v>
      </c>
      <c r="E68" t="s">
        <v>16</v>
      </c>
      <c r="F68" s="143">
        <v>234.7</v>
      </c>
      <c r="G68" s="143">
        <v>242.1</v>
      </c>
      <c r="H68" s="143">
        <v>249.7</v>
      </c>
      <c r="I68" s="143">
        <v>256</v>
      </c>
      <c r="J68" s="143">
        <v>258.60000000000002</v>
      </c>
      <c r="K68" s="143">
        <v>263.39999999999998</v>
      </c>
      <c r="L68" s="143">
        <v>272.89999999999998</v>
      </c>
      <c r="M68" s="143">
        <v>282.544107067092</v>
      </c>
      <c r="N68" s="143">
        <v>290.96626417169898</v>
      </c>
      <c r="O68" s="143"/>
    </row>
    <row r="69" spans="1:15">
      <c r="A69" t="s">
        <v>553</v>
      </c>
      <c r="B69" t="s">
        <v>48</v>
      </c>
      <c r="C69" t="s">
        <v>524</v>
      </c>
      <c r="D69" t="s">
        <v>443</v>
      </c>
      <c r="E69" t="s">
        <v>16</v>
      </c>
      <c r="F69" s="143">
        <v>236.1</v>
      </c>
      <c r="G69" s="143">
        <v>243</v>
      </c>
      <c r="H69" s="143">
        <v>251</v>
      </c>
      <c r="I69" s="143">
        <v>257</v>
      </c>
      <c r="J69" s="143">
        <v>259.8</v>
      </c>
      <c r="K69" s="143">
        <v>264.39999999999998</v>
      </c>
      <c r="L69" s="143">
        <v>274.7</v>
      </c>
      <c r="M69" s="143">
        <v>284.195947031088</v>
      </c>
      <c r="N69" s="143">
        <v>292.372408811269</v>
      </c>
      <c r="O69" s="143"/>
    </row>
    <row r="70" spans="1:15">
      <c r="A70" t="s">
        <v>553</v>
      </c>
      <c r="B70" t="s">
        <v>49</v>
      </c>
      <c r="C70" t="s">
        <v>525</v>
      </c>
      <c r="D70" t="s">
        <v>443</v>
      </c>
      <c r="E70" t="s">
        <v>16</v>
      </c>
      <c r="F70" s="143">
        <v>237.9</v>
      </c>
      <c r="G70" s="143">
        <v>244.2</v>
      </c>
      <c r="H70" s="143">
        <v>251.9</v>
      </c>
      <c r="I70" s="143">
        <v>257.60000000000002</v>
      </c>
      <c r="J70" s="143">
        <v>259.60000000000002</v>
      </c>
      <c r="K70" s="143">
        <v>264.89999999999998</v>
      </c>
      <c r="L70" s="143">
        <v>275.10000000000002</v>
      </c>
      <c r="M70" s="143">
        <v>284.77230911357901</v>
      </c>
      <c r="N70" s="143">
        <v>292.99035372793202</v>
      </c>
      <c r="O70" s="143"/>
    </row>
    <row r="71" spans="1:15">
      <c r="A71" t="s">
        <v>553</v>
      </c>
      <c r="B71" t="s">
        <v>50</v>
      </c>
      <c r="C71" t="s">
        <v>526</v>
      </c>
      <c r="D71" t="s">
        <v>443</v>
      </c>
      <c r="E71" t="s">
        <v>16</v>
      </c>
      <c r="F71" s="143">
        <v>238</v>
      </c>
      <c r="G71" s="143">
        <v>245.6</v>
      </c>
      <c r="H71" s="143">
        <v>251.9</v>
      </c>
      <c r="I71" s="143">
        <v>257.7</v>
      </c>
      <c r="J71" s="143">
        <v>259.5</v>
      </c>
      <c r="K71" s="143">
        <v>264.8</v>
      </c>
      <c r="L71" s="143">
        <v>275.3</v>
      </c>
      <c r="M71" s="143">
        <v>285.11627489441298</v>
      </c>
      <c r="N71" s="143">
        <v>293.38528668769197</v>
      </c>
      <c r="O71" s="143"/>
    </row>
    <row r="72" spans="1:15">
      <c r="A72" t="s">
        <v>553</v>
      </c>
      <c r="B72" t="s">
        <v>51</v>
      </c>
      <c r="C72" t="s">
        <v>527</v>
      </c>
      <c r="D72" t="s">
        <v>443</v>
      </c>
      <c r="E72" t="s">
        <v>16</v>
      </c>
      <c r="F72" s="143">
        <v>238.5</v>
      </c>
      <c r="G72" s="143">
        <v>245.6</v>
      </c>
      <c r="H72" s="143">
        <v>252.1</v>
      </c>
      <c r="I72" s="143">
        <v>257.10000000000002</v>
      </c>
      <c r="J72" s="143">
        <v>259.8</v>
      </c>
      <c r="K72" s="143">
        <v>265.5</v>
      </c>
      <c r="L72" s="143">
        <v>275.8</v>
      </c>
      <c r="M72" s="143">
        <v>285.07582794855898</v>
      </c>
      <c r="N72" s="143">
        <v>293.48122931214101</v>
      </c>
      <c r="O72" s="143"/>
    </row>
    <row r="73" spans="1:15">
      <c r="A73" t="s">
        <v>553</v>
      </c>
      <c r="B73" t="s">
        <v>52</v>
      </c>
      <c r="C73" t="s">
        <v>528</v>
      </c>
      <c r="D73" t="s">
        <v>443</v>
      </c>
      <c r="E73" t="s">
        <v>16</v>
      </c>
      <c r="F73" s="143">
        <v>239.4</v>
      </c>
      <c r="G73" s="143">
        <v>246.8</v>
      </c>
      <c r="H73" s="143">
        <v>253.4</v>
      </c>
      <c r="I73" s="143">
        <v>257.5</v>
      </c>
      <c r="J73" s="143">
        <v>260.60000000000002</v>
      </c>
      <c r="K73" s="143">
        <v>267.10000000000002</v>
      </c>
      <c r="L73" s="143">
        <v>278.10000000000002</v>
      </c>
      <c r="M73" s="143">
        <v>286.44797240488498</v>
      </c>
      <c r="N73" s="143">
        <v>294.90943763743201</v>
      </c>
      <c r="O73" s="143"/>
    </row>
    <row r="74" spans="1:15">
      <c r="A74" t="s">
        <v>553</v>
      </c>
      <c r="B74" t="s">
        <v>53</v>
      </c>
      <c r="C74" t="s">
        <v>529</v>
      </c>
      <c r="D74" t="s">
        <v>443</v>
      </c>
      <c r="E74" t="s">
        <v>16</v>
      </c>
      <c r="F74" s="143">
        <v>238</v>
      </c>
      <c r="G74" s="143">
        <v>245.8</v>
      </c>
      <c r="H74" s="143">
        <v>252.6</v>
      </c>
      <c r="I74" s="143">
        <v>255.4</v>
      </c>
      <c r="J74" s="143">
        <v>258.8</v>
      </c>
      <c r="K74" s="143">
        <v>265.5</v>
      </c>
      <c r="L74" s="143">
        <v>276</v>
      </c>
      <c r="M74" s="143">
        <v>284.88319284802901</v>
      </c>
      <c r="N74" s="143">
        <v>293.631301444592</v>
      </c>
      <c r="O74" s="143"/>
    </row>
    <row r="75" spans="1:15">
      <c r="A75" t="s">
        <v>553</v>
      </c>
      <c r="B75" t="s">
        <v>54</v>
      </c>
      <c r="C75" t="s">
        <v>530</v>
      </c>
      <c r="D75" t="s">
        <v>443</v>
      </c>
      <c r="E75" t="s">
        <v>16</v>
      </c>
      <c r="F75" s="143">
        <v>239.9</v>
      </c>
      <c r="G75" s="143">
        <v>247.6</v>
      </c>
      <c r="H75" s="143">
        <v>254.2</v>
      </c>
      <c r="I75" s="143">
        <v>256.7</v>
      </c>
      <c r="J75" s="143">
        <v>260</v>
      </c>
      <c r="K75" s="143">
        <v>268.39999999999998</v>
      </c>
      <c r="L75" s="143">
        <v>278.10000000000002</v>
      </c>
      <c r="M75" s="143">
        <v>286.80584501338501</v>
      </c>
      <c r="N75" s="143">
        <v>295.63572354982</v>
      </c>
      <c r="O75" s="143"/>
    </row>
    <row r="76" spans="1:15">
      <c r="A76" t="s">
        <v>553</v>
      </c>
      <c r="B76" t="s">
        <v>531</v>
      </c>
      <c r="C76" t="s">
        <v>532</v>
      </c>
      <c r="D76" t="s">
        <v>443</v>
      </c>
      <c r="E76" t="s">
        <v>16</v>
      </c>
      <c r="F76" s="143">
        <v>240.8</v>
      </c>
      <c r="G76" s="143">
        <v>248.7</v>
      </c>
      <c r="H76" s="143">
        <v>254.8</v>
      </c>
      <c r="I76" s="143">
        <v>257.10000000000002</v>
      </c>
      <c r="J76" s="143">
        <v>261.10000000000002</v>
      </c>
      <c r="K76" s="143">
        <v>269.3</v>
      </c>
      <c r="L76" s="143">
        <v>278.3</v>
      </c>
      <c r="M76" s="143">
        <v>287.92437506367202</v>
      </c>
      <c r="N76" s="143">
        <v>296.81744315166299</v>
      </c>
      <c r="O76" s="143"/>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&amp;L&amp;F&amp;CSheet: &amp;A&amp;ROFFICIAL
</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Q66" activePane="bottomRight" state="frozen"/>
      <selection activeCell="H4" sqref="H4"/>
      <selection pane="topRight" activeCell="H4" sqref="H4"/>
      <selection pane="bottomLeft" activeCell="H4" sqref="H4"/>
      <selection pane="bottomRight" activeCell="H4" sqref="H4"/>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5"/>
      <c r="B1" s="105"/>
      <c r="C1" s="105"/>
      <c r="D1" s="105" t="s">
        <v>310</v>
      </c>
      <c r="E1" s="105"/>
      <c r="F1" s="105"/>
      <c r="G1" s="105"/>
      <c r="H1" s="105"/>
      <c r="I1" s="105"/>
      <c r="J1" s="105"/>
      <c r="K1" s="105"/>
      <c r="L1" s="105"/>
      <c r="M1" s="105"/>
      <c r="N1" s="105"/>
      <c r="O1" s="105"/>
      <c r="P1" s="105"/>
      <c r="Q1" s="105"/>
      <c r="R1" s="105"/>
      <c r="S1" s="105"/>
      <c r="T1" s="105"/>
      <c r="U1" s="105"/>
      <c r="V1" s="105"/>
      <c r="W1" s="105"/>
    </row>
    <row r="2" spans="1:23" s="1" customFormat="1" ht="13.9">
      <c r="F2" s="11"/>
      <c r="G2" s="11"/>
      <c r="O2" s="11"/>
      <c r="P2" s="11"/>
    </row>
    <row r="3" spans="1:23" s="2" customFormat="1" ht="13.15">
      <c r="A3" s="11"/>
      <c r="B3" s="11"/>
      <c r="C3" s="11"/>
      <c r="D3" s="11"/>
      <c r="E3" s="11" t="s">
        <v>125</v>
      </c>
      <c r="F3" s="11"/>
      <c r="G3" s="11"/>
      <c r="H3" s="11"/>
      <c r="I3" s="107" t="str">
        <f t="shared" ref="I3:U3" si="0">AMP.Years</f>
        <v>2012-13</v>
      </c>
      <c r="J3" s="107" t="str">
        <f t="shared" si="0"/>
        <v>2013-14</v>
      </c>
      <c r="K3" s="107" t="str">
        <f t="shared" si="0"/>
        <v>2014-15</v>
      </c>
      <c r="L3" s="108" t="str">
        <f t="shared" si="0"/>
        <v>2015-16</v>
      </c>
      <c r="M3" s="108" t="str">
        <f t="shared" si="0"/>
        <v>2016-17</v>
      </c>
      <c r="N3" s="108" t="str">
        <f t="shared" si="0"/>
        <v>2017-18</v>
      </c>
      <c r="O3" s="108" t="str">
        <f t="shared" si="0"/>
        <v>2018-19</v>
      </c>
      <c r="P3" s="108" t="str">
        <f t="shared" si="0"/>
        <v>2019-20</v>
      </c>
      <c r="Q3" s="107" t="str">
        <f t="shared" si="0"/>
        <v>2020-21</v>
      </c>
      <c r="R3" s="107" t="str">
        <f t="shared" si="0"/>
        <v>2021-22</v>
      </c>
      <c r="S3" s="107" t="str">
        <f t="shared" si="0"/>
        <v>2022-23</v>
      </c>
      <c r="T3" s="107" t="str">
        <f t="shared" si="0"/>
        <v>2023-24</v>
      </c>
      <c r="U3" s="107"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126</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127</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9"/>
      <c r="C8" s="109"/>
      <c r="D8" s="113"/>
      <c r="E8" s="111" t="s">
        <v>238</v>
      </c>
      <c r="F8" s="110"/>
      <c r="G8" s="110"/>
      <c r="H8" s="110"/>
      <c r="I8" s="110"/>
      <c r="J8" s="110"/>
      <c r="K8" s="110"/>
      <c r="L8" s="124"/>
      <c r="M8" s="124"/>
      <c r="N8" s="124"/>
      <c r="O8" s="124"/>
      <c r="P8" s="124"/>
      <c r="Q8" s="124"/>
      <c r="R8" s="124"/>
      <c r="S8" s="124"/>
      <c r="T8" s="124"/>
      <c r="U8" s="124"/>
      <c r="V8" s="110"/>
      <c r="W8" s="110"/>
    </row>
    <row r="9" spans="1:23" s="2" customFormat="1">
      <c r="A9" s="11"/>
      <c r="B9" s="11"/>
      <c r="C9" s="11"/>
      <c r="D9" s="12"/>
      <c r="E9" s="11"/>
      <c r="F9" s="11"/>
      <c r="G9" s="11"/>
      <c r="H9" s="11"/>
      <c r="I9" s="11"/>
      <c r="J9" s="11"/>
      <c r="K9" s="11"/>
      <c r="L9" s="20"/>
      <c r="M9" s="20"/>
      <c r="N9" s="20"/>
      <c r="O9" s="20"/>
      <c r="P9" s="20"/>
      <c r="Q9" s="20"/>
      <c r="R9" s="20"/>
      <c r="S9" s="20"/>
      <c r="T9" s="20"/>
      <c r="U9" s="20"/>
      <c r="V9" s="11"/>
      <c r="W9" s="11"/>
    </row>
    <row r="10" spans="1:23" s="2" customFormat="1">
      <c r="A10" s="11"/>
      <c r="B10" s="11"/>
      <c r="C10" s="11"/>
      <c r="D10" s="12"/>
      <c r="E10" s="24" t="s">
        <v>239</v>
      </c>
      <c r="F10" s="11"/>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240</v>
      </c>
      <c r="F11" s="11"/>
      <c r="G11" s="11"/>
      <c r="H11" s="11"/>
      <c r="I11" s="11"/>
      <c r="J11" s="11"/>
      <c r="K11" s="11"/>
      <c r="L11" s="20"/>
      <c r="M11" s="20"/>
      <c r="N11" s="20"/>
      <c r="O11" s="20"/>
      <c r="P11" s="20"/>
      <c r="Q11" s="20"/>
      <c r="R11" s="20"/>
      <c r="S11" s="20"/>
      <c r="T11" s="20"/>
      <c r="U11" s="20"/>
      <c r="V11" s="11"/>
      <c r="W11" s="11"/>
    </row>
    <row r="12" spans="1:23" s="2" customFormat="1">
      <c r="A12" s="11"/>
      <c r="B12" s="11"/>
      <c r="C12" s="11"/>
      <c r="D12" s="12" t="s">
        <v>15</v>
      </c>
      <c r="E12" s="13" t="s">
        <v>158</v>
      </c>
      <c r="F12" s="24"/>
      <c r="G12" s="11"/>
      <c r="H12" s="11"/>
      <c r="I12" s="11"/>
      <c r="J12" s="11"/>
      <c r="K12" s="20"/>
      <c r="L12" s="20">
        <f>K.Waste</f>
        <v>0</v>
      </c>
      <c r="M12" s="20">
        <f>K.Waste</f>
        <v>0</v>
      </c>
      <c r="N12" s="20">
        <f>K.Waste</f>
        <v>0</v>
      </c>
      <c r="O12" s="20">
        <f>K.Waste</f>
        <v>0</v>
      </c>
      <c r="P12" s="20">
        <f>K.Waste</f>
        <v>34.21</v>
      </c>
      <c r="Q12" s="20"/>
      <c r="R12" s="20"/>
      <c r="S12" s="20"/>
      <c r="T12" s="20"/>
      <c r="U12" s="20"/>
      <c r="V12" s="11"/>
      <c r="W12" s="11"/>
    </row>
    <row r="13" spans="1:23" s="2" customFormat="1">
      <c r="A13" s="11"/>
      <c r="B13" s="11"/>
      <c r="C13" s="11"/>
      <c r="D13" s="12" t="s">
        <v>15</v>
      </c>
      <c r="E13" s="13" t="s">
        <v>241</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3.363244361333928</v>
      </c>
      <c r="Q13" s="20"/>
      <c r="R13" s="20"/>
      <c r="S13" s="20"/>
      <c r="T13" s="20"/>
      <c r="U13" s="20"/>
      <c r="V13" s="11"/>
      <c r="W13" s="11"/>
    </row>
    <row r="14" spans="1:23" s="2" customFormat="1">
      <c r="A14" s="11"/>
      <c r="B14" s="11"/>
      <c r="C14" s="11"/>
      <c r="D14" s="12" t="s">
        <v>15</v>
      </c>
      <c r="E14" s="13" t="s">
        <v>242</v>
      </c>
      <c r="F14" s="24"/>
      <c r="G14" s="11"/>
      <c r="H14" s="11"/>
      <c r="I14" s="11"/>
      <c r="J14" s="11"/>
      <c r="K14" s="20"/>
      <c r="L14" s="20">
        <f>1+(L13+L12)/100</f>
        <v>1.0198333994446649</v>
      </c>
      <c r="M14" s="20">
        <f>1+(M13+M12)/100</f>
        <v>1.0105017502917153</v>
      </c>
      <c r="N14" s="20">
        <f t="shared" ref="N14:P14" si="2">1+(N13+N12)/100</f>
        <v>1.0219399538106235</v>
      </c>
      <c r="O14" s="20">
        <f t="shared" si="2"/>
        <v>1.0387947269303202</v>
      </c>
      <c r="P14" s="20">
        <f t="shared" si="2"/>
        <v>1.3757324436133394</v>
      </c>
      <c r="Q14" s="20"/>
      <c r="R14" s="20"/>
      <c r="S14" s="20"/>
      <c r="T14" s="20"/>
      <c r="U14" s="20"/>
      <c r="V14" s="11"/>
      <c r="W14" s="11"/>
    </row>
    <row r="15" spans="1:23" s="2" customFormat="1">
      <c r="A15" s="11"/>
      <c r="B15" s="11"/>
      <c r="C15" s="11"/>
      <c r="D15" s="12" t="s">
        <v>150</v>
      </c>
      <c r="E15" s="13" t="s">
        <v>243</v>
      </c>
      <c r="F15" s="24" t="s">
        <v>169</v>
      </c>
      <c r="G15" s="11"/>
      <c r="H15" s="11"/>
      <c r="I15" s="11"/>
      <c r="J15" s="11"/>
      <c r="K15" s="20">
        <f>AllRev.Waste</f>
        <v>0</v>
      </c>
      <c r="L15" s="20">
        <f>K15*L14</f>
        <v>0</v>
      </c>
      <c r="M15" s="20">
        <f>L15*M14</f>
        <v>0</v>
      </c>
      <c r="N15" s="20">
        <f>M15*N14</f>
        <v>0</v>
      </c>
      <c r="O15" s="20">
        <f t="shared" ref="O15:P15" si="3">N15*O14</f>
        <v>0</v>
      </c>
      <c r="P15" s="20">
        <f t="shared" si="3"/>
        <v>0</v>
      </c>
      <c r="Q15" s="20"/>
      <c r="R15" s="20"/>
      <c r="S15" s="20"/>
      <c r="T15" s="20"/>
      <c r="U15" s="20"/>
      <c r="V15" s="8" t="s">
        <v>311</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174" customFormat="1">
      <c r="A17" s="170"/>
      <c r="B17" s="170"/>
      <c r="C17" s="170"/>
      <c r="D17" s="169" t="s">
        <v>15</v>
      </c>
      <c r="E17" s="175" t="s">
        <v>158</v>
      </c>
      <c r="F17" s="172"/>
      <c r="G17" s="170"/>
      <c r="H17" s="170"/>
      <c r="I17" s="170"/>
      <c r="J17" s="170"/>
      <c r="K17" s="170"/>
      <c r="L17" s="173"/>
      <c r="M17" s="173"/>
      <c r="N17" s="173"/>
      <c r="O17" s="173">
        <f>K.Waste</f>
        <v>0</v>
      </c>
      <c r="P17" s="173">
        <f>K.Waste</f>
        <v>34.21</v>
      </c>
      <c r="Q17" s="173"/>
      <c r="R17" s="173"/>
      <c r="S17" s="173"/>
      <c r="T17" s="173"/>
      <c r="U17" s="173"/>
      <c r="V17" s="170"/>
      <c r="W17" s="170"/>
    </row>
    <row r="18" spans="1:23" s="174" customFormat="1">
      <c r="A18" s="170"/>
      <c r="B18" s="170"/>
      <c r="C18" s="170"/>
      <c r="D18" s="169" t="s">
        <v>15</v>
      </c>
      <c r="E18" s="175" t="s">
        <v>241</v>
      </c>
      <c r="F18" s="172"/>
      <c r="G18" s="170"/>
      <c r="H18" s="170"/>
      <c r="I18" s="170"/>
      <c r="J18" s="170"/>
      <c r="K18" s="170"/>
      <c r="L18" s="173"/>
      <c r="M18" s="173"/>
      <c r="N18" s="173"/>
      <c r="O18" s="173">
        <f>(Indexation.November.Actual.YearOnYear-1)*100</f>
        <v>3.8794726930320156</v>
      </c>
      <c r="P18" s="173">
        <f>(Indexation.November.Actual.YearOnYear-1)*100</f>
        <v>3.363244361333928</v>
      </c>
      <c r="Q18" s="173"/>
      <c r="R18" s="173"/>
      <c r="S18" s="173"/>
      <c r="T18" s="173"/>
      <c r="U18" s="173"/>
      <c r="V18" s="170"/>
      <c r="W18" s="170"/>
    </row>
    <row r="19" spans="1:23" s="174" customFormat="1">
      <c r="A19" s="170"/>
      <c r="B19" s="170"/>
      <c r="C19" s="170"/>
      <c r="D19" s="169" t="s">
        <v>15</v>
      </c>
      <c r="E19" s="175" t="s">
        <v>242</v>
      </c>
      <c r="F19" s="172"/>
      <c r="G19" s="170"/>
      <c r="H19" s="170"/>
      <c r="I19" s="170"/>
      <c r="J19" s="170"/>
      <c r="K19" s="170"/>
      <c r="L19" s="173"/>
      <c r="M19" s="173"/>
      <c r="N19" s="173"/>
      <c r="O19" s="173">
        <f>1+(O18+O17)/100</f>
        <v>1.0387947269303202</v>
      </c>
      <c r="P19" s="173">
        <f t="shared" ref="P19" si="4">1+(P18+P17)/100</f>
        <v>1.3757324436133394</v>
      </c>
      <c r="Q19" s="173"/>
      <c r="R19" s="173"/>
      <c r="S19" s="173"/>
      <c r="T19" s="173"/>
      <c r="U19" s="173"/>
      <c r="V19" s="170"/>
      <c r="W19" s="170"/>
    </row>
    <row r="20" spans="1:23" s="174" customFormat="1">
      <c r="A20" s="170"/>
      <c r="B20" s="170"/>
      <c r="C20" s="170"/>
      <c r="D20" s="169" t="s">
        <v>150</v>
      </c>
      <c r="E20" s="175" t="s">
        <v>243</v>
      </c>
      <c r="F20" s="172" t="s">
        <v>169</v>
      </c>
      <c r="G20" s="170"/>
      <c r="H20" s="170"/>
      <c r="I20" s="170"/>
      <c r="J20" s="170"/>
      <c r="K20" s="173"/>
      <c r="L20" s="173"/>
      <c r="M20" s="173"/>
      <c r="N20" s="173">
        <f xml:space="preserve"> IF(N6 = 3, Data!N$67, M20 * N19)</f>
        <v>2.452702007957825</v>
      </c>
      <c r="O20" s="173">
        <f xml:space="preserve"> IF(O6 = 3, Data!O$67, N20 * O19)</f>
        <v>2.5478539125979967</v>
      </c>
      <c r="P20" s="173">
        <f xml:space="preserve"> IF(P6 = 3, Data!P$67, O20 * P19)</f>
        <v>3.5051652891482497</v>
      </c>
      <c r="Q20" s="173"/>
      <c r="R20" s="173"/>
      <c r="S20" s="173"/>
      <c r="T20" s="173"/>
      <c r="U20" s="173"/>
      <c r="V20" s="170"/>
      <c r="W20" s="170"/>
    </row>
    <row r="21" spans="1:23" s="174" customFormat="1">
      <c r="A21" s="170"/>
      <c r="B21" s="170"/>
      <c r="C21" s="170"/>
      <c r="D21" s="176" t="str">
        <f xml:space="preserve"> Data!D$63</f>
        <v>True/False</v>
      </c>
      <c r="E21" s="176" t="str">
        <f xml:space="preserve"> Data!E$63</f>
        <v>Are NAV adjustments required for this company</v>
      </c>
      <c r="F21" s="176"/>
      <c r="G21" s="176" t="b">
        <f xml:space="preserve"> Data!G$63</f>
        <v>1</v>
      </c>
      <c r="H21" s="170"/>
      <c r="I21" s="170"/>
      <c r="J21" s="170"/>
      <c r="K21" s="170"/>
      <c r="L21" s="173"/>
      <c r="M21" s="173"/>
      <c r="N21" s="173"/>
      <c r="O21" s="173"/>
      <c r="P21" s="173"/>
      <c r="Q21" s="173"/>
      <c r="R21" s="173"/>
      <c r="S21" s="173"/>
      <c r="T21" s="173"/>
      <c r="U21" s="173"/>
      <c r="V21" s="170"/>
      <c r="W21" s="170"/>
    </row>
    <row r="22" spans="1:23" s="174" customFormat="1">
      <c r="A22" s="170"/>
      <c r="B22" s="170"/>
      <c r="C22" s="170"/>
      <c r="D22" s="176" t="str">
        <f xml:space="preserve"> Data!D$64</f>
        <v>Nr</v>
      </c>
      <c r="E22" s="176" t="str">
        <f xml:space="preserve"> Data!E$64</f>
        <v>NAV year</v>
      </c>
      <c r="F22" s="176"/>
      <c r="G22" s="176">
        <f xml:space="preserve"> Data!G$64</f>
        <v>2018</v>
      </c>
      <c r="H22" s="170"/>
      <c r="I22" s="170"/>
      <c r="J22" s="170"/>
      <c r="K22" s="170"/>
      <c r="L22" s="173"/>
      <c r="M22" s="173"/>
      <c r="N22" s="173"/>
      <c r="O22" s="173"/>
      <c r="P22" s="173"/>
      <c r="Q22" s="173"/>
      <c r="R22" s="173"/>
      <c r="S22" s="173"/>
      <c r="T22" s="173"/>
      <c r="U22" s="173"/>
      <c r="V22" s="170"/>
      <c r="W22" s="170"/>
    </row>
    <row r="23" spans="1:23" s="174" customFormat="1">
      <c r="A23" s="170"/>
      <c r="B23" s="170"/>
      <c r="C23" s="170"/>
      <c r="D23" s="169" t="s">
        <v>150</v>
      </c>
      <c r="E23" s="175" t="s">
        <v>243</v>
      </c>
      <c r="F23" s="172" t="s">
        <v>169</v>
      </c>
      <c r="G23" s="170"/>
      <c r="H23" s="170"/>
      <c r="I23" s="170"/>
      <c r="J23" s="170"/>
      <c r="K23" s="170"/>
      <c r="L23" s="173">
        <f xml:space="preserve"> IF($G$21=TRUE, IF(L$5 &lt; $G22, L15, L20), L15)</f>
        <v>0</v>
      </c>
      <c r="M23" s="173">
        <f t="shared" ref="M23:P23" si="5" xml:space="preserve"> IF($G$21=TRUE, IF(M$5 &lt; $G22, M15, M20), M15)</f>
        <v>0</v>
      </c>
      <c r="N23" s="173">
        <f t="shared" si="5"/>
        <v>0</v>
      </c>
      <c r="O23" s="173">
        <f t="shared" si="5"/>
        <v>2.5478539125979967</v>
      </c>
      <c r="P23" s="173">
        <f t="shared" si="5"/>
        <v>3.5051652891482497</v>
      </c>
      <c r="Q23" s="173"/>
      <c r="R23" s="173"/>
      <c r="S23" s="173"/>
      <c r="T23" s="173"/>
      <c r="U23" s="173"/>
      <c r="V23" s="177" t="s">
        <v>537</v>
      </c>
      <c r="W23" s="170"/>
    </row>
    <row r="24" spans="1:23" s="174" customFormat="1">
      <c r="A24" s="170"/>
      <c r="B24" s="170"/>
      <c r="C24" s="170"/>
      <c r="D24" s="169"/>
      <c r="E24" s="170"/>
      <c r="F24" s="172"/>
      <c r="G24" s="170"/>
      <c r="H24" s="170"/>
      <c r="I24" s="170"/>
      <c r="J24" s="170"/>
      <c r="K24" s="170"/>
      <c r="L24" s="173"/>
      <c r="M24" s="173"/>
      <c r="N24" s="173"/>
      <c r="O24" s="173"/>
      <c r="P24" s="173"/>
      <c r="Q24" s="173"/>
      <c r="R24" s="173"/>
      <c r="S24" s="173"/>
      <c r="T24" s="173"/>
      <c r="U24" s="173"/>
      <c r="V24" s="170"/>
      <c r="W24" s="170"/>
    </row>
    <row r="25" spans="1:23" s="2" customFormat="1">
      <c r="A25" s="11"/>
      <c r="B25" s="11"/>
      <c r="C25" s="11"/>
      <c r="D25" s="12"/>
      <c r="E25" s="24" t="s">
        <v>245</v>
      </c>
      <c r="F25" s="24"/>
      <c r="G25" s="11"/>
      <c r="H25" s="11"/>
      <c r="I25" s="11"/>
      <c r="J25" s="11"/>
      <c r="K25" s="11"/>
      <c r="L25" s="20"/>
      <c r="M25" s="20"/>
      <c r="N25" s="20"/>
      <c r="O25" s="20"/>
      <c r="P25" s="20"/>
      <c r="Q25" s="20"/>
      <c r="R25" s="20"/>
      <c r="S25" s="20"/>
      <c r="T25" s="20"/>
      <c r="U25" s="20"/>
      <c r="V25" s="11"/>
      <c r="W25" s="11"/>
    </row>
    <row r="26" spans="1:23" s="2" customFormat="1" ht="13.15">
      <c r="A26" s="11"/>
      <c r="B26" s="11"/>
      <c r="C26" s="11"/>
      <c r="D26" s="12"/>
      <c r="E26" s="5" t="s">
        <v>246</v>
      </c>
      <c r="F26" s="24"/>
      <c r="G26" s="11"/>
      <c r="H26" s="11"/>
      <c r="I26" s="11"/>
      <c r="J26" s="11"/>
      <c r="K26" s="11"/>
      <c r="L26" s="11"/>
      <c r="M26" s="11"/>
      <c r="N26" s="11"/>
      <c r="O26" s="11"/>
      <c r="P26" s="11"/>
      <c r="Q26" s="11"/>
      <c r="R26" s="11"/>
      <c r="S26" s="20"/>
      <c r="T26" s="20"/>
      <c r="U26" s="20"/>
      <c r="V26" s="11"/>
      <c r="W26" s="11"/>
    </row>
    <row r="27" spans="1:23" s="2" customFormat="1">
      <c r="A27" s="11"/>
      <c r="B27" s="11"/>
      <c r="C27" s="11"/>
      <c r="D27" s="12" t="s">
        <v>150</v>
      </c>
      <c r="E27" s="13" t="s">
        <v>247</v>
      </c>
      <c r="F27" s="24" t="s">
        <v>180</v>
      </c>
      <c r="G27" s="11"/>
      <c r="H27" s="11"/>
      <c r="I27" s="11"/>
      <c r="J27" s="11"/>
      <c r="K27" s="20">
        <f>BlindYear.1415.Adj.Waste</f>
        <v>-5.4945266379669698E-2</v>
      </c>
      <c r="L27" s="8" t="s">
        <v>312</v>
      </c>
      <c r="M27" s="11"/>
      <c r="N27" s="11"/>
      <c r="O27" s="11"/>
      <c r="P27" s="11"/>
      <c r="Q27" s="11"/>
      <c r="R27" s="11"/>
      <c r="S27" s="20"/>
      <c r="T27" s="20"/>
      <c r="U27" s="20"/>
      <c r="V27" s="11"/>
      <c r="W27" s="11"/>
    </row>
    <row r="28" spans="1:23" s="2" customFormat="1">
      <c r="A28" s="11"/>
      <c r="B28" s="11"/>
      <c r="C28" s="11"/>
      <c r="D28" s="12" t="s">
        <v>150</v>
      </c>
      <c r="E28" s="13" t="s">
        <v>249</v>
      </c>
      <c r="F28" s="24" t="s">
        <v>180</v>
      </c>
      <c r="G28" s="11"/>
      <c r="H28" s="11"/>
      <c r="I28" s="11"/>
      <c r="J28" s="11"/>
      <c r="K28" s="20">
        <f>AMP5.RCM.Adj.Waste</f>
        <v>-5.4945266379669698E-2</v>
      </c>
      <c r="L28" s="20">
        <f>K28*(1+Discount.Rate)</f>
        <v>-5.692329596933781E-2</v>
      </c>
      <c r="M28" s="20">
        <f>L28*(1+Discount.Rate)</f>
        <v>-5.897253462423397E-2</v>
      </c>
      <c r="N28" s="20">
        <f>M28*(1+Discount.Rate)</f>
        <v>-6.1095545870706397E-2</v>
      </c>
      <c r="O28" s="20">
        <f>N28*(1+Discount.Rate)</f>
        <v>-6.329498552205183E-2</v>
      </c>
      <c r="P28" s="20">
        <f>O28*(1+Discount.Rate)</f>
        <v>-6.5573605000845692E-2</v>
      </c>
      <c r="Q28" s="11"/>
      <c r="R28" s="11"/>
      <c r="S28" s="20"/>
      <c r="T28" s="20"/>
      <c r="U28" s="20"/>
      <c r="V28" s="11"/>
      <c r="W28" s="11"/>
    </row>
    <row r="29" spans="1:23" s="2" customFormat="1">
      <c r="A29" s="11"/>
      <c r="B29" s="11"/>
      <c r="C29" s="11"/>
      <c r="D29" s="12" t="s">
        <v>20</v>
      </c>
      <c r="E29" s="13" t="str">
        <f>Data!E48</f>
        <v>Percentage of blind year adjustment by year - waste</v>
      </c>
      <c r="F29" s="24" t="s">
        <v>250</v>
      </c>
      <c r="G29" s="11"/>
      <c r="H29" s="11"/>
      <c r="I29" s="11"/>
      <c r="J29" s="11"/>
      <c r="K29" s="19"/>
      <c r="L29" s="19"/>
      <c r="M29" s="19"/>
      <c r="N29" s="97">
        <f>Data!N48</f>
        <v>0</v>
      </c>
      <c r="O29" s="97">
        <f>Data!O48</f>
        <v>0</v>
      </c>
      <c r="P29" s="97">
        <f>Data!P48</f>
        <v>0</v>
      </c>
      <c r="Q29" s="11"/>
      <c r="R29" s="11"/>
      <c r="S29" s="20"/>
      <c r="T29" s="20"/>
      <c r="U29" s="20"/>
      <c r="V29" s="11"/>
      <c r="W29" s="11"/>
    </row>
    <row r="30" spans="1:23" s="2" customFormat="1">
      <c r="A30" s="11"/>
      <c r="B30" s="11"/>
      <c r="C30" s="11"/>
      <c r="D30" s="12" t="s">
        <v>150</v>
      </c>
      <c r="E30" s="13" t="s">
        <v>251</v>
      </c>
      <c r="F30" s="24" t="s">
        <v>180</v>
      </c>
      <c r="G30" s="11"/>
      <c r="H30" s="11"/>
      <c r="I30" s="11"/>
      <c r="J30" s="11"/>
      <c r="K30" s="19"/>
      <c r="L30" s="19"/>
      <c r="M30" s="19"/>
      <c r="N30" s="20">
        <f t="shared" ref="N30:P30" si="6">N28*N29</f>
        <v>0</v>
      </c>
      <c r="O30" s="20">
        <f t="shared" si="6"/>
        <v>0</v>
      </c>
      <c r="P30" s="20">
        <f t="shared" si="6"/>
        <v>0</v>
      </c>
      <c r="Q30" s="20"/>
      <c r="R30" s="20"/>
      <c r="S30" s="20"/>
      <c r="T30" s="20"/>
      <c r="U30" s="20"/>
      <c r="V30" s="11"/>
      <c r="W30" s="11"/>
    </row>
    <row r="31" spans="1:23" s="2" customFormat="1">
      <c r="A31" s="11"/>
      <c r="B31" s="11"/>
      <c r="C31" s="11"/>
      <c r="D31" s="12" t="s">
        <v>150</v>
      </c>
      <c r="E31" s="13" t="s">
        <v>252</v>
      </c>
      <c r="F31" s="24" t="s">
        <v>169</v>
      </c>
      <c r="G31" s="11"/>
      <c r="H31" s="11"/>
      <c r="I31" s="11"/>
      <c r="J31" s="11"/>
      <c r="K31" s="19"/>
      <c r="L31" s="19"/>
      <c r="M31" s="19"/>
      <c r="N31" s="20">
        <f>N30*Indexation.November.Actual</f>
        <v>0</v>
      </c>
      <c r="O31" s="20">
        <f t="shared" ref="O31:P31" si="7">O30*Indexation.November.Actual</f>
        <v>0</v>
      </c>
      <c r="P31" s="20">
        <f t="shared" si="7"/>
        <v>0</v>
      </c>
      <c r="Q31" s="20"/>
      <c r="R31" s="20"/>
      <c r="S31" s="20"/>
      <c r="T31" s="20"/>
      <c r="U31" s="20"/>
      <c r="V31" s="8" t="s">
        <v>313</v>
      </c>
      <c r="W31" s="11"/>
    </row>
    <row r="32" spans="1:23" s="2" customFormat="1">
      <c r="A32" s="11"/>
      <c r="B32" s="11"/>
      <c r="C32" s="11"/>
      <c r="D32" s="12"/>
      <c r="E32" s="13"/>
      <c r="F32" s="24"/>
      <c r="G32" s="11"/>
      <c r="H32" s="11"/>
      <c r="I32" s="11"/>
      <c r="J32" s="11"/>
      <c r="K32" s="11"/>
      <c r="L32" s="20"/>
      <c r="M32" s="20"/>
      <c r="N32" s="20"/>
      <c r="O32" s="20"/>
      <c r="P32" s="20"/>
      <c r="Q32" s="20"/>
      <c r="R32" s="20"/>
      <c r="S32" s="20"/>
      <c r="T32" s="20"/>
      <c r="U32" s="20"/>
      <c r="V32" s="8"/>
      <c r="W32" s="11"/>
    </row>
    <row r="33" spans="1:23" s="2" customFormat="1">
      <c r="A33" s="11"/>
      <c r="B33" s="11"/>
      <c r="C33" s="11"/>
      <c r="D33" s="12" t="s">
        <v>20</v>
      </c>
      <c r="E33" s="180" t="s">
        <v>314</v>
      </c>
      <c r="F33" s="24" t="s">
        <v>250</v>
      </c>
      <c r="G33" s="11"/>
      <c r="H33" s="11"/>
      <c r="I33" s="11"/>
      <c r="J33" s="11"/>
      <c r="K33" s="19"/>
      <c r="L33" s="19"/>
      <c r="M33" s="19"/>
      <c r="N33" s="19"/>
      <c r="O33" s="19"/>
      <c r="P33" s="181">
        <f xml:space="preserve"> 1 - SUM(N29:P29)</f>
        <v>1</v>
      </c>
      <c r="Q33" s="20"/>
      <c r="R33" s="20"/>
      <c r="S33" s="20"/>
      <c r="T33" s="20"/>
      <c r="U33" s="20"/>
      <c r="V33" s="8"/>
      <c r="W33" s="11"/>
    </row>
    <row r="34" spans="1:23" s="2" customFormat="1">
      <c r="A34" s="11"/>
      <c r="B34" s="11"/>
      <c r="C34" s="11"/>
      <c r="D34" s="12" t="s">
        <v>150</v>
      </c>
      <c r="E34" s="180" t="s">
        <v>255</v>
      </c>
      <c r="F34" s="24" t="s">
        <v>180</v>
      </c>
      <c r="G34" s="11"/>
      <c r="H34" s="11"/>
      <c r="I34" s="11"/>
      <c r="J34" s="11"/>
      <c r="K34" s="19"/>
      <c r="L34" s="74"/>
      <c r="M34" s="19"/>
      <c r="N34" s="19"/>
      <c r="O34" s="19"/>
      <c r="P34" s="178">
        <f xml:space="preserve"> P28*(1+Discount.Rate)</f>
        <v>-6.7934254780876141E-2</v>
      </c>
      <c r="Q34" s="20"/>
      <c r="R34" s="20"/>
      <c r="S34" s="20"/>
      <c r="T34" s="20"/>
      <c r="U34" s="20"/>
      <c r="V34" s="8"/>
      <c r="W34" s="11"/>
    </row>
    <row r="35" spans="1:23" s="2" customFormat="1">
      <c r="A35" s="11"/>
      <c r="B35" s="11"/>
      <c r="C35" s="11"/>
      <c r="D35" s="12" t="s">
        <v>150</v>
      </c>
      <c r="E35" s="180" t="s">
        <v>256</v>
      </c>
      <c r="F35" s="24" t="s">
        <v>180</v>
      </c>
      <c r="G35" s="11"/>
      <c r="H35" s="11"/>
      <c r="I35" s="11"/>
      <c r="J35" s="11"/>
      <c r="K35" s="19"/>
      <c r="L35" s="74"/>
      <c r="M35" s="19"/>
      <c r="N35" s="19"/>
      <c r="O35" s="19"/>
      <c r="P35" s="178">
        <f xml:space="preserve"> P33 * P34</f>
        <v>-6.7934254780876141E-2</v>
      </c>
      <c r="Q35" s="20"/>
      <c r="R35" s="20"/>
      <c r="S35" s="20"/>
      <c r="T35" s="20"/>
      <c r="U35" s="20"/>
      <c r="V35" s="8"/>
      <c r="W35" s="11"/>
    </row>
    <row r="36" spans="1:23" s="2" customFormat="1">
      <c r="A36" s="11"/>
      <c r="B36" s="11"/>
      <c r="C36" s="11"/>
      <c r="D36" s="12" t="s">
        <v>150</v>
      </c>
      <c r="E36" s="180" t="s">
        <v>257</v>
      </c>
      <c r="F36" s="24" t="s">
        <v>169</v>
      </c>
      <c r="G36" s="11"/>
      <c r="H36" s="11"/>
      <c r="I36" s="11"/>
      <c r="J36" s="11"/>
      <c r="K36" s="19"/>
      <c r="L36" s="74"/>
      <c r="M36" s="19"/>
      <c r="N36" s="19"/>
      <c r="O36" s="19"/>
      <c r="P36" s="178">
        <f>P35*Indexation.November.Actual</f>
        <v>-8.1200896971600073E-2</v>
      </c>
      <c r="Q36" s="20"/>
      <c r="R36" s="20"/>
      <c r="S36" s="20"/>
      <c r="T36" s="20"/>
      <c r="U36" s="20"/>
      <c r="V36" s="8"/>
      <c r="W36" s="11"/>
    </row>
    <row r="37" spans="1:23" s="2" customFormat="1">
      <c r="A37" s="11"/>
      <c r="B37" s="11"/>
      <c r="C37" s="11"/>
      <c r="D37" s="12"/>
      <c r="E37" s="11"/>
      <c r="F37" s="24"/>
      <c r="G37" s="11"/>
      <c r="H37" s="11"/>
      <c r="I37" s="11"/>
      <c r="J37" s="11"/>
      <c r="K37" s="11"/>
      <c r="L37" s="20"/>
      <c r="M37" s="20"/>
      <c r="N37" s="20"/>
      <c r="O37" s="20"/>
      <c r="P37" s="20"/>
      <c r="Q37" s="20"/>
      <c r="R37" s="20"/>
      <c r="S37" s="20"/>
      <c r="T37" s="20"/>
      <c r="U37" s="20"/>
      <c r="V37" s="11"/>
      <c r="W37" s="11"/>
    </row>
    <row r="38" spans="1:23" s="2" customFormat="1">
      <c r="A38" s="11"/>
      <c r="B38" s="11"/>
      <c r="C38" s="11"/>
      <c r="D38" s="12"/>
      <c r="E38" s="24" t="s">
        <v>258</v>
      </c>
      <c r="F38" s="24"/>
      <c r="G38" s="11"/>
      <c r="H38" s="11"/>
      <c r="I38" s="11"/>
      <c r="J38" s="11"/>
      <c r="K38" s="11"/>
      <c r="L38" s="20"/>
      <c r="M38" s="20"/>
      <c r="N38" s="20"/>
      <c r="O38" s="20"/>
      <c r="P38" s="20"/>
      <c r="Q38" s="20"/>
      <c r="R38" s="20"/>
      <c r="S38" s="20"/>
      <c r="T38" s="20"/>
      <c r="U38" s="20"/>
      <c r="V38" s="11"/>
      <c r="W38" s="11"/>
    </row>
    <row r="39" spans="1:23" s="2" customFormat="1" ht="13.15">
      <c r="A39" s="11"/>
      <c r="B39" s="11"/>
      <c r="C39" s="11"/>
      <c r="D39" s="12"/>
      <c r="E39" s="5" t="s">
        <v>259</v>
      </c>
      <c r="F39" s="24"/>
      <c r="G39" s="11"/>
      <c r="H39" s="11"/>
      <c r="I39" s="11"/>
      <c r="J39" s="11"/>
      <c r="K39" s="11"/>
      <c r="L39" s="20"/>
      <c r="M39" s="20"/>
      <c r="N39" s="20"/>
      <c r="O39" s="20"/>
      <c r="P39" s="20"/>
      <c r="Q39" s="20"/>
      <c r="R39" s="20"/>
      <c r="S39" s="20"/>
      <c r="T39" s="20"/>
      <c r="U39" s="20"/>
      <c r="V39" s="11"/>
      <c r="W39" s="11"/>
    </row>
    <row r="40" spans="1:23" s="2" customFormat="1">
      <c r="A40" s="11"/>
      <c r="B40" s="11"/>
      <c r="C40" s="11"/>
      <c r="D40" s="12" t="s">
        <v>150</v>
      </c>
      <c r="E40" s="13" t="s">
        <v>260</v>
      </c>
      <c r="F40" s="24" t="s">
        <v>169</v>
      </c>
      <c r="G40" s="11"/>
      <c r="H40" s="11"/>
      <c r="I40" s="11"/>
      <c r="J40" s="11"/>
      <c r="K40" s="11"/>
      <c r="L40" s="20">
        <f>J56+J66</f>
        <v>0</v>
      </c>
      <c r="M40" s="20">
        <f t="shared" ref="M40:P40" si="8">K56+K66</f>
        <v>0</v>
      </c>
      <c r="N40" s="20">
        <f t="shared" si="8"/>
        <v>0</v>
      </c>
      <c r="O40" s="20">
        <f t="shared" si="8"/>
        <v>0</v>
      </c>
      <c r="P40" s="20">
        <f t="shared" si="8"/>
        <v>0</v>
      </c>
      <c r="Q40" s="20"/>
      <c r="R40" s="20"/>
      <c r="S40" s="14"/>
      <c r="T40" s="14"/>
      <c r="U40" s="14"/>
      <c r="V40" s="8" t="s">
        <v>315</v>
      </c>
      <c r="W40" s="11"/>
    </row>
    <row r="41" spans="1:23" s="2" customFormat="1">
      <c r="A41" s="11"/>
      <c r="B41" s="11"/>
      <c r="C41" s="11"/>
      <c r="D41" s="13" t="str">
        <f>Data!D12</f>
        <v>True/False</v>
      </c>
      <c r="E41" s="13" t="str">
        <f>Data!E12</f>
        <v>Company has accepted WRFIM licence modification</v>
      </c>
      <c r="F41" s="13"/>
      <c r="G41" s="13" t="b">
        <f>Data!G12</f>
        <v>1</v>
      </c>
      <c r="H41" s="13" t="str">
        <f>Data!H12</f>
        <v>True/False</v>
      </c>
      <c r="I41" s="11"/>
      <c r="J41" s="11"/>
      <c r="K41" s="11"/>
      <c r="L41" s="20"/>
      <c r="M41" s="20"/>
      <c r="N41" s="20"/>
      <c r="O41" s="20"/>
      <c r="P41" s="20"/>
      <c r="Q41" s="20"/>
      <c r="R41" s="20"/>
      <c r="S41" s="14"/>
      <c r="T41" s="14"/>
      <c r="U41" s="14"/>
      <c r="V41" s="8"/>
    </row>
    <row r="42" spans="1:23" s="2" customFormat="1">
      <c r="A42" s="11"/>
      <c r="B42" s="11"/>
      <c r="C42" s="11"/>
      <c r="D42" s="12" t="s">
        <v>150</v>
      </c>
      <c r="E42" s="13" t="str">
        <f>Data!E54</f>
        <v>Over-recovered 17/18 revenue returned - wastewater</v>
      </c>
      <c r="F42" s="24" t="s">
        <v>169</v>
      </c>
      <c r="G42" s="13"/>
      <c r="H42" s="13"/>
      <c r="I42" s="11"/>
      <c r="J42" s="11"/>
      <c r="K42" s="11"/>
      <c r="L42" s="20"/>
      <c r="M42" s="20"/>
      <c r="N42" s="20"/>
      <c r="O42" s="178">
        <f>(0 - Data!$O$54)</f>
        <v>0</v>
      </c>
      <c r="P42" s="178"/>
      <c r="Q42" s="20"/>
      <c r="R42" s="20"/>
      <c r="S42" s="14"/>
      <c r="T42" s="14"/>
      <c r="U42" s="14"/>
      <c r="V42" s="8"/>
    </row>
    <row r="43" spans="1:23" s="2" customFormat="1">
      <c r="A43" s="11"/>
      <c r="B43" s="11"/>
      <c r="C43" s="11"/>
      <c r="D43" s="12" t="s">
        <v>150</v>
      </c>
      <c r="E43" s="13" t="s">
        <v>316</v>
      </c>
      <c r="F43" s="24" t="s">
        <v>169</v>
      </c>
      <c r="G43" s="13"/>
      <c r="H43" s="13"/>
      <c r="I43" s="11"/>
      <c r="J43" s="11"/>
      <c r="K43" s="11"/>
      <c r="L43" s="20"/>
      <c r="M43" s="20"/>
      <c r="N43" s="20"/>
      <c r="O43" s="178"/>
      <c r="P43" s="178">
        <f>(0-O42*(1+Discount.Rate))*(INDEX(Indexation.November.Actual.YearOnYear,,MATCH(P$5,Calendar.Years,0)))</f>
        <v>0</v>
      </c>
      <c r="Q43" s="20"/>
      <c r="R43" s="20"/>
      <c r="S43" s="14"/>
      <c r="T43" s="14"/>
      <c r="U43" s="14"/>
      <c r="V43" s="8"/>
    </row>
    <row r="44" spans="1:23" s="2" customFormat="1">
      <c r="A44" s="11"/>
      <c r="B44" s="11"/>
      <c r="C44" s="11"/>
      <c r="D44" s="12" t="s">
        <v>150</v>
      </c>
      <c r="E44" s="13" t="str">
        <f>Data!E58</f>
        <v>Over-recovered 18/19 revenue returned - wastewater</v>
      </c>
      <c r="F44" s="24" t="s">
        <v>169</v>
      </c>
      <c r="G44" s="13"/>
      <c r="H44" s="13"/>
      <c r="I44" s="11"/>
      <c r="J44" s="11"/>
      <c r="K44" s="11"/>
      <c r="L44" s="20"/>
      <c r="M44" s="20"/>
      <c r="N44" s="20"/>
      <c r="O44" s="178"/>
      <c r="P44" s="178">
        <f>(0 - Data!$P$58)</f>
        <v>0</v>
      </c>
      <c r="Q44" s="20"/>
      <c r="R44" s="20"/>
      <c r="S44" s="14"/>
      <c r="T44" s="14"/>
      <c r="U44" s="14"/>
      <c r="V44" s="8"/>
    </row>
    <row r="45" spans="1:23" s="2" customFormat="1">
      <c r="A45" s="11"/>
      <c r="B45" s="11"/>
      <c r="C45" s="11"/>
      <c r="D45" s="12" t="s">
        <v>150</v>
      </c>
      <c r="E45" s="13" t="s">
        <v>263</v>
      </c>
      <c r="F45" s="24" t="s">
        <v>169</v>
      </c>
      <c r="G45"/>
      <c r="H45"/>
      <c r="I45"/>
      <c r="J45"/>
      <c r="K45"/>
      <c r="L45" s="173">
        <f>L23</f>
        <v>0</v>
      </c>
      <c r="M45" s="173">
        <f t="shared" ref="M45:P45" si="9">M23</f>
        <v>0</v>
      </c>
      <c r="N45" s="173">
        <f t="shared" si="9"/>
        <v>0</v>
      </c>
      <c r="O45" s="173">
        <f t="shared" si="9"/>
        <v>2.5478539125979967</v>
      </c>
      <c r="P45" s="173">
        <f t="shared" si="9"/>
        <v>3.5051652891482497</v>
      </c>
      <c r="Q45" s="20"/>
      <c r="R45" s="20"/>
      <c r="S45" s="20"/>
      <c r="T45" s="20"/>
      <c r="U45" s="20"/>
      <c r="V45" s="11"/>
    </row>
    <row r="46" spans="1:23" s="2" customFormat="1">
      <c r="A46" s="11"/>
      <c r="B46" s="11"/>
      <c r="C46" s="11"/>
      <c r="D46" s="12" t="s">
        <v>150</v>
      </c>
      <c r="E46" s="13" t="s">
        <v>264</v>
      </c>
      <c r="F46" s="24" t="s">
        <v>169</v>
      </c>
      <c r="G46" s="11"/>
      <c r="H46" s="11"/>
      <c r="I46" s="11"/>
      <c r="J46" s="11"/>
      <c r="K46" s="11"/>
      <c r="L46" s="173">
        <f>AllRev.Outturn.Waste.Revised+RCM.BlindYear.Adj.Waste+AMP6.FI.Adj.Waste+L42+L43+L44</f>
        <v>0</v>
      </c>
      <c r="M46" s="173">
        <f>AllRev.Outturn.Waste.Revised+RCM.BlindYear.Adj.Waste+AMP6.FI.Adj.Waste+M42+M43+M44</f>
        <v>0</v>
      </c>
      <c r="N46" s="173">
        <f>AllRev.Outturn.Waste.Revised+RCM.BlindYear.Adj.Waste+AMP6.FI.Adj.Waste+N42+N43+N44</f>
        <v>0</v>
      </c>
      <c r="O46" s="173">
        <f>AllRev.Outturn.Waste.Revised+RCM.BlindYear.Adj.Waste+AMP6.FI.Adj.Waste+O42+O43+O44</f>
        <v>2.5478539125979967</v>
      </c>
      <c r="P46" s="173">
        <f>AllRev.Outturn.Waste.Revised+RCM.BlindYear.Adj.Waste+AMP6.FI.Adj.Waste+P42+P43+P44</f>
        <v>3.5051652891482497</v>
      </c>
      <c r="Q46" s="20"/>
      <c r="R46" s="20"/>
      <c r="S46" s="20"/>
      <c r="T46" s="20"/>
      <c r="U46" s="20"/>
      <c r="V46" s="8" t="s">
        <v>317</v>
      </c>
    </row>
    <row r="47" spans="1:23" s="2" customFormat="1">
      <c r="A47" s="11"/>
      <c r="B47" s="11"/>
      <c r="C47" s="11"/>
      <c r="D47" s="12" t="s">
        <v>150</v>
      </c>
      <c r="E47" s="13" t="s">
        <v>266</v>
      </c>
      <c r="F47" s="24" t="s">
        <v>169</v>
      </c>
      <c r="G47"/>
      <c r="H47"/>
      <c r="I47"/>
      <c r="J47"/>
      <c r="K47"/>
      <c r="L47" s="20">
        <f>IF($G41=TRUE,L46,MIN(L45:L46))</f>
        <v>0</v>
      </c>
      <c r="M47" s="20">
        <f t="shared" ref="M47:P47" si="10">IF($G41=TRUE,M46,MIN(M45:M46))</f>
        <v>0</v>
      </c>
      <c r="N47" s="20">
        <f t="shared" si="10"/>
        <v>0</v>
      </c>
      <c r="O47" s="20">
        <f t="shared" si="10"/>
        <v>2.5478539125979967</v>
      </c>
      <c r="P47" s="20">
        <f t="shared" si="10"/>
        <v>3.5051652891482497</v>
      </c>
      <c r="Q47" s="20"/>
      <c r="R47" s="20"/>
      <c r="S47" s="14"/>
      <c r="T47" s="14"/>
      <c r="U47" s="14"/>
      <c r="V47" s="8" t="s">
        <v>318</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1"/>
    </row>
    <row r="49" spans="1:22" s="2" customFormat="1">
      <c r="A49" s="11"/>
      <c r="B49" s="11"/>
      <c r="C49" s="11"/>
      <c r="D49" s="12" t="s">
        <v>150</v>
      </c>
      <c r="E49" s="13" t="s">
        <v>268</v>
      </c>
      <c r="F49" s="24" t="s">
        <v>169</v>
      </c>
      <c r="G49" s="11"/>
      <c r="H49" s="11"/>
      <c r="I49" s="11"/>
      <c r="J49" s="11"/>
      <c r="K49" s="11"/>
      <c r="L49" s="20">
        <f>RecRev.Waste</f>
        <v>0</v>
      </c>
      <c r="M49" s="20">
        <f>RecRev.Waste</f>
        <v>0</v>
      </c>
      <c r="N49" s="20">
        <f>RecRev.Waste</f>
        <v>0</v>
      </c>
      <c r="O49" s="20">
        <f>RecRev.Waste</f>
        <v>2.5478539125979953</v>
      </c>
      <c r="P49" s="20">
        <f>RecRev.Waste</f>
        <v>3.5051652891482474</v>
      </c>
      <c r="Q49" s="20"/>
      <c r="R49" s="20"/>
      <c r="S49" s="20"/>
      <c r="T49" s="20"/>
      <c r="U49" s="20"/>
      <c r="V49" s="8"/>
    </row>
    <row r="50" spans="1:22" s="2" customFormat="1">
      <c r="A50" s="11"/>
      <c r="B50" s="11"/>
      <c r="C50" s="11"/>
      <c r="D50" s="12"/>
      <c r="E50" s="13"/>
      <c r="F50" s="24"/>
      <c r="G50" s="11"/>
      <c r="H50" s="11"/>
      <c r="I50" s="11"/>
      <c r="J50" s="11"/>
      <c r="K50" s="11"/>
      <c r="L50" s="20"/>
      <c r="M50" s="20"/>
      <c r="N50" s="20"/>
      <c r="O50" s="20"/>
      <c r="P50" s="20"/>
      <c r="Q50" s="20"/>
      <c r="R50" s="20"/>
      <c r="S50" s="20"/>
      <c r="T50" s="20"/>
      <c r="U50" s="20"/>
      <c r="V50" s="11"/>
    </row>
    <row r="51" spans="1:22" s="2" customFormat="1">
      <c r="A51" s="11"/>
      <c r="B51" s="11"/>
      <c r="C51" s="11"/>
      <c r="D51" s="12" t="s">
        <v>150</v>
      </c>
      <c r="E51" s="13" t="s">
        <v>269</v>
      </c>
      <c r="F51" s="24" t="s">
        <v>169</v>
      </c>
      <c r="G51" s="11"/>
      <c r="H51" s="11"/>
      <c r="I51" s="11"/>
      <c r="J51" s="11"/>
      <c r="K51" s="11"/>
      <c r="L51" s="20">
        <f t="shared" ref="L51:M51" si="11">L49-L46</f>
        <v>0</v>
      </c>
      <c r="M51" s="20">
        <f t="shared" si="11"/>
        <v>0</v>
      </c>
      <c r="N51" s="20">
        <f>N49-N46</f>
        <v>0</v>
      </c>
      <c r="O51" s="20">
        <f t="shared" ref="O51:P51" si="12">O49-O46</f>
        <v>0</v>
      </c>
      <c r="P51" s="20">
        <f t="shared" si="12"/>
        <v>0</v>
      </c>
      <c r="Q51" s="20"/>
      <c r="R51" s="20"/>
      <c r="S51" s="20"/>
      <c r="T51" s="20"/>
      <c r="U51" s="20"/>
      <c r="V51" s="11"/>
    </row>
    <row r="52" spans="1:22" s="2" customFormat="1">
      <c r="A52" s="11"/>
      <c r="B52" s="11"/>
      <c r="C52" s="11"/>
      <c r="D52" s="12" t="s">
        <v>137</v>
      </c>
      <c r="E52" s="13" t="s">
        <v>270</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8" t="s">
        <v>319</v>
      </c>
    </row>
    <row r="53" spans="1:22">
      <c r="A53" s="11"/>
      <c r="B53" s="11"/>
      <c r="C53" s="11"/>
      <c r="D53" s="12"/>
      <c r="E53" s="13"/>
      <c r="F53" s="26"/>
      <c r="K53" s="11"/>
      <c r="L53" s="92"/>
      <c r="M53" s="92"/>
      <c r="N53" s="92"/>
      <c r="O53" s="92"/>
      <c r="P53" s="92"/>
      <c r="Q53" s="20"/>
      <c r="R53" s="20"/>
      <c r="S53" s="20"/>
      <c r="T53" s="20"/>
      <c r="U53" s="20"/>
      <c r="V53" s="8"/>
    </row>
    <row r="54" spans="1:22" ht="13.15">
      <c r="A54" s="11"/>
      <c r="B54" s="11"/>
      <c r="C54" s="11"/>
      <c r="D54" s="12"/>
      <c r="E54" s="22" t="s">
        <v>272</v>
      </c>
      <c r="F54" s="26"/>
      <c r="K54" s="11"/>
      <c r="L54" s="92"/>
      <c r="M54" s="92"/>
      <c r="N54" s="92"/>
      <c r="O54" s="92"/>
      <c r="P54" s="92"/>
      <c r="Q54" s="20"/>
      <c r="R54" s="20"/>
      <c r="S54" s="20"/>
      <c r="T54" s="20"/>
      <c r="U54" s="20"/>
      <c r="V54" s="8"/>
    </row>
    <row r="55" spans="1:22">
      <c r="A55" s="11"/>
      <c r="B55" s="11"/>
      <c r="C55" s="11"/>
      <c r="D55" s="12" t="s">
        <v>150</v>
      </c>
      <c r="E55" s="13" t="s">
        <v>273</v>
      </c>
      <c r="F55" s="24" t="s">
        <v>169</v>
      </c>
      <c r="J55" s="19">
        <v>0</v>
      </c>
      <c r="K55" s="19">
        <v>0</v>
      </c>
      <c r="L55" s="20">
        <f>0-L51*(1+Discount.Rate)*(1+Discount.Rate)</f>
        <v>0</v>
      </c>
      <c r="M55" s="20">
        <f>0-M51*(1+Discount.Rate)*(1+Discount.Rate)</f>
        <v>0</v>
      </c>
      <c r="N55" s="20">
        <f>0-N51*(1+Discount.Rate)*(1+Discount.Rate)</f>
        <v>0</v>
      </c>
      <c r="O55" s="19"/>
      <c r="P55" s="19"/>
      <c r="Q55" s="20"/>
      <c r="R55" s="20"/>
      <c r="S55" s="20"/>
      <c r="T55" s="20"/>
      <c r="U55" s="20"/>
      <c r="V55" s="8"/>
    </row>
    <row r="56" spans="1:22">
      <c r="A56" s="11"/>
      <c r="B56" s="11"/>
      <c r="C56" s="11"/>
      <c r="D56" s="12" t="s">
        <v>150</v>
      </c>
      <c r="E56" s="13" t="s">
        <v>274</v>
      </c>
      <c r="F56" s="24" t="s">
        <v>275</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row>
    <row r="57" spans="1:22">
      <c r="A57" s="11" t="s">
        <v>320</v>
      </c>
      <c r="B57" s="11"/>
      <c r="C57" s="11"/>
      <c r="D57" s="12" t="s">
        <v>150</v>
      </c>
      <c r="E57" s="13" t="s">
        <v>321</v>
      </c>
      <c r="F57" s="24" t="s">
        <v>169</v>
      </c>
      <c r="J57" s="19"/>
      <c r="K57" s="19"/>
      <c r="L57" s="19"/>
      <c r="M57" s="19"/>
      <c r="N57" s="20">
        <f>L56</f>
        <v>0</v>
      </c>
      <c r="O57" s="20">
        <f>M56</f>
        <v>0</v>
      </c>
      <c r="P57" s="20">
        <f>N56</f>
        <v>0</v>
      </c>
    </row>
    <row r="58" spans="1:22" ht="13.15">
      <c r="A58" s="11"/>
      <c r="B58" s="11"/>
      <c r="C58" s="11"/>
      <c r="D58" s="12"/>
      <c r="E58" s="15"/>
      <c r="F58" s="24"/>
    </row>
    <row r="59" spans="1:22" ht="13.15">
      <c r="A59" s="11"/>
      <c r="B59" s="11"/>
      <c r="C59" s="11"/>
      <c r="D59" s="12"/>
      <c r="E59" s="22" t="s">
        <v>277</v>
      </c>
      <c r="F59" s="24"/>
    </row>
    <row r="60" spans="1:22">
      <c r="A60" s="11"/>
      <c r="B60" s="11"/>
      <c r="C60" s="11"/>
      <c r="D60" s="12" t="s">
        <v>137</v>
      </c>
      <c r="E60" s="13" t="s">
        <v>278</v>
      </c>
      <c r="F60" s="24"/>
      <c r="L60" s="92">
        <f>IF(L47=0,0,ABS((L49-L47)/L47))</f>
        <v>0</v>
      </c>
      <c r="M60" s="92">
        <f t="shared" ref="M60:P60" si="14">IF(M47=0,0,ABS((M49-M47)/M47))</f>
        <v>0</v>
      </c>
      <c r="N60" s="92">
        <f t="shared" si="14"/>
        <v>0</v>
      </c>
      <c r="O60" s="92">
        <f t="shared" si="14"/>
        <v>5.2289796638760214E-16</v>
      </c>
      <c r="P60" s="92">
        <f t="shared" si="14"/>
        <v>6.3347827165944534E-16</v>
      </c>
    </row>
    <row r="61" spans="1:22">
      <c r="A61" s="11"/>
      <c r="B61" s="11"/>
      <c r="C61" s="11"/>
      <c r="D61" s="17" t="s">
        <v>18</v>
      </c>
      <c r="E61" s="13" t="s">
        <v>279</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row>
    <row r="62" spans="1:22">
      <c r="B62" s="11"/>
      <c r="C62" s="11"/>
      <c r="D62" s="12" t="s">
        <v>137</v>
      </c>
      <c r="E62" s="13" t="s">
        <v>280</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row>
    <row r="63" spans="1:22" ht="13.15">
      <c r="A63" s="11"/>
      <c r="B63" s="11"/>
      <c r="C63" s="11"/>
      <c r="D63" s="12"/>
      <c r="E63" s="22"/>
      <c r="F63" s="24"/>
    </row>
    <row r="64" spans="1:22">
      <c r="A64" s="11"/>
      <c r="B64" s="11"/>
      <c r="C64" s="11"/>
      <c r="D64" s="12" t="s">
        <v>150</v>
      </c>
      <c r="E64" s="13" t="s">
        <v>281</v>
      </c>
      <c r="F64" s="24" t="s">
        <v>169</v>
      </c>
      <c r="J64" s="19"/>
      <c r="K64" s="19"/>
      <c r="L64" s="20">
        <f>0-L62*ABS(L49-L47)</f>
        <v>0</v>
      </c>
      <c r="M64" s="20">
        <f>0-M62*ABS(M49-M47)</f>
        <v>0</v>
      </c>
      <c r="N64" s="20">
        <f>0-N62*ABS(N49-N47)</f>
        <v>0</v>
      </c>
      <c r="O64" s="20">
        <f t="shared" ref="O64:P64" si="15">0-O62*ABS(O49-O47)</f>
        <v>0</v>
      </c>
      <c r="P64" s="20">
        <f t="shared" si="15"/>
        <v>0</v>
      </c>
    </row>
    <row r="65" spans="1:23">
      <c r="A65" s="11"/>
      <c r="B65" s="11"/>
      <c r="C65" s="11"/>
      <c r="D65" s="12" t="s">
        <v>150</v>
      </c>
      <c r="E65" s="13" t="s">
        <v>282</v>
      </c>
      <c r="F65" s="24" t="s">
        <v>169</v>
      </c>
      <c r="J65" s="74"/>
      <c r="K65" s="19"/>
      <c r="L65" s="20">
        <f>L64*(1+Discount.Rate)</f>
        <v>0</v>
      </c>
      <c r="M65" s="20">
        <f>M64*(1+Discount.Rate)</f>
        <v>0</v>
      </c>
      <c r="N65" s="20">
        <f>N64*(1+Discount.Rate)</f>
        <v>0</v>
      </c>
      <c r="O65" s="19"/>
      <c r="P65" s="19"/>
    </row>
    <row r="66" spans="1:23">
      <c r="A66" s="11"/>
      <c r="B66" s="11"/>
      <c r="C66" s="11"/>
      <c r="D66" s="12" t="s">
        <v>150</v>
      </c>
      <c r="E66" s="13" t="s">
        <v>283</v>
      </c>
      <c r="F66" s="24" t="s">
        <v>169</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row>
    <row r="67" spans="1:23">
      <c r="A67" s="11" t="s">
        <v>322</v>
      </c>
      <c r="B67" s="11"/>
      <c r="C67" s="11"/>
      <c r="D67" s="12" t="s">
        <v>150</v>
      </c>
      <c r="E67" s="13" t="s">
        <v>323</v>
      </c>
      <c r="F67" s="24" t="s">
        <v>169</v>
      </c>
      <c r="J67" s="19"/>
      <c r="K67" s="19"/>
      <c r="L67" s="19"/>
      <c r="M67" s="19"/>
      <c r="N67" s="20">
        <f>L66</f>
        <v>0</v>
      </c>
      <c r="O67" s="20">
        <f>M66</f>
        <v>0</v>
      </c>
      <c r="P67" s="20">
        <f>N66</f>
        <v>0</v>
      </c>
    </row>
    <row r="68" spans="1:23">
      <c r="A68" s="11"/>
      <c r="B68" s="11"/>
      <c r="C68" s="11"/>
    </row>
    <row r="69" spans="1:23" ht="13.15">
      <c r="A69" s="11"/>
      <c r="B69" s="11"/>
      <c r="C69" s="11"/>
      <c r="E69" s="22" t="s">
        <v>285</v>
      </c>
    </row>
    <row r="70" spans="1:23">
      <c r="A70" s="11"/>
      <c r="B70" s="11"/>
      <c r="C70" s="11"/>
      <c r="D70" s="12" t="s">
        <v>150</v>
      </c>
      <c r="E70" s="13" t="s">
        <v>286</v>
      </c>
      <c r="F70" s="24" t="s">
        <v>169</v>
      </c>
      <c r="L70" s="19"/>
      <c r="M70" s="19"/>
      <c r="N70" s="20">
        <f>N57</f>
        <v>0</v>
      </c>
      <c r="O70" s="20">
        <f>O57</f>
        <v>0</v>
      </c>
      <c r="P70" s="20">
        <f>P57</f>
        <v>0</v>
      </c>
    </row>
    <row r="71" spans="1:23">
      <c r="A71" s="11"/>
      <c r="B71" s="11"/>
      <c r="C71" s="11"/>
      <c r="D71" s="12" t="s">
        <v>150</v>
      </c>
      <c r="E71" s="13" t="s">
        <v>287</v>
      </c>
      <c r="F71" s="24" t="s">
        <v>169</v>
      </c>
      <c r="L71" s="19"/>
      <c r="M71" s="19"/>
      <c r="N71" s="20">
        <f>N67</f>
        <v>0</v>
      </c>
      <c r="O71" s="20">
        <f>O67</f>
        <v>0</v>
      </c>
      <c r="P71" s="20">
        <f>P67</f>
        <v>0</v>
      </c>
    </row>
    <row r="72" spans="1:23">
      <c r="A72" s="11" t="s">
        <v>39</v>
      </c>
      <c r="B72" s="11"/>
      <c r="C72" s="11"/>
      <c r="D72" s="12" t="s">
        <v>150</v>
      </c>
      <c r="E72" s="13" t="s">
        <v>324</v>
      </c>
      <c r="F72" s="24" t="s">
        <v>169</v>
      </c>
      <c r="K72" s="11"/>
      <c r="L72" s="19"/>
      <c r="M72" s="19"/>
      <c r="N72" s="20">
        <f>SUM(N70:N71)</f>
        <v>0</v>
      </c>
      <c r="O72" s="20">
        <f>SUM(O70:O71)</f>
        <v>0</v>
      </c>
      <c r="P72" s="20">
        <f>SUM(P70:P71)</f>
        <v>0</v>
      </c>
    </row>
    <row r="73" spans="1:23">
      <c r="A73" s="11"/>
      <c r="B73" s="11"/>
      <c r="C73" s="11"/>
      <c r="F73" s="26"/>
      <c r="K73" s="11"/>
    </row>
    <row r="74" spans="1:23">
      <c r="A74" s="11"/>
      <c r="E74" s="24" t="s">
        <v>289</v>
      </c>
      <c r="F74" s="26"/>
      <c r="K74" s="11"/>
    </row>
    <row r="75" spans="1:23">
      <c r="D75" s="17" t="s">
        <v>18</v>
      </c>
      <c r="E75" s="13" t="s">
        <v>290</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3.9">
      <c r="A77" s="89"/>
      <c r="B77" s="109"/>
      <c r="C77" s="109"/>
      <c r="D77" s="113"/>
      <c r="E77" s="111" t="s">
        <v>291</v>
      </c>
      <c r="F77" s="112"/>
      <c r="G77" s="110"/>
      <c r="H77" s="110"/>
      <c r="I77" s="110"/>
      <c r="J77" s="110"/>
      <c r="K77" s="110"/>
      <c r="L77" s="124"/>
      <c r="M77" s="124"/>
      <c r="N77" s="124"/>
      <c r="O77" s="124"/>
      <c r="P77" s="124"/>
      <c r="Q77" s="124"/>
      <c r="R77" s="124"/>
      <c r="S77" s="124"/>
      <c r="T77" s="124"/>
      <c r="U77" s="124"/>
      <c r="V77" s="110"/>
      <c r="W77" s="110"/>
    </row>
    <row r="78" spans="1:23">
      <c r="E78" s="13"/>
      <c r="F78" s="26"/>
    </row>
    <row r="79" spans="1:23">
      <c r="E79" s="24" t="s">
        <v>292</v>
      </c>
      <c r="F79" s="26"/>
    </row>
    <row r="80" spans="1:23">
      <c r="A80" t="s">
        <v>325</v>
      </c>
      <c r="D80" s="12" t="s">
        <v>150</v>
      </c>
      <c r="E80" s="13" t="s">
        <v>326</v>
      </c>
      <c r="F80" s="24" t="s">
        <v>169</v>
      </c>
      <c r="L80" s="19"/>
      <c r="M80" s="19"/>
      <c r="N80" s="19"/>
      <c r="O80" s="19"/>
      <c r="P80" s="20">
        <f>0-O51*(1+Discount.Rate)*Indexation.November.Actual.YearOnYear</f>
        <v>0</v>
      </c>
    </row>
    <row r="81" spans="1:17">
      <c r="A81" t="s">
        <v>327</v>
      </c>
      <c r="D81" s="12" t="s">
        <v>150</v>
      </c>
      <c r="E81" s="13" t="s">
        <v>328</v>
      </c>
      <c r="F81" s="24" t="s">
        <v>169</v>
      </c>
      <c r="L81" s="19"/>
      <c r="M81" s="19"/>
      <c r="N81" s="19"/>
      <c r="O81" s="19"/>
      <c r="P81" s="20">
        <f>O64*Indexation.November.Actual.YearOnYear</f>
        <v>0</v>
      </c>
    </row>
    <row r="82" spans="1:17">
      <c r="A82" t="s">
        <v>329</v>
      </c>
      <c r="D82" s="12" t="s">
        <v>150</v>
      </c>
      <c r="E82" s="13" t="s">
        <v>330</v>
      </c>
      <c r="F82" s="24" t="s">
        <v>169</v>
      </c>
      <c r="L82" s="19"/>
      <c r="M82" s="19"/>
      <c r="N82" s="19"/>
      <c r="O82" s="19"/>
      <c r="P82" s="20">
        <f>SUM(P80:P81)</f>
        <v>0</v>
      </c>
    </row>
    <row r="83" spans="1:17">
      <c r="F83" s="26"/>
    </row>
    <row r="84" spans="1:17">
      <c r="E84" s="24" t="s">
        <v>299</v>
      </c>
      <c r="F84" s="26"/>
    </row>
    <row r="85" spans="1:17">
      <c r="A85" t="s">
        <v>331</v>
      </c>
      <c r="D85" s="12" t="s">
        <v>150</v>
      </c>
      <c r="E85" s="13" t="s">
        <v>332</v>
      </c>
      <c r="F85" s="24" t="s">
        <v>169</v>
      </c>
      <c r="L85" s="19"/>
      <c r="M85" s="19"/>
      <c r="N85" s="19"/>
      <c r="O85" s="19"/>
      <c r="P85" s="20">
        <f>0-P51</f>
        <v>0</v>
      </c>
    </row>
    <row r="86" spans="1:17">
      <c r="A86" t="s">
        <v>333</v>
      </c>
      <c r="D86" s="12" t="s">
        <v>150</v>
      </c>
      <c r="E86" s="13" t="s">
        <v>334</v>
      </c>
      <c r="F86" s="24" t="s">
        <v>169</v>
      </c>
      <c r="L86" s="19"/>
      <c r="M86" s="19"/>
      <c r="N86" s="19"/>
      <c r="O86" s="19"/>
      <c r="P86" s="20">
        <f>P64</f>
        <v>0</v>
      </c>
    </row>
    <row r="87" spans="1:17">
      <c r="A87" t="s">
        <v>335</v>
      </c>
      <c r="D87" s="12" t="s">
        <v>150</v>
      </c>
      <c r="E87" s="13" t="s">
        <v>336</v>
      </c>
      <c r="F87" s="24" t="s">
        <v>169</v>
      </c>
      <c r="L87" s="19"/>
      <c r="M87" s="19"/>
      <c r="N87" s="19"/>
      <c r="O87" s="19"/>
      <c r="P87" s="20">
        <f>SUM(P85:P86)</f>
        <v>0</v>
      </c>
    </row>
    <row r="88" spans="1:17">
      <c r="E88" s="13"/>
      <c r="F88" s="26"/>
    </row>
    <row r="89" spans="1:17">
      <c r="E89" s="24" t="s">
        <v>306</v>
      </c>
      <c r="F89" s="26"/>
    </row>
    <row r="90" spans="1:17">
      <c r="A90" t="s">
        <v>337</v>
      </c>
      <c r="D90" s="12" t="s">
        <v>150</v>
      </c>
      <c r="E90" s="180" t="str">
        <f>E36 &amp; " - waste"</f>
        <v>AMP5 RCM adjustment to be applied at PR19 (Outturn price base) - waste</v>
      </c>
      <c r="F90" s="24" t="s">
        <v>169</v>
      </c>
      <c r="L90" s="19"/>
      <c r="M90" s="19"/>
      <c r="N90" s="19"/>
      <c r="O90" s="19"/>
      <c r="P90" s="178">
        <f>P36</f>
        <v>-8.1200896971600073E-2</v>
      </c>
    </row>
    <row r="91" spans="1:17">
      <c r="D91" s="12"/>
      <c r="E91" s="180"/>
      <c r="F91" s="24"/>
      <c r="P91" s="178"/>
    </row>
    <row r="92" spans="1:17">
      <c r="D92" s="12"/>
      <c r="E92" s="24" t="s">
        <v>547</v>
      </c>
      <c r="F92" s="24"/>
      <c r="P92" s="178"/>
    </row>
    <row r="93" spans="1:17">
      <c r="A93" t="s">
        <v>327</v>
      </c>
      <c r="D93" s="12" t="s">
        <v>150</v>
      </c>
      <c r="E93" s="180" t="s">
        <v>544</v>
      </c>
      <c r="F93" s="24" t="s">
        <v>169</v>
      </c>
      <c r="L93" s="19"/>
      <c r="M93" s="19"/>
      <c r="N93" s="19"/>
      <c r="O93" s="19"/>
      <c r="P93" s="178">
        <f>Data!$P$71</f>
        <v>0</v>
      </c>
    </row>
    <row r="94" spans="1:17">
      <c r="E94" s="13"/>
      <c r="F94" s="26"/>
      <c r="P94" s="179"/>
    </row>
    <row r="95" spans="1:17" ht="13.15">
      <c r="A95" t="s">
        <v>42</v>
      </c>
      <c r="D95" s="12" t="s">
        <v>150</v>
      </c>
      <c r="E95" s="22" t="s">
        <v>338</v>
      </c>
      <c r="F95" s="24" t="s">
        <v>169</v>
      </c>
      <c r="L95" s="19"/>
      <c r="M95" s="19"/>
      <c r="N95" s="19"/>
      <c r="O95" s="19"/>
      <c r="P95" s="178">
        <f>SUM(P82,P87,P90,P93)</f>
        <v>-8.1200896971600073E-2</v>
      </c>
      <c r="Q95" s="8" t="s">
        <v>339</v>
      </c>
    </row>
    <row r="96" spans="1:17" ht="13.15" thickBot="1">
      <c r="E96" s="16"/>
      <c r="F96" s="26"/>
    </row>
    <row r="97" spans="1:23" ht="13.5" thickBot="1">
      <c r="A97" s="6" t="s">
        <v>202</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2"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 xml:space="preserve">&amp;L&amp;F&amp;CSheet: &amp;A&amp;ROFFICIAL
</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39997558519241921"/>
    <pageSetUpPr fitToPage="1"/>
  </sheetPr>
  <dimension ref="A1:W175"/>
  <sheetViews>
    <sheetView showGridLines="0" zoomScale="80" zoomScaleNormal="80" workbookViewId="0">
      <pane xSplit="8" ySplit="7" topLeftCell="Q66" activePane="bottomRight" state="frozen"/>
      <selection activeCell="H4" sqref="H4"/>
      <selection pane="topRight" activeCell="H4" sqref="H4"/>
      <selection pane="bottomLeft" activeCell="H4" sqref="H4"/>
      <selection pane="bottomRight" activeCell="H4" sqref="H4"/>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5"/>
      <c r="B1" s="105"/>
      <c r="C1" s="105"/>
      <c r="D1" s="105" t="s">
        <v>340</v>
      </c>
      <c r="E1" s="105"/>
      <c r="F1" s="105"/>
      <c r="G1" s="105"/>
      <c r="H1" s="105"/>
      <c r="I1" s="105"/>
      <c r="J1" s="105"/>
      <c r="K1" s="105"/>
      <c r="L1" s="105"/>
      <c r="M1" s="105"/>
      <c r="N1" s="105"/>
      <c r="O1" s="105"/>
      <c r="P1" s="105"/>
      <c r="Q1" s="105"/>
      <c r="R1" s="105"/>
      <c r="S1" s="105"/>
      <c r="T1" s="105"/>
      <c r="U1" s="105"/>
      <c r="V1" s="105"/>
      <c r="W1" s="105"/>
    </row>
    <row r="2" spans="1:23" s="1" customFormat="1" ht="13.9">
      <c r="F2" s="11"/>
      <c r="G2" s="11"/>
      <c r="O2" s="11"/>
      <c r="P2" s="11"/>
    </row>
    <row r="3" spans="1:23" s="2" customFormat="1" ht="13.15">
      <c r="A3" s="11"/>
      <c r="B3" s="11"/>
      <c r="C3" s="11"/>
      <c r="D3" s="11"/>
      <c r="E3" s="11" t="s">
        <v>125</v>
      </c>
      <c r="F3" s="11"/>
      <c r="G3" s="11"/>
      <c r="H3" s="11"/>
      <c r="I3" s="107" t="str">
        <f t="shared" ref="I3:U3" si="0">AMP.Years</f>
        <v>2012-13</v>
      </c>
      <c r="J3" s="107" t="str">
        <f t="shared" si="0"/>
        <v>2013-14</v>
      </c>
      <c r="K3" s="107" t="str">
        <f t="shared" si="0"/>
        <v>2014-15</v>
      </c>
      <c r="L3" s="108" t="str">
        <f t="shared" si="0"/>
        <v>2015-16</v>
      </c>
      <c r="M3" s="108" t="str">
        <f t="shared" si="0"/>
        <v>2016-17</v>
      </c>
      <c r="N3" s="108" t="str">
        <f t="shared" si="0"/>
        <v>2017-18</v>
      </c>
      <c r="O3" s="108" t="str">
        <f t="shared" si="0"/>
        <v>2018-19</v>
      </c>
      <c r="P3" s="108" t="str">
        <f t="shared" si="0"/>
        <v>2019-20</v>
      </c>
      <c r="Q3" s="107" t="str">
        <f t="shared" si="0"/>
        <v>2020-21</v>
      </c>
      <c r="R3" s="107" t="str">
        <f t="shared" si="0"/>
        <v>2021-22</v>
      </c>
      <c r="S3" s="107" t="str">
        <f t="shared" si="0"/>
        <v>2022-23</v>
      </c>
      <c r="T3" s="107" t="str">
        <f t="shared" si="0"/>
        <v>2023-24</v>
      </c>
      <c r="U3" s="107"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126</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127</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9"/>
      <c r="C8" s="109"/>
      <c r="D8" s="113"/>
      <c r="E8" s="111" t="s">
        <v>238</v>
      </c>
      <c r="F8" s="110"/>
      <c r="G8" s="110"/>
      <c r="H8" s="110"/>
      <c r="I8" s="110"/>
      <c r="J8" s="110"/>
      <c r="K8" s="110"/>
      <c r="L8" s="124"/>
      <c r="M8" s="124"/>
      <c r="N8" s="124"/>
      <c r="O8" s="124"/>
      <c r="P8" s="124"/>
      <c r="Q8" s="124"/>
      <c r="R8" s="124"/>
      <c r="S8" s="124"/>
      <c r="T8" s="124"/>
      <c r="U8" s="124"/>
      <c r="V8" s="110"/>
      <c r="W8" s="110"/>
    </row>
    <row r="9" spans="1:23" s="2" customFormat="1">
      <c r="A9" s="11"/>
      <c r="B9" s="11"/>
      <c r="C9" s="11"/>
      <c r="D9" s="12"/>
      <c r="E9" s="11"/>
      <c r="F9" s="11"/>
      <c r="G9" s="11"/>
      <c r="H9" s="11"/>
      <c r="I9" s="11"/>
      <c r="J9" s="11"/>
      <c r="K9" s="11"/>
      <c r="L9" s="20"/>
      <c r="M9" s="20"/>
      <c r="N9" s="20"/>
      <c r="O9" s="20"/>
      <c r="P9" s="20"/>
      <c r="Q9" s="20"/>
      <c r="R9" s="20"/>
      <c r="S9" s="20"/>
      <c r="T9" s="20"/>
      <c r="U9" s="20"/>
      <c r="V9" s="11"/>
      <c r="W9" s="11"/>
    </row>
    <row r="10" spans="1:23" s="2" customFormat="1">
      <c r="A10" s="11"/>
      <c r="B10" s="11"/>
      <c r="C10" s="11"/>
      <c r="D10" s="12"/>
      <c r="E10" s="24" t="s">
        <v>239</v>
      </c>
      <c r="F10" s="11"/>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240</v>
      </c>
      <c r="F11" s="11"/>
      <c r="G11" s="11"/>
      <c r="H11" s="11"/>
      <c r="I11" s="11"/>
      <c r="J11" s="11"/>
      <c r="K11" s="11"/>
      <c r="L11" s="20"/>
      <c r="M11" s="20"/>
      <c r="N11" s="20"/>
      <c r="O11" s="20"/>
      <c r="P11" s="20"/>
      <c r="Q11" s="20"/>
      <c r="R11" s="20"/>
      <c r="S11" s="20"/>
      <c r="T11" s="20"/>
      <c r="U11" s="20"/>
      <c r="V11" s="11"/>
      <c r="W11" s="11"/>
    </row>
    <row r="12" spans="1:23" s="2" customFormat="1">
      <c r="A12" s="11"/>
      <c r="B12" s="11"/>
      <c r="C12" s="11"/>
      <c r="D12" s="12" t="s">
        <v>15</v>
      </c>
      <c r="E12" s="13" t="s">
        <v>158</v>
      </c>
      <c r="F12" s="24"/>
      <c r="G12" s="11"/>
      <c r="H12" s="11"/>
      <c r="I12" s="11"/>
      <c r="J12" s="11"/>
      <c r="K12" s="20"/>
      <c r="L12" s="152">
        <f>K.Dmmy</f>
        <v>0</v>
      </c>
      <c r="M12" s="152">
        <f>K.Dmmy</f>
        <v>0</v>
      </c>
      <c r="N12" s="152">
        <f>K.Dmmy</f>
        <v>0</v>
      </c>
      <c r="O12" s="152">
        <f>K.Dmmy</f>
        <v>0</v>
      </c>
      <c r="P12" s="152">
        <f>K.Dmmy</f>
        <v>0</v>
      </c>
      <c r="Q12" s="20"/>
      <c r="R12" s="20"/>
      <c r="S12" s="20"/>
      <c r="T12" s="20"/>
      <c r="U12" s="20"/>
      <c r="V12" s="11"/>
      <c r="W12" s="11"/>
    </row>
    <row r="13" spans="1:23" s="2" customFormat="1">
      <c r="A13" s="11"/>
      <c r="B13" s="11"/>
      <c r="C13" s="11"/>
      <c r="D13" s="12" t="s">
        <v>15</v>
      </c>
      <c r="E13" s="13" t="s">
        <v>241</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3.363244361333928</v>
      </c>
      <c r="Q13" s="20"/>
      <c r="R13" s="20"/>
      <c r="S13" s="20"/>
      <c r="T13" s="20"/>
      <c r="U13" s="20"/>
      <c r="V13" s="11"/>
      <c r="W13" s="11"/>
    </row>
    <row r="14" spans="1:23" s="2" customFormat="1">
      <c r="A14" s="11"/>
      <c r="B14" s="11"/>
      <c r="C14" s="11"/>
      <c r="D14" s="12" t="s">
        <v>15</v>
      </c>
      <c r="E14" s="13" t="s">
        <v>242</v>
      </c>
      <c r="F14" s="24"/>
      <c r="G14" s="11"/>
      <c r="H14" s="11"/>
      <c r="I14" s="11"/>
      <c r="J14" s="11"/>
      <c r="K14" s="20"/>
      <c r="L14" s="20">
        <f>1+(L13+L12)/100</f>
        <v>1.0198333994446649</v>
      </c>
      <c r="M14" s="20">
        <f>1+(M13+M12)/100</f>
        <v>1.0105017502917153</v>
      </c>
      <c r="N14" s="20">
        <f t="shared" ref="N14:P14" si="2">1+(N13+N12)/100</f>
        <v>1.0219399538106235</v>
      </c>
      <c r="O14" s="20">
        <f t="shared" si="2"/>
        <v>1.0387947269303202</v>
      </c>
      <c r="P14" s="20">
        <f t="shared" si="2"/>
        <v>1.0336324436133393</v>
      </c>
      <c r="Q14" s="20"/>
      <c r="R14" s="20"/>
      <c r="S14" s="20"/>
      <c r="T14" s="20"/>
      <c r="U14" s="20"/>
      <c r="V14" s="11"/>
      <c r="W14" s="11"/>
    </row>
    <row r="15" spans="1:23" s="2" customFormat="1">
      <c r="A15" s="11"/>
      <c r="B15" s="11"/>
      <c r="C15" s="11"/>
      <c r="D15" s="12" t="s">
        <v>150</v>
      </c>
      <c r="E15" s="13" t="s">
        <v>243</v>
      </c>
      <c r="F15" s="24" t="s">
        <v>169</v>
      </c>
      <c r="G15" s="11"/>
      <c r="H15" s="11"/>
      <c r="I15" s="11"/>
      <c r="J15" s="11"/>
      <c r="K15" s="152">
        <f>AllRev.Dmmy</f>
        <v>0</v>
      </c>
      <c r="L15" s="20">
        <f>K15*L14</f>
        <v>0</v>
      </c>
      <c r="M15" s="20">
        <f>L15*M14</f>
        <v>0</v>
      </c>
      <c r="N15" s="20">
        <f>M15*N14</f>
        <v>0</v>
      </c>
      <c r="O15" s="20">
        <f t="shared" ref="O15:P15" si="3">N15*O14</f>
        <v>0</v>
      </c>
      <c r="P15" s="20">
        <f t="shared" si="3"/>
        <v>0</v>
      </c>
      <c r="Q15" s="20"/>
      <c r="R15" s="20"/>
      <c r="S15" s="20"/>
      <c r="T15" s="20"/>
      <c r="U15" s="20"/>
      <c r="V15" s="146" t="s">
        <v>341</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174" customFormat="1">
      <c r="A17" s="170"/>
      <c r="B17" s="170"/>
      <c r="C17" s="170"/>
      <c r="D17" s="169" t="s">
        <v>15</v>
      </c>
      <c r="E17" s="175" t="s">
        <v>158</v>
      </c>
      <c r="F17" s="172"/>
      <c r="G17" s="170"/>
      <c r="H17" s="170"/>
      <c r="I17" s="170"/>
      <c r="J17" s="170"/>
      <c r="K17" s="170"/>
      <c r="L17" s="173"/>
      <c r="M17" s="173"/>
      <c r="N17" s="173"/>
      <c r="O17" s="173">
        <f>K.Dmmy</f>
        <v>0</v>
      </c>
      <c r="P17" s="173">
        <f>K.Dmmy</f>
        <v>0</v>
      </c>
      <c r="Q17" s="173"/>
      <c r="R17" s="173"/>
      <c r="S17" s="173"/>
      <c r="T17" s="173"/>
      <c r="U17" s="173"/>
      <c r="V17" s="170"/>
      <c r="W17" s="170"/>
    </row>
    <row r="18" spans="1:23" s="174" customFormat="1">
      <c r="A18" s="170"/>
      <c r="B18" s="170"/>
      <c r="C18" s="170"/>
      <c r="D18" s="169" t="s">
        <v>15</v>
      </c>
      <c r="E18" s="175" t="s">
        <v>241</v>
      </c>
      <c r="F18" s="172"/>
      <c r="G18" s="170"/>
      <c r="H18" s="170"/>
      <c r="I18" s="170"/>
      <c r="J18" s="170"/>
      <c r="K18" s="170"/>
      <c r="L18" s="173"/>
      <c r="M18" s="173"/>
      <c r="N18" s="173"/>
      <c r="O18" s="173">
        <f>(Indexation.November.Actual.YearOnYear-1)*100</f>
        <v>3.8794726930320156</v>
      </c>
      <c r="P18" s="173">
        <f>(Indexation.November.Actual.YearOnYear-1)*100</f>
        <v>3.363244361333928</v>
      </c>
      <c r="Q18" s="173"/>
      <c r="R18" s="173"/>
      <c r="S18" s="173"/>
      <c r="T18" s="173"/>
      <c r="U18" s="173"/>
      <c r="V18" s="170"/>
      <c r="W18" s="170"/>
    </row>
    <row r="19" spans="1:23" s="174" customFormat="1">
      <c r="A19" s="170"/>
      <c r="B19" s="170"/>
      <c r="C19" s="170"/>
      <c r="D19" s="169" t="s">
        <v>15</v>
      </c>
      <c r="E19" s="175" t="s">
        <v>242</v>
      </c>
      <c r="F19" s="172"/>
      <c r="G19" s="170"/>
      <c r="H19" s="170"/>
      <c r="I19" s="170"/>
      <c r="J19" s="170"/>
      <c r="K19" s="170"/>
      <c r="L19" s="173"/>
      <c r="M19" s="173"/>
      <c r="N19" s="173"/>
      <c r="O19" s="173">
        <f>1+(O18+O17)/100</f>
        <v>1.0387947269303202</v>
      </c>
      <c r="P19" s="173">
        <f t="shared" ref="P19" si="4">1+(P18+P17)/100</f>
        <v>1.0336324436133393</v>
      </c>
      <c r="Q19" s="173"/>
      <c r="R19" s="173"/>
      <c r="S19" s="173"/>
      <c r="T19" s="173"/>
      <c r="U19" s="173"/>
      <c r="V19" s="170"/>
      <c r="W19" s="170"/>
    </row>
    <row r="20" spans="1:23" s="174" customFormat="1">
      <c r="A20" s="170"/>
      <c r="B20" s="170"/>
      <c r="C20" s="170"/>
      <c r="D20" s="169" t="s">
        <v>150</v>
      </c>
      <c r="E20" s="175" t="s">
        <v>243</v>
      </c>
      <c r="F20" s="172" t="s">
        <v>169</v>
      </c>
      <c r="G20" s="170"/>
      <c r="H20" s="170"/>
      <c r="I20" s="170"/>
      <c r="J20" s="170"/>
      <c r="K20" s="173"/>
      <c r="L20" s="173"/>
      <c r="M20" s="173"/>
      <c r="N20" s="173">
        <f xml:space="preserve"> IF(N6 = 3, Data!N$68, M20 * N19)</f>
        <v>0</v>
      </c>
      <c r="O20" s="173">
        <f xml:space="preserve"> IF(O6 = 3, Data!O$68, N20 * O19)</f>
        <v>0</v>
      </c>
      <c r="P20" s="173">
        <f xml:space="preserve"> IF(P6 = 3, Data!P$68, O20 * P19)</f>
        <v>0</v>
      </c>
      <c r="Q20" s="173"/>
      <c r="R20" s="173"/>
      <c r="S20" s="173"/>
      <c r="T20" s="173"/>
      <c r="U20" s="173"/>
      <c r="V20" s="170"/>
      <c r="W20" s="170"/>
    </row>
    <row r="21" spans="1:23" s="174" customFormat="1">
      <c r="A21" s="170"/>
      <c r="B21" s="170"/>
      <c r="C21" s="170"/>
      <c r="D21" s="176" t="str">
        <f xml:space="preserve"> Data!D$63</f>
        <v>True/False</v>
      </c>
      <c r="E21" s="176" t="str">
        <f xml:space="preserve"> Data!E$63</f>
        <v>Are NAV adjustments required for this company</v>
      </c>
      <c r="F21" s="176"/>
      <c r="G21" s="176" t="b">
        <f xml:space="preserve"> Data!G$63</f>
        <v>1</v>
      </c>
      <c r="H21" s="170"/>
      <c r="I21" s="170"/>
      <c r="J21" s="170"/>
      <c r="K21" s="170"/>
      <c r="L21" s="173"/>
      <c r="M21" s="173"/>
      <c r="N21" s="173"/>
      <c r="O21" s="173"/>
      <c r="P21" s="173"/>
      <c r="Q21" s="173"/>
      <c r="R21" s="173"/>
      <c r="S21" s="173"/>
      <c r="T21" s="173"/>
      <c r="U21" s="173"/>
      <c r="V21" s="170"/>
      <c r="W21" s="170"/>
    </row>
    <row r="22" spans="1:23" s="174" customFormat="1">
      <c r="A22" s="170"/>
      <c r="B22" s="170"/>
      <c r="C22" s="170"/>
      <c r="D22" s="176" t="str">
        <f xml:space="preserve"> Data!D$64</f>
        <v>Nr</v>
      </c>
      <c r="E22" s="176" t="str">
        <f xml:space="preserve"> Data!E$64</f>
        <v>NAV year</v>
      </c>
      <c r="F22" s="176"/>
      <c r="G22" s="176">
        <f xml:space="preserve"> Data!G$64</f>
        <v>2018</v>
      </c>
      <c r="H22" s="170"/>
      <c r="I22" s="170"/>
      <c r="J22" s="170"/>
      <c r="K22" s="170"/>
      <c r="L22" s="173"/>
      <c r="M22" s="173"/>
      <c r="N22" s="173"/>
      <c r="O22" s="173"/>
      <c r="P22" s="173"/>
      <c r="Q22" s="173"/>
      <c r="R22" s="173"/>
      <c r="S22" s="173"/>
      <c r="T22" s="173"/>
      <c r="U22" s="173"/>
      <c r="V22" s="170"/>
      <c r="W22" s="170"/>
    </row>
    <row r="23" spans="1:23" s="174" customFormat="1">
      <c r="A23" s="170"/>
      <c r="B23" s="170"/>
      <c r="C23" s="170"/>
      <c r="D23" s="169" t="s">
        <v>150</v>
      </c>
      <c r="E23" s="175" t="s">
        <v>243</v>
      </c>
      <c r="F23" s="172" t="s">
        <v>169</v>
      </c>
      <c r="G23" s="170"/>
      <c r="H23" s="170"/>
      <c r="I23" s="170"/>
      <c r="J23" s="170"/>
      <c r="K23" s="170"/>
      <c r="L23" s="173">
        <f xml:space="preserve"> IF($G$21=TRUE, IF(L$5 &lt; $G22, L15, L20), L15)</f>
        <v>0</v>
      </c>
      <c r="M23" s="173">
        <f t="shared" ref="M23:P23" si="5" xml:space="preserve"> IF($G$21=TRUE, IF(M$5 &lt; $G22, M15, M20), M15)</f>
        <v>0</v>
      </c>
      <c r="N23" s="173">
        <f t="shared" si="5"/>
        <v>0</v>
      </c>
      <c r="O23" s="173">
        <f t="shared" si="5"/>
        <v>0</v>
      </c>
      <c r="P23" s="173">
        <f t="shared" si="5"/>
        <v>0</v>
      </c>
      <c r="Q23" s="173"/>
      <c r="R23" s="173"/>
      <c r="S23" s="173"/>
      <c r="T23" s="173"/>
      <c r="U23" s="173"/>
      <c r="V23" s="177" t="s">
        <v>538</v>
      </c>
      <c r="W23" s="170"/>
    </row>
    <row r="24" spans="1:23" s="174" customFormat="1">
      <c r="A24" s="170"/>
      <c r="B24" s="170"/>
      <c r="C24" s="170"/>
      <c r="D24" s="169"/>
      <c r="E24" s="170"/>
      <c r="F24" s="172"/>
      <c r="G24" s="170"/>
      <c r="H24" s="170"/>
      <c r="I24" s="170"/>
      <c r="J24" s="170"/>
      <c r="K24" s="170"/>
      <c r="L24" s="173"/>
      <c r="M24" s="173"/>
      <c r="N24" s="173"/>
      <c r="O24" s="173"/>
      <c r="P24" s="173"/>
      <c r="Q24" s="173"/>
      <c r="R24" s="173"/>
      <c r="S24" s="173"/>
      <c r="T24" s="173"/>
      <c r="U24" s="173"/>
      <c r="V24" s="170"/>
      <c r="W24" s="170"/>
    </row>
    <row r="25" spans="1:23" s="2" customFormat="1">
      <c r="A25" s="11"/>
      <c r="B25" s="11"/>
      <c r="C25" s="11"/>
      <c r="D25" s="12"/>
      <c r="E25" s="24" t="s">
        <v>245</v>
      </c>
      <c r="F25" s="24"/>
      <c r="G25" s="11"/>
      <c r="H25" s="11"/>
      <c r="I25" s="11"/>
      <c r="J25" s="11"/>
      <c r="K25" s="11"/>
      <c r="L25" s="20"/>
      <c r="M25" s="20"/>
      <c r="N25" s="20"/>
      <c r="O25" s="20"/>
      <c r="P25" s="20"/>
      <c r="Q25" s="20"/>
      <c r="R25" s="20"/>
      <c r="S25" s="20"/>
      <c r="T25" s="20"/>
      <c r="U25" s="20"/>
      <c r="V25" s="11"/>
      <c r="W25" s="11"/>
    </row>
    <row r="26" spans="1:23" s="2" customFormat="1" ht="13.15">
      <c r="A26" s="11"/>
      <c r="B26" s="11"/>
      <c r="C26" s="11"/>
      <c r="D26" s="12"/>
      <c r="E26" s="5" t="s">
        <v>246</v>
      </c>
      <c r="F26" s="24"/>
      <c r="G26" s="11"/>
      <c r="H26" s="11"/>
      <c r="I26" s="11"/>
      <c r="J26" s="11"/>
      <c r="K26" s="11"/>
      <c r="L26" s="11"/>
      <c r="M26" s="11"/>
      <c r="N26" s="11"/>
      <c r="O26" s="11"/>
      <c r="P26" s="11"/>
      <c r="Q26" s="11"/>
      <c r="R26" s="11"/>
      <c r="S26" s="20"/>
      <c r="T26" s="20"/>
      <c r="U26" s="20"/>
      <c r="V26" s="11"/>
      <c r="W26" s="11"/>
    </row>
    <row r="27" spans="1:23" s="2" customFormat="1">
      <c r="A27" s="11"/>
      <c r="B27" s="11"/>
      <c r="C27" s="11"/>
      <c r="D27" s="12" t="s">
        <v>150</v>
      </c>
      <c r="E27" s="13" t="s">
        <v>247</v>
      </c>
      <c r="F27" s="24" t="s">
        <v>180</v>
      </c>
      <c r="G27" s="11"/>
      <c r="H27" s="11"/>
      <c r="I27" s="11"/>
      <c r="J27" s="11"/>
      <c r="K27" s="19"/>
      <c r="L27" s="146" t="s">
        <v>342</v>
      </c>
      <c r="M27" s="11"/>
      <c r="N27" s="11"/>
      <c r="O27" s="11"/>
      <c r="P27" s="11"/>
      <c r="Q27" s="11"/>
      <c r="R27" s="11"/>
      <c r="S27" s="20"/>
      <c r="T27" s="20"/>
      <c r="U27" s="20"/>
      <c r="V27" s="11"/>
      <c r="W27" s="11"/>
    </row>
    <row r="28" spans="1:23" s="2" customFormat="1">
      <c r="A28" s="11"/>
      <c r="B28" s="11"/>
      <c r="C28" s="11"/>
      <c r="D28" s="12" t="s">
        <v>150</v>
      </c>
      <c r="E28" s="13" t="s">
        <v>249</v>
      </c>
      <c r="F28" s="24" t="s">
        <v>180</v>
      </c>
      <c r="G28" s="11"/>
      <c r="H28" s="1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1"/>
      <c r="W28" s="11"/>
    </row>
    <row r="29" spans="1:23" s="2" customFormat="1">
      <c r="A29" s="11"/>
      <c r="B29" s="11"/>
      <c r="C29" s="11"/>
      <c r="D29" s="12" t="s">
        <v>20</v>
      </c>
      <c r="E29" s="13" t="str">
        <f>Data!E48</f>
        <v>Percentage of blind year adjustment by year - waste</v>
      </c>
      <c r="F29" s="24" t="s">
        <v>250</v>
      </c>
      <c r="G29" s="11"/>
      <c r="H29" s="11"/>
      <c r="I29" s="11"/>
      <c r="J29" s="11"/>
      <c r="K29" s="19"/>
      <c r="L29" s="19"/>
      <c r="M29" s="19"/>
      <c r="N29" s="19"/>
      <c r="O29" s="19"/>
      <c r="P29" s="19"/>
      <c r="Q29" s="11"/>
      <c r="R29" s="11"/>
      <c r="S29" s="20"/>
      <c r="T29" s="20"/>
      <c r="U29" s="20"/>
      <c r="V29" s="11"/>
      <c r="W29" s="11"/>
    </row>
    <row r="30" spans="1:23" s="2" customFormat="1">
      <c r="A30" s="11"/>
      <c r="B30" s="11"/>
      <c r="C30" s="11"/>
      <c r="D30" s="12" t="s">
        <v>150</v>
      </c>
      <c r="E30" s="13" t="s">
        <v>251</v>
      </c>
      <c r="F30" s="24" t="s">
        <v>180</v>
      </c>
      <c r="G30" s="11"/>
      <c r="H30" s="11"/>
      <c r="I30" s="11"/>
      <c r="J30" s="11"/>
      <c r="K30" s="19"/>
      <c r="L30" s="19"/>
      <c r="M30" s="19"/>
      <c r="N30" s="20">
        <f t="shared" ref="N30:P30" si="6">N28*N29</f>
        <v>0</v>
      </c>
      <c r="O30" s="20">
        <f t="shared" si="6"/>
        <v>0</v>
      </c>
      <c r="P30" s="20">
        <f t="shared" si="6"/>
        <v>0</v>
      </c>
      <c r="Q30" s="20"/>
      <c r="R30" s="20"/>
      <c r="S30" s="20"/>
      <c r="T30" s="20"/>
      <c r="U30" s="20"/>
      <c r="V30" s="11"/>
      <c r="W30" s="11"/>
    </row>
    <row r="31" spans="1:23" s="2" customFormat="1">
      <c r="A31" s="11"/>
      <c r="B31" s="11"/>
      <c r="C31" s="11"/>
      <c r="D31" s="12" t="s">
        <v>150</v>
      </c>
      <c r="E31" s="13" t="s">
        <v>252</v>
      </c>
      <c r="F31" s="24" t="s">
        <v>169</v>
      </c>
      <c r="G31" s="11"/>
      <c r="H31" s="11"/>
      <c r="I31" s="11"/>
      <c r="J31" s="11"/>
      <c r="K31" s="19"/>
      <c r="L31" s="19"/>
      <c r="M31" s="19"/>
      <c r="N31" s="20">
        <f>N30*Indexation.November.Actual</f>
        <v>0</v>
      </c>
      <c r="O31" s="20">
        <f t="shared" ref="O31:P31" si="7">O30*Indexation.November.Actual</f>
        <v>0</v>
      </c>
      <c r="P31" s="20">
        <f t="shared" si="7"/>
        <v>0</v>
      </c>
      <c r="Q31" s="20"/>
      <c r="R31" s="20"/>
      <c r="S31" s="20"/>
      <c r="T31" s="20"/>
      <c r="U31" s="20"/>
      <c r="V31" s="146" t="s">
        <v>343</v>
      </c>
      <c r="W31" s="11"/>
    </row>
    <row r="32" spans="1:23" s="2" customFormat="1">
      <c r="A32" s="11"/>
      <c r="B32" s="11"/>
      <c r="C32" s="11"/>
      <c r="D32" s="12"/>
      <c r="E32" s="13"/>
      <c r="F32" s="24"/>
      <c r="G32" s="11"/>
      <c r="H32" s="11"/>
      <c r="I32" s="11"/>
      <c r="J32" s="11"/>
      <c r="K32" s="11"/>
      <c r="L32" s="20"/>
      <c r="M32" s="20"/>
      <c r="N32" s="20"/>
      <c r="O32" s="20"/>
      <c r="P32" s="20"/>
      <c r="Q32" s="20"/>
      <c r="R32" s="20"/>
      <c r="S32" s="20"/>
      <c r="T32" s="20"/>
      <c r="U32" s="20"/>
      <c r="V32" s="8"/>
      <c r="W32" s="11"/>
    </row>
    <row r="33" spans="1:23" s="2" customFormat="1">
      <c r="A33" s="11"/>
      <c r="B33" s="11"/>
      <c r="C33" s="11"/>
      <c r="D33" s="12" t="s">
        <v>20</v>
      </c>
      <c r="E33" s="180" t="s">
        <v>314</v>
      </c>
      <c r="F33" s="24" t="s">
        <v>250</v>
      </c>
      <c r="G33" s="11"/>
      <c r="H33" s="11"/>
      <c r="I33" s="11"/>
      <c r="J33" s="11"/>
      <c r="K33" s="19"/>
      <c r="L33" s="19"/>
      <c r="M33" s="19"/>
      <c r="N33" s="19"/>
      <c r="O33" s="19"/>
      <c r="P33" s="181">
        <f xml:space="preserve"> 1 - SUM(N29:P29)</f>
        <v>1</v>
      </c>
      <c r="Q33" s="20"/>
      <c r="R33" s="20"/>
      <c r="S33" s="20"/>
      <c r="T33" s="20"/>
      <c r="U33" s="20"/>
      <c r="V33" s="8"/>
      <c r="W33" s="11"/>
    </row>
    <row r="34" spans="1:23" s="2" customFormat="1">
      <c r="A34" s="11"/>
      <c r="B34" s="11"/>
      <c r="C34" s="11"/>
      <c r="D34" s="12" t="s">
        <v>150</v>
      </c>
      <c r="E34" s="180" t="s">
        <v>255</v>
      </c>
      <c r="F34" s="24" t="s">
        <v>180</v>
      </c>
      <c r="G34" s="11"/>
      <c r="H34" s="11"/>
      <c r="I34" s="11"/>
      <c r="J34" s="11"/>
      <c r="K34" s="19"/>
      <c r="L34" s="74"/>
      <c r="M34" s="19"/>
      <c r="N34" s="19"/>
      <c r="O34" s="19"/>
      <c r="P34" s="178">
        <f xml:space="preserve"> P28*(1+Discount.Rate)</f>
        <v>0</v>
      </c>
      <c r="Q34" s="20"/>
      <c r="R34" s="20"/>
      <c r="S34" s="20"/>
      <c r="T34" s="20"/>
      <c r="U34" s="20"/>
      <c r="V34" s="8"/>
      <c r="W34" s="11"/>
    </row>
    <row r="35" spans="1:23" s="2" customFormat="1">
      <c r="A35" s="11"/>
      <c r="B35" s="11"/>
      <c r="C35" s="11"/>
      <c r="D35" s="12" t="s">
        <v>150</v>
      </c>
      <c r="E35" s="180" t="s">
        <v>256</v>
      </c>
      <c r="F35" s="24" t="s">
        <v>180</v>
      </c>
      <c r="G35" s="11"/>
      <c r="H35" s="11"/>
      <c r="I35" s="11"/>
      <c r="J35" s="11"/>
      <c r="K35" s="19"/>
      <c r="L35" s="74"/>
      <c r="M35" s="19"/>
      <c r="N35" s="19"/>
      <c r="O35" s="19"/>
      <c r="P35" s="178">
        <f xml:space="preserve"> P33 * P34</f>
        <v>0</v>
      </c>
      <c r="Q35" s="20"/>
      <c r="R35" s="20"/>
      <c r="S35" s="20"/>
      <c r="T35" s="20"/>
      <c r="U35" s="20"/>
      <c r="V35" s="8"/>
      <c r="W35" s="11"/>
    </row>
    <row r="36" spans="1:23" s="2" customFormat="1">
      <c r="A36" s="11"/>
      <c r="B36" s="11"/>
      <c r="C36" s="11"/>
      <c r="D36" s="12" t="s">
        <v>150</v>
      </c>
      <c r="E36" s="180" t="s">
        <v>257</v>
      </c>
      <c r="F36" s="24" t="s">
        <v>169</v>
      </c>
      <c r="G36" s="11"/>
      <c r="H36" s="11"/>
      <c r="I36" s="11"/>
      <c r="J36" s="11"/>
      <c r="K36" s="19"/>
      <c r="L36" s="74"/>
      <c r="M36" s="19"/>
      <c r="N36" s="19"/>
      <c r="O36" s="19"/>
      <c r="P36" s="178">
        <f>P35*Indexation.November.Actual</f>
        <v>0</v>
      </c>
      <c r="Q36" s="20"/>
      <c r="R36" s="20"/>
      <c r="S36" s="20"/>
      <c r="T36" s="20"/>
      <c r="U36" s="20"/>
      <c r="V36" s="8"/>
      <c r="W36" s="11"/>
    </row>
    <row r="37" spans="1:23" s="2" customFormat="1">
      <c r="A37" s="11"/>
      <c r="B37" s="11"/>
      <c r="C37" s="11"/>
      <c r="D37" s="12"/>
      <c r="E37" s="11"/>
      <c r="F37" s="24"/>
      <c r="G37" s="11"/>
      <c r="H37" s="11"/>
      <c r="I37" s="11"/>
      <c r="J37" s="11"/>
      <c r="K37" s="11"/>
      <c r="L37" s="20"/>
      <c r="M37" s="20"/>
      <c r="N37" s="20"/>
      <c r="O37" s="20"/>
      <c r="P37" s="20"/>
      <c r="Q37" s="20"/>
      <c r="R37" s="20"/>
      <c r="S37" s="20"/>
      <c r="T37" s="20"/>
      <c r="U37" s="20"/>
      <c r="V37" s="11"/>
      <c r="W37" s="11"/>
    </row>
    <row r="38" spans="1:23" s="2" customFormat="1">
      <c r="A38" s="11"/>
      <c r="B38" s="11"/>
      <c r="C38" s="11"/>
      <c r="D38" s="12"/>
      <c r="E38" s="24" t="s">
        <v>258</v>
      </c>
      <c r="F38" s="24"/>
      <c r="G38" s="11"/>
      <c r="H38" s="11"/>
      <c r="I38" s="11"/>
      <c r="J38" s="11"/>
      <c r="K38" s="11"/>
      <c r="L38" s="20"/>
      <c r="M38" s="20"/>
      <c r="N38" s="20"/>
      <c r="O38" s="20"/>
      <c r="P38" s="20"/>
      <c r="Q38" s="20"/>
      <c r="R38" s="20"/>
      <c r="S38" s="20"/>
      <c r="T38" s="20"/>
      <c r="U38" s="20"/>
      <c r="V38" s="11"/>
      <c r="W38" s="11"/>
    </row>
    <row r="39" spans="1:23" s="2" customFormat="1" ht="13.15">
      <c r="A39" s="11"/>
      <c r="B39" s="11"/>
      <c r="C39" s="11"/>
      <c r="D39" s="12"/>
      <c r="E39" s="5" t="s">
        <v>259</v>
      </c>
      <c r="F39" s="24"/>
      <c r="G39" s="11"/>
      <c r="H39" s="11"/>
      <c r="I39" s="11"/>
      <c r="J39" s="11"/>
      <c r="K39" s="11"/>
      <c r="L39" s="20"/>
      <c r="M39" s="20"/>
      <c r="N39" s="20"/>
      <c r="O39" s="20"/>
      <c r="P39" s="20"/>
      <c r="Q39" s="20"/>
      <c r="R39" s="20"/>
      <c r="S39" s="20"/>
      <c r="T39" s="20"/>
      <c r="U39" s="20"/>
      <c r="V39" s="11"/>
      <c r="W39" s="11"/>
    </row>
    <row r="40" spans="1:23" s="2" customFormat="1">
      <c r="A40" s="11"/>
      <c r="B40" s="11"/>
      <c r="C40" s="11"/>
      <c r="D40" s="12" t="s">
        <v>150</v>
      </c>
      <c r="E40" s="13" t="s">
        <v>260</v>
      </c>
      <c r="F40" s="24" t="s">
        <v>169</v>
      </c>
      <c r="G40" s="11"/>
      <c r="H40" s="11"/>
      <c r="I40" s="11"/>
      <c r="J40" s="11"/>
      <c r="K40" s="11"/>
      <c r="L40" s="20">
        <f>J56+J66</f>
        <v>0</v>
      </c>
      <c r="M40" s="20">
        <f t="shared" ref="M40:P40" si="8">K56+K66</f>
        <v>0</v>
      </c>
      <c r="N40" s="20">
        <f>L56+L66</f>
        <v>0</v>
      </c>
      <c r="O40" s="20">
        <f t="shared" si="8"/>
        <v>0</v>
      </c>
      <c r="P40" s="20">
        <f t="shared" si="8"/>
        <v>0</v>
      </c>
      <c r="Q40" s="20"/>
      <c r="R40" s="20"/>
      <c r="S40" s="14"/>
      <c r="T40" s="14"/>
      <c r="U40" s="14"/>
      <c r="V40" s="146" t="s">
        <v>344</v>
      </c>
      <c r="W40" s="11"/>
    </row>
    <row r="41" spans="1:23" s="2" customFormat="1">
      <c r="A41" s="11"/>
      <c r="B41" s="11"/>
      <c r="C41" s="11"/>
      <c r="D41" s="13" t="str">
        <f>Data!D12</f>
        <v>True/False</v>
      </c>
      <c r="E41" s="13" t="str">
        <f>Data!E12</f>
        <v>Company has accepted WRFIM licence modification</v>
      </c>
      <c r="F41" s="13"/>
      <c r="G41" s="13" t="b">
        <f>Data!G12</f>
        <v>1</v>
      </c>
      <c r="H41" s="13" t="str">
        <f>Data!H12</f>
        <v>True/False</v>
      </c>
      <c r="I41" s="11"/>
      <c r="J41" s="11"/>
      <c r="K41" s="11"/>
      <c r="L41" s="20"/>
      <c r="M41" s="20"/>
      <c r="N41" s="20"/>
      <c r="O41" s="20"/>
      <c r="P41" s="20"/>
      <c r="Q41" s="20"/>
      <c r="R41" s="20"/>
      <c r="S41" s="14"/>
      <c r="T41" s="14"/>
      <c r="U41" s="14"/>
      <c r="V41" s="8"/>
    </row>
    <row r="42" spans="1:23" s="2" customFormat="1">
      <c r="A42" s="11"/>
      <c r="B42" s="11"/>
      <c r="C42" s="11"/>
      <c r="D42" s="12" t="s">
        <v>150</v>
      </c>
      <c r="E42" s="145" t="str">
        <f>Data!E55</f>
        <v>Over-recovered 17/18 revenue returned - dmmy</v>
      </c>
      <c r="F42" s="24" t="s">
        <v>169</v>
      </c>
      <c r="G42" s="13"/>
      <c r="H42" s="13"/>
      <c r="I42" s="11"/>
      <c r="J42" s="11"/>
      <c r="K42" s="11"/>
      <c r="L42" s="20"/>
      <c r="M42" s="20"/>
      <c r="N42" s="20"/>
      <c r="O42" s="178">
        <f>(0 - Data!$O$55)</f>
        <v>0</v>
      </c>
      <c r="P42" s="178"/>
      <c r="Q42" s="20"/>
      <c r="R42" s="20"/>
      <c r="S42" s="14"/>
      <c r="T42" s="14"/>
      <c r="U42" s="14"/>
      <c r="V42" s="8"/>
    </row>
    <row r="43" spans="1:23" s="2" customFormat="1">
      <c r="A43" s="11"/>
      <c r="B43" s="11"/>
      <c r="C43" s="11"/>
      <c r="D43" s="12" t="s">
        <v>150</v>
      </c>
      <c r="E43" s="13" t="s">
        <v>345</v>
      </c>
      <c r="F43" s="24" t="s">
        <v>169</v>
      </c>
      <c r="G43" s="13"/>
      <c r="H43" s="13"/>
      <c r="I43" s="11"/>
      <c r="J43" s="11"/>
      <c r="K43" s="11"/>
      <c r="L43" s="20"/>
      <c r="M43" s="20"/>
      <c r="N43" s="20"/>
      <c r="O43" s="178"/>
      <c r="P43" s="178">
        <f>(0-O42*(1+Discount.Rate))*(INDEX(Indexation.November.Actual.YearOnYear,,MATCH(P$5,Calendar.Years,0)))</f>
        <v>0</v>
      </c>
      <c r="Q43" s="20"/>
      <c r="R43" s="20"/>
      <c r="S43" s="14"/>
      <c r="T43" s="14"/>
      <c r="U43" s="14"/>
      <c r="V43" s="8"/>
    </row>
    <row r="44" spans="1:23" s="2" customFormat="1">
      <c r="A44" s="11"/>
      <c r="B44" s="11"/>
      <c r="C44" s="11"/>
      <c r="D44" s="12" t="s">
        <v>150</v>
      </c>
      <c r="E44" s="145" t="str">
        <f>Data!E59</f>
        <v>Over-recovered 18/19 revenue returned - dmmy</v>
      </c>
      <c r="F44" s="24" t="s">
        <v>169</v>
      </c>
      <c r="G44" s="13"/>
      <c r="H44" s="13"/>
      <c r="I44" s="11"/>
      <c r="J44" s="11"/>
      <c r="K44" s="11"/>
      <c r="L44" s="20"/>
      <c r="M44" s="20"/>
      <c r="N44" s="20"/>
      <c r="O44" s="178"/>
      <c r="P44" s="178">
        <f>(0 - Data!$P$59)</f>
        <v>0</v>
      </c>
      <c r="Q44" s="20"/>
      <c r="R44" s="20"/>
      <c r="S44" s="14"/>
      <c r="T44" s="14"/>
      <c r="U44" s="14"/>
      <c r="V44" s="8"/>
    </row>
    <row r="45" spans="1:23" s="2" customFormat="1">
      <c r="A45" s="11"/>
      <c r="B45" s="11"/>
      <c r="C45" s="11"/>
      <c r="D45" s="12" t="s">
        <v>150</v>
      </c>
      <c r="E45" s="13" t="s">
        <v>263</v>
      </c>
      <c r="F45" s="24" t="s">
        <v>169</v>
      </c>
      <c r="G45"/>
      <c r="H45"/>
      <c r="I45"/>
      <c r="J45"/>
      <c r="K45"/>
      <c r="L45" s="173">
        <f>L23</f>
        <v>0</v>
      </c>
      <c r="M45" s="173">
        <f t="shared" ref="M45:P45" si="9">M23</f>
        <v>0</v>
      </c>
      <c r="N45" s="173">
        <f t="shared" si="9"/>
        <v>0</v>
      </c>
      <c r="O45" s="173">
        <f t="shared" si="9"/>
        <v>0</v>
      </c>
      <c r="P45" s="173">
        <f t="shared" si="9"/>
        <v>0</v>
      </c>
      <c r="Q45" s="20"/>
      <c r="R45" s="20"/>
      <c r="S45" s="20"/>
      <c r="T45" s="20"/>
      <c r="U45" s="20"/>
      <c r="V45" s="11"/>
    </row>
    <row r="46" spans="1:23" s="2" customFormat="1">
      <c r="A46" s="11"/>
      <c r="B46" s="11"/>
      <c r="C46" s="11"/>
      <c r="D46" s="12" t="s">
        <v>150</v>
      </c>
      <c r="E46" s="13" t="s">
        <v>264</v>
      </c>
      <c r="F46" s="24" t="s">
        <v>169</v>
      </c>
      <c r="G46" s="11"/>
      <c r="H46" s="11"/>
      <c r="I46" s="11"/>
      <c r="J46" s="11"/>
      <c r="K46" s="11"/>
      <c r="L46" s="173">
        <f>AllRev.Outturn.Dmmy.Revised+AMP6.FI.Adj.Dmmy+L42+L43+L44</f>
        <v>0</v>
      </c>
      <c r="M46" s="173">
        <f>AllRev.Outturn.Dmmy.Revised+AMP6.FI.Adj.Dmmy+M42+M43+M44</f>
        <v>0</v>
      </c>
      <c r="N46" s="173">
        <f>AllRev.Outturn.Dmmy.Revised+AMP6.FI.Adj.Dmmy+N42+N43+N44</f>
        <v>0</v>
      </c>
      <c r="O46" s="173">
        <f>AllRev.Outturn.Dmmy.Revised+AMP6.FI.Adj.Dmmy+O42+O43+O44</f>
        <v>0</v>
      </c>
      <c r="P46" s="173">
        <f>AllRev.Outturn.Dmmy.Revised+AMP6.FI.Adj.Dmmy+P42+P43+P44</f>
        <v>0</v>
      </c>
      <c r="Q46" s="20"/>
      <c r="R46" s="20"/>
      <c r="S46" s="20"/>
      <c r="T46" s="20"/>
      <c r="U46" s="20"/>
      <c r="V46" s="146" t="s">
        <v>346</v>
      </c>
    </row>
    <row r="47" spans="1:23" s="2" customFormat="1">
      <c r="A47" s="11"/>
      <c r="B47" s="11"/>
      <c r="C47" s="11"/>
      <c r="D47" s="12" t="s">
        <v>150</v>
      </c>
      <c r="E47" s="13" t="s">
        <v>266</v>
      </c>
      <c r="F47" s="24" t="s">
        <v>169</v>
      </c>
      <c r="G47"/>
      <c r="H47"/>
      <c r="I47"/>
      <c r="J47"/>
      <c r="K47"/>
      <c r="L47" s="20">
        <f>IF($G41=TRUE,L46,MIN(L45:L46))</f>
        <v>0</v>
      </c>
      <c r="M47" s="20">
        <f t="shared" ref="M47:P47" si="10">IF($G41=TRUE,M46,MIN(M45:M46))</f>
        <v>0</v>
      </c>
      <c r="N47" s="20">
        <f t="shared" si="10"/>
        <v>0</v>
      </c>
      <c r="O47" s="20">
        <f t="shared" si="10"/>
        <v>0</v>
      </c>
      <c r="P47" s="20">
        <f t="shared" si="10"/>
        <v>0</v>
      </c>
      <c r="Q47" s="20"/>
      <c r="R47" s="20"/>
      <c r="S47" s="14"/>
      <c r="T47" s="14"/>
      <c r="U47" s="14"/>
      <c r="V47" s="146" t="s">
        <v>347</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1"/>
    </row>
    <row r="49" spans="1:22" s="2" customFormat="1">
      <c r="A49" s="11"/>
      <c r="B49" s="11"/>
      <c r="C49" s="11"/>
      <c r="D49" s="12" t="s">
        <v>150</v>
      </c>
      <c r="E49" s="13" t="s">
        <v>268</v>
      </c>
      <c r="F49" s="24" t="s">
        <v>169</v>
      </c>
      <c r="G49" s="11"/>
      <c r="H49" s="11"/>
      <c r="I49" s="11"/>
      <c r="J49" s="11"/>
      <c r="K49" s="11"/>
      <c r="L49" s="20">
        <f>RecRev.Dmmy</f>
        <v>0</v>
      </c>
      <c r="M49" s="20">
        <f>RecRev.Dmmy</f>
        <v>0</v>
      </c>
      <c r="N49" s="20">
        <f>RecRev.Dmmy</f>
        <v>0</v>
      </c>
      <c r="O49" s="20">
        <f>RecRev.Dmmy</f>
        <v>0</v>
      </c>
      <c r="P49" s="20">
        <f>RecRev.Dmmy</f>
        <v>0</v>
      </c>
      <c r="Q49" s="20"/>
      <c r="R49" s="20"/>
      <c r="S49" s="20"/>
      <c r="T49" s="20"/>
      <c r="U49" s="20"/>
      <c r="V49" s="8"/>
    </row>
    <row r="50" spans="1:22" s="2" customFormat="1">
      <c r="A50" s="11"/>
      <c r="B50" s="11"/>
      <c r="C50" s="11"/>
      <c r="D50" s="12"/>
      <c r="E50" s="13"/>
      <c r="F50" s="24"/>
      <c r="G50" s="11"/>
      <c r="H50" s="11"/>
      <c r="I50" s="11"/>
      <c r="J50" s="11"/>
      <c r="K50" s="11"/>
      <c r="L50" s="20"/>
      <c r="M50" s="20"/>
      <c r="N50" s="20"/>
      <c r="O50" s="20"/>
      <c r="P50" s="20"/>
      <c r="Q50" s="20"/>
      <c r="R50" s="20"/>
      <c r="S50" s="20"/>
      <c r="T50" s="20"/>
      <c r="U50" s="20"/>
      <c r="V50" s="11"/>
    </row>
    <row r="51" spans="1:22" s="2" customFormat="1">
      <c r="A51" s="11"/>
      <c r="B51" s="11"/>
      <c r="C51" s="11"/>
      <c r="D51" s="12" t="s">
        <v>150</v>
      </c>
      <c r="E51" s="13" t="s">
        <v>269</v>
      </c>
      <c r="F51" s="24" t="s">
        <v>169</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1"/>
    </row>
    <row r="52" spans="1:22" s="2" customFormat="1">
      <c r="A52" s="11"/>
      <c r="B52" s="11"/>
      <c r="C52" s="11"/>
      <c r="D52" s="12" t="s">
        <v>137</v>
      </c>
      <c r="E52" s="13" t="s">
        <v>270</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46" t="s">
        <v>348</v>
      </c>
    </row>
    <row r="53" spans="1:22">
      <c r="A53" s="11"/>
      <c r="B53" s="11"/>
      <c r="C53" s="11"/>
      <c r="D53" s="12"/>
      <c r="E53" s="13"/>
      <c r="F53" s="26"/>
      <c r="K53" s="11"/>
      <c r="L53" s="92"/>
      <c r="M53" s="92"/>
      <c r="N53" s="92"/>
      <c r="O53" s="92"/>
      <c r="P53" s="92"/>
      <c r="Q53" s="20"/>
      <c r="R53" s="20"/>
      <c r="S53" s="20"/>
      <c r="T53" s="20"/>
      <c r="U53" s="20"/>
      <c r="V53" s="8"/>
    </row>
    <row r="54" spans="1:22" ht="13.15">
      <c r="A54" s="11"/>
      <c r="B54" s="11"/>
      <c r="C54" s="11"/>
      <c r="D54" s="12"/>
      <c r="E54" s="22" t="s">
        <v>272</v>
      </c>
      <c r="F54" s="26"/>
      <c r="K54" s="11"/>
      <c r="L54" s="92"/>
      <c r="M54" s="92"/>
      <c r="N54" s="92"/>
      <c r="O54" s="92"/>
      <c r="P54" s="92"/>
      <c r="Q54" s="20"/>
      <c r="R54" s="20"/>
      <c r="S54" s="20"/>
      <c r="T54" s="20"/>
      <c r="U54" s="20"/>
      <c r="V54" s="8"/>
    </row>
    <row r="55" spans="1:22">
      <c r="A55" s="11"/>
      <c r="B55" s="11"/>
      <c r="C55" s="11"/>
      <c r="D55" s="12" t="s">
        <v>150</v>
      </c>
      <c r="E55" s="13" t="s">
        <v>273</v>
      </c>
      <c r="F55" s="24" t="s">
        <v>169</v>
      </c>
      <c r="J55" s="19">
        <v>0</v>
      </c>
      <c r="K55" s="19">
        <v>0</v>
      </c>
      <c r="L55" s="20">
        <f>0-L51*(1+Discount.Rate)*(1+Discount.Rate)</f>
        <v>0</v>
      </c>
      <c r="M55" s="20">
        <f>0-M51*(1+Discount.Rate)*(1+Discount.Rate)</f>
        <v>0</v>
      </c>
      <c r="N55" s="20">
        <f>0-N51*(1+Discount.Rate)*(1+Discount.Rate)</f>
        <v>0</v>
      </c>
      <c r="O55" s="19"/>
      <c r="P55" s="19"/>
      <c r="Q55" s="20"/>
      <c r="R55" s="20"/>
      <c r="S55" s="20"/>
      <c r="T55" s="20"/>
      <c r="U55" s="20"/>
      <c r="V55" s="8"/>
    </row>
    <row r="56" spans="1:22">
      <c r="A56" s="11"/>
      <c r="B56" s="11"/>
      <c r="C56" s="11"/>
      <c r="D56" s="12" t="s">
        <v>150</v>
      </c>
      <c r="E56" s="13" t="s">
        <v>274</v>
      </c>
      <c r="F56" s="24" t="s">
        <v>275</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row>
    <row r="57" spans="1:22">
      <c r="A57" s="11" t="s">
        <v>349</v>
      </c>
      <c r="B57" s="11"/>
      <c r="C57" s="11"/>
      <c r="D57" s="12" t="s">
        <v>150</v>
      </c>
      <c r="E57" s="13" t="s">
        <v>350</v>
      </c>
      <c r="F57" s="24" t="s">
        <v>169</v>
      </c>
      <c r="J57" s="19"/>
      <c r="K57" s="19"/>
      <c r="L57" s="19"/>
      <c r="M57" s="19"/>
      <c r="N57" s="20">
        <f>L56</f>
        <v>0</v>
      </c>
      <c r="O57" s="20">
        <f>M56</f>
        <v>0</v>
      </c>
      <c r="P57" s="20">
        <f>N56</f>
        <v>0</v>
      </c>
    </row>
    <row r="58" spans="1:22" ht="13.15">
      <c r="A58" s="11"/>
      <c r="B58" s="11"/>
      <c r="C58" s="11"/>
      <c r="D58" s="12"/>
      <c r="E58" s="15"/>
      <c r="F58" s="24"/>
    </row>
    <row r="59" spans="1:22" ht="13.15">
      <c r="A59" s="11"/>
      <c r="B59" s="11"/>
      <c r="C59" s="11"/>
      <c r="D59" s="12"/>
      <c r="E59" s="22" t="s">
        <v>277</v>
      </c>
      <c r="F59" s="24"/>
    </row>
    <row r="60" spans="1:22">
      <c r="A60" s="11"/>
      <c r="B60" s="11"/>
      <c r="C60" s="11"/>
      <c r="D60" s="12" t="s">
        <v>137</v>
      </c>
      <c r="E60" s="13" t="s">
        <v>278</v>
      </c>
      <c r="F60" s="24"/>
      <c r="L60" s="92">
        <f>IF(L47=0,0,ABS((L49-L47)/L47))</f>
        <v>0</v>
      </c>
      <c r="M60" s="92">
        <f t="shared" ref="M60:P60" si="14">IF(M47=0,0,ABS((M49-M47)/M47))</f>
        <v>0</v>
      </c>
      <c r="N60" s="92">
        <f t="shared" si="14"/>
        <v>0</v>
      </c>
      <c r="O60" s="92">
        <f t="shared" si="14"/>
        <v>0</v>
      </c>
      <c r="P60" s="92">
        <f t="shared" si="14"/>
        <v>0</v>
      </c>
    </row>
    <row r="61" spans="1:22">
      <c r="A61" s="11"/>
      <c r="B61" s="11"/>
      <c r="C61" s="11"/>
      <c r="D61" s="17" t="s">
        <v>18</v>
      </c>
      <c r="E61" s="13" t="s">
        <v>279</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row>
    <row r="62" spans="1:22">
      <c r="B62" s="11"/>
      <c r="C62" s="11"/>
      <c r="D62" s="12" t="s">
        <v>137</v>
      </c>
      <c r="E62" s="13" t="s">
        <v>280</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row>
    <row r="63" spans="1:22" ht="13.15">
      <c r="A63" s="11"/>
      <c r="B63" s="11"/>
      <c r="C63" s="11"/>
      <c r="D63" s="12"/>
      <c r="E63" s="22"/>
      <c r="F63" s="24"/>
    </row>
    <row r="64" spans="1:22">
      <c r="A64" s="11"/>
      <c r="B64" s="11"/>
      <c r="C64" s="11"/>
      <c r="D64" s="12" t="s">
        <v>150</v>
      </c>
      <c r="E64" s="13" t="s">
        <v>281</v>
      </c>
      <c r="F64" s="24" t="s">
        <v>169</v>
      </c>
      <c r="J64" s="19"/>
      <c r="K64" s="19"/>
      <c r="L64" s="20">
        <f>0-L62*ABS(L49-L47)</f>
        <v>0</v>
      </c>
      <c r="M64" s="20">
        <f>0-M62*ABS(M49-M47)</f>
        <v>0</v>
      </c>
      <c r="N64" s="20">
        <f>0-N62*ABS(N49-N47)</f>
        <v>0</v>
      </c>
      <c r="O64" s="20">
        <f t="shared" ref="O64:P64" si="15">0-O62*ABS(O49-O47)</f>
        <v>0</v>
      </c>
      <c r="P64" s="20">
        <f t="shared" si="15"/>
        <v>0</v>
      </c>
    </row>
    <row r="65" spans="1:23">
      <c r="A65" s="11"/>
      <c r="B65" s="11"/>
      <c r="C65" s="11"/>
      <c r="D65" s="12" t="s">
        <v>150</v>
      </c>
      <c r="E65" s="13" t="s">
        <v>282</v>
      </c>
      <c r="F65" s="24" t="s">
        <v>169</v>
      </c>
      <c r="J65" s="74"/>
      <c r="K65" s="19"/>
      <c r="L65" s="20">
        <f>L64*(1+Discount.Rate)</f>
        <v>0</v>
      </c>
      <c r="M65" s="20">
        <f>M64*(1+Discount.Rate)</f>
        <v>0</v>
      </c>
      <c r="N65" s="20">
        <f>N64*(1+Discount.Rate)</f>
        <v>0</v>
      </c>
      <c r="O65" s="19"/>
      <c r="P65" s="19"/>
    </row>
    <row r="66" spans="1:23">
      <c r="A66" s="11"/>
      <c r="B66" s="11"/>
      <c r="C66" s="11"/>
      <c r="D66" s="12" t="s">
        <v>150</v>
      </c>
      <c r="E66" s="13" t="s">
        <v>283</v>
      </c>
      <c r="F66" s="24" t="s">
        <v>169</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row>
    <row r="67" spans="1:23">
      <c r="A67" s="11" t="s">
        <v>351</v>
      </c>
      <c r="B67" s="11"/>
      <c r="C67" s="11"/>
      <c r="D67" s="12" t="s">
        <v>150</v>
      </c>
      <c r="E67" s="13" t="s">
        <v>352</v>
      </c>
      <c r="F67" s="24" t="s">
        <v>169</v>
      </c>
      <c r="J67" s="19"/>
      <c r="K67" s="19"/>
      <c r="L67" s="19"/>
      <c r="M67" s="19"/>
      <c r="N67" s="20">
        <f>L66</f>
        <v>0</v>
      </c>
      <c r="O67" s="20">
        <f>M66</f>
        <v>0</v>
      </c>
      <c r="P67" s="20">
        <f>N66</f>
        <v>0</v>
      </c>
    </row>
    <row r="68" spans="1:23">
      <c r="A68" s="11"/>
      <c r="B68" s="11"/>
      <c r="C68" s="11"/>
    </row>
    <row r="69" spans="1:23" ht="13.15">
      <c r="A69" s="11"/>
      <c r="B69" s="11"/>
      <c r="C69" s="11"/>
      <c r="E69" s="22" t="s">
        <v>285</v>
      </c>
    </row>
    <row r="70" spans="1:23">
      <c r="A70" s="11"/>
      <c r="B70" s="11"/>
      <c r="C70" s="11"/>
      <c r="D70" s="12" t="s">
        <v>150</v>
      </c>
      <c r="E70" s="13" t="s">
        <v>286</v>
      </c>
      <c r="F70" s="24" t="s">
        <v>169</v>
      </c>
      <c r="L70" s="19"/>
      <c r="M70" s="19"/>
      <c r="N70" s="20">
        <f>N57</f>
        <v>0</v>
      </c>
      <c r="O70" s="20">
        <f>O57</f>
        <v>0</v>
      </c>
      <c r="P70" s="20">
        <f>P57</f>
        <v>0</v>
      </c>
    </row>
    <row r="71" spans="1:23">
      <c r="A71" s="11"/>
      <c r="B71" s="11"/>
      <c r="C71" s="11"/>
      <c r="D71" s="12" t="s">
        <v>150</v>
      </c>
      <c r="E71" s="13" t="s">
        <v>287</v>
      </c>
      <c r="F71" s="24" t="s">
        <v>169</v>
      </c>
      <c r="L71" s="19"/>
      <c r="M71" s="19"/>
      <c r="N71" s="20">
        <f>N67</f>
        <v>0</v>
      </c>
      <c r="O71" s="20">
        <f>O67</f>
        <v>0</v>
      </c>
      <c r="P71" s="20">
        <f>P67</f>
        <v>0</v>
      </c>
    </row>
    <row r="72" spans="1:23">
      <c r="A72" s="11" t="s">
        <v>40</v>
      </c>
      <c r="B72" s="11"/>
      <c r="C72" s="11"/>
      <c r="D72" s="12" t="s">
        <v>150</v>
      </c>
      <c r="E72" s="13" t="s">
        <v>353</v>
      </c>
      <c r="F72" s="24" t="s">
        <v>169</v>
      </c>
      <c r="K72" s="11"/>
      <c r="L72" s="19"/>
      <c r="M72" s="19"/>
      <c r="N72" s="20">
        <f>SUM(N70:N71)</f>
        <v>0</v>
      </c>
      <c r="O72" s="20">
        <f>SUM(O70:O71)</f>
        <v>0</v>
      </c>
      <c r="P72" s="20">
        <f>SUM(P70:P71)</f>
        <v>0</v>
      </c>
    </row>
    <row r="73" spans="1:23">
      <c r="A73" s="11"/>
      <c r="B73" s="11"/>
      <c r="C73" s="11"/>
      <c r="F73" s="26"/>
      <c r="K73" s="11"/>
    </row>
    <row r="74" spans="1:23">
      <c r="A74" s="11"/>
      <c r="E74" s="24" t="s">
        <v>289</v>
      </c>
      <c r="F74" s="26"/>
      <c r="K74" s="11"/>
    </row>
    <row r="75" spans="1:23">
      <c r="D75" s="17" t="s">
        <v>18</v>
      </c>
      <c r="E75" s="13" t="s">
        <v>290</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3.9">
      <c r="A77" s="89"/>
      <c r="B77" s="109"/>
      <c r="C77" s="109"/>
      <c r="D77" s="113"/>
      <c r="E77" s="111" t="s">
        <v>291</v>
      </c>
      <c r="F77" s="112"/>
      <c r="G77" s="110"/>
      <c r="H77" s="110"/>
      <c r="I77" s="110"/>
      <c r="J77" s="110"/>
      <c r="K77" s="110"/>
      <c r="L77" s="124"/>
      <c r="M77" s="124"/>
      <c r="N77" s="124"/>
      <c r="O77" s="124"/>
      <c r="P77" s="124"/>
      <c r="Q77" s="124"/>
      <c r="R77" s="124"/>
      <c r="S77" s="124"/>
      <c r="T77" s="124"/>
      <c r="U77" s="124"/>
      <c r="V77" s="110"/>
      <c r="W77" s="110"/>
    </row>
    <row r="78" spans="1:23">
      <c r="E78" s="13"/>
      <c r="F78" s="26"/>
    </row>
    <row r="79" spans="1:23">
      <c r="E79" s="24" t="s">
        <v>292</v>
      </c>
      <c r="F79" s="26"/>
    </row>
    <row r="80" spans="1:23">
      <c r="A80" t="s">
        <v>354</v>
      </c>
      <c r="D80" s="12" t="s">
        <v>150</v>
      </c>
      <c r="E80" s="13" t="s">
        <v>355</v>
      </c>
      <c r="F80" s="24" t="s">
        <v>169</v>
      </c>
      <c r="L80" s="19"/>
      <c r="M80" s="19"/>
      <c r="N80" s="19"/>
      <c r="O80" s="19"/>
      <c r="P80" s="20">
        <f>0-O51*(1+Discount.Rate)*Indexation.November.Actual.YearOnYear</f>
        <v>0</v>
      </c>
    </row>
    <row r="81" spans="1:17">
      <c r="A81" t="s">
        <v>356</v>
      </c>
      <c r="D81" s="12" t="s">
        <v>150</v>
      </c>
      <c r="E81" s="13" t="s">
        <v>357</v>
      </c>
      <c r="F81" s="24" t="s">
        <v>169</v>
      </c>
      <c r="L81" s="19"/>
      <c r="M81" s="19"/>
      <c r="N81" s="19"/>
      <c r="O81" s="19"/>
      <c r="P81" s="20">
        <f>O64*Indexation.November.Actual.YearOnYear</f>
        <v>0</v>
      </c>
    </row>
    <row r="82" spans="1:17">
      <c r="A82" t="s">
        <v>358</v>
      </c>
      <c r="D82" s="12" t="s">
        <v>150</v>
      </c>
      <c r="E82" s="13" t="s">
        <v>359</v>
      </c>
      <c r="F82" s="24" t="s">
        <v>169</v>
      </c>
      <c r="L82" s="19"/>
      <c r="M82" s="19"/>
      <c r="N82" s="19"/>
      <c r="O82" s="19"/>
      <c r="P82" s="20">
        <f>SUM(P80:P81)</f>
        <v>0</v>
      </c>
    </row>
    <row r="83" spans="1:17">
      <c r="F83" s="26"/>
    </row>
    <row r="84" spans="1:17">
      <c r="E84" s="24" t="s">
        <v>299</v>
      </c>
      <c r="F84" s="26"/>
    </row>
    <row r="85" spans="1:17">
      <c r="A85" t="s">
        <v>360</v>
      </c>
      <c r="D85" s="12" t="s">
        <v>150</v>
      </c>
      <c r="E85" s="13" t="s">
        <v>361</v>
      </c>
      <c r="F85" s="24" t="s">
        <v>169</v>
      </c>
      <c r="L85" s="19"/>
      <c r="M85" s="19"/>
      <c r="N85" s="19"/>
      <c r="O85" s="19"/>
      <c r="P85" s="20">
        <f>0-P51</f>
        <v>0</v>
      </c>
    </row>
    <row r="86" spans="1:17">
      <c r="A86" t="s">
        <v>362</v>
      </c>
      <c r="D86" s="12" t="s">
        <v>150</v>
      </c>
      <c r="E86" s="13" t="s">
        <v>363</v>
      </c>
      <c r="F86" s="24" t="s">
        <v>169</v>
      </c>
      <c r="L86" s="19"/>
      <c r="M86" s="19"/>
      <c r="N86" s="19"/>
      <c r="O86" s="19"/>
      <c r="P86" s="20">
        <f>P64</f>
        <v>0</v>
      </c>
    </row>
    <row r="87" spans="1:17">
      <c r="A87" t="s">
        <v>364</v>
      </c>
      <c r="D87" s="12" t="s">
        <v>150</v>
      </c>
      <c r="E87" s="13" t="s">
        <v>365</v>
      </c>
      <c r="F87" s="24" t="s">
        <v>169</v>
      </c>
      <c r="L87" s="19"/>
      <c r="M87" s="19"/>
      <c r="N87" s="19"/>
      <c r="O87" s="19"/>
      <c r="P87" s="20">
        <f>SUM(P85:P86)</f>
        <v>0</v>
      </c>
    </row>
    <row r="88" spans="1:17">
      <c r="E88" s="13"/>
      <c r="F88" s="26"/>
    </row>
    <row r="89" spans="1:17">
      <c r="E89" s="24" t="s">
        <v>306</v>
      </c>
      <c r="F89" s="26"/>
    </row>
    <row r="90" spans="1:17">
      <c r="A90" t="s">
        <v>366</v>
      </c>
      <c r="D90" s="12" t="s">
        <v>150</v>
      </c>
      <c r="E90" s="180" t="str">
        <f>E36 &amp; " - dmmy"</f>
        <v>AMP5 RCM adjustment to be applied at PR19 (Outturn price base) - dmmy</v>
      </c>
      <c r="F90" s="24" t="s">
        <v>169</v>
      </c>
      <c r="L90" s="19"/>
      <c r="M90" s="19"/>
      <c r="N90" s="19"/>
      <c r="O90" s="19"/>
      <c r="P90" s="178">
        <f>P36</f>
        <v>0</v>
      </c>
    </row>
    <row r="91" spans="1:17">
      <c r="D91" s="12"/>
      <c r="E91" s="180"/>
      <c r="F91" s="24"/>
      <c r="P91" s="178"/>
    </row>
    <row r="92" spans="1:17">
      <c r="D92" s="12"/>
      <c r="E92" s="24" t="s">
        <v>547</v>
      </c>
      <c r="F92" s="24"/>
      <c r="P92" s="178"/>
    </row>
    <row r="93" spans="1:17">
      <c r="A93" t="s">
        <v>356</v>
      </c>
      <c r="D93" s="12" t="s">
        <v>150</v>
      </c>
      <c r="E93" s="180" t="s">
        <v>545</v>
      </c>
      <c r="F93" s="24" t="s">
        <v>169</v>
      </c>
      <c r="L93" s="19"/>
      <c r="M93" s="19"/>
      <c r="N93" s="19"/>
      <c r="O93" s="19"/>
      <c r="P93" s="178">
        <f>Data!$P$72</f>
        <v>0</v>
      </c>
    </row>
    <row r="94" spans="1:17">
      <c r="E94" s="13"/>
      <c r="F94" s="26"/>
      <c r="P94" s="179"/>
    </row>
    <row r="95" spans="1:17" ht="13.15">
      <c r="A95" t="s">
        <v>43</v>
      </c>
      <c r="D95" s="12" t="s">
        <v>150</v>
      </c>
      <c r="E95" s="22" t="s">
        <v>367</v>
      </c>
      <c r="F95" s="24" t="s">
        <v>169</v>
      </c>
      <c r="L95" s="19"/>
      <c r="M95" s="19"/>
      <c r="N95" s="19"/>
      <c r="O95" s="19"/>
      <c r="P95" s="178">
        <f>SUM(P82,P87,P90,P93)</f>
        <v>0</v>
      </c>
      <c r="Q95" s="146" t="s">
        <v>368</v>
      </c>
    </row>
    <row r="96" spans="1:17" ht="13.15" thickBot="1">
      <c r="E96" s="16"/>
      <c r="F96" s="26"/>
    </row>
    <row r="97" spans="1:23" ht="13.5" thickBot="1">
      <c r="A97" s="6" t="s">
        <v>202</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61:P61">
    <cfRule type="cellIs" dxfId="1" priority="2" operator="equal">
      <formula>TRUE</formula>
    </cfRule>
  </conditionalFormatting>
  <conditionalFormatting sqref="L75:P75">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 xml:space="preserve">&amp;L&amp;F&amp;CSheet: &amp;A&amp;ROFFICIAL
</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75" zoomScaleNormal="75" workbookViewId="0">
      <selection activeCell="H4" sqref="H4"/>
    </sheetView>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&amp;L&amp;F&amp;CSheet: &amp;A&amp;ROFFICIAL
</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activeCell="H4" sqref="H4"/>
      <selection pane="topRight" activeCell="H4" sqref="H4"/>
      <selection pane="bottomLeft" activeCell="H4" sqref="H4"/>
      <selection pane="bottomRight" activeCell="H4" sqref="H4"/>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25"/>
      <c r="B1" s="125"/>
      <c r="C1" s="125"/>
      <c r="D1" s="105" t="s">
        <v>369</v>
      </c>
      <c r="E1" s="105"/>
      <c r="F1" s="126"/>
      <c r="G1" s="125"/>
      <c r="H1" s="125"/>
      <c r="I1" s="125"/>
      <c r="J1" s="125"/>
      <c r="K1" s="125"/>
      <c r="L1" s="125"/>
      <c r="M1" s="125"/>
      <c r="N1" s="125"/>
      <c r="O1" s="125"/>
      <c r="P1" s="125"/>
      <c r="Q1" s="125"/>
      <c r="R1" s="125"/>
      <c r="S1" s="125"/>
      <c r="T1" s="125"/>
      <c r="U1" s="125"/>
      <c r="V1" s="125"/>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125</v>
      </c>
      <c r="G3" s="11"/>
      <c r="H3" s="11"/>
      <c r="I3" s="107" t="str">
        <f t="shared" ref="I3:U3" si="0">AMP.Years</f>
        <v>2012-13</v>
      </c>
      <c r="J3" s="107" t="str">
        <f t="shared" si="0"/>
        <v>2013-14</v>
      </c>
      <c r="K3" s="107" t="str">
        <f t="shared" si="0"/>
        <v>2014-15</v>
      </c>
      <c r="L3" s="108" t="str">
        <f t="shared" si="0"/>
        <v>2015-16</v>
      </c>
      <c r="M3" s="108" t="str">
        <f t="shared" si="0"/>
        <v>2016-17</v>
      </c>
      <c r="N3" s="108" t="str">
        <f t="shared" si="0"/>
        <v>2017-18</v>
      </c>
      <c r="O3" s="108" t="str">
        <f t="shared" si="0"/>
        <v>2018-19</v>
      </c>
      <c r="P3" s="108" t="str">
        <f t="shared" si="0"/>
        <v>2019-20</v>
      </c>
      <c r="Q3" s="107" t="str">
        <f t="shared" si="0"/>
        <v>2020-21</v>
      </c>
      <c r="R3" s="107" t="str">
        <f t="shared" si="0"/>
        <v>2021-22</v>
      </c>
      <c r="S3" s="107" t="str">
        <f t="shared" si="0"/>
        <v>2022-23</v>
      </c>
      <c r="T3" s="107" t="str">
        <f t="shared" si="0"/>
        <v>2023-24</v>
      </c>
      <c r="U3" s="107"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126</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127</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89"/>
      <c r="B8" s="109"/>
      <c r="C8" s="109"/>
      <c r="D8" s="113"/>
      <c r="E8" s="111" t="s">
        <v>370</v>
      </c>
      <c r="F8" s="112"/>
      <c r="G8" s="110"/>
      <c r="H8" s="110"/>
      <c r="I8" s="110"/>
      <c r="J8" s="110"/>
      <c r="K8" s="110"/>
      <c r="L8" s="124"/>
      <c r="M8" s="124"/>
      <c r="N8" s="124"/>
      <c r="O8" s="124"/>
      <c r="P8" s="124"/>
      <c r="Q8" s="124"/>
      <c r="R8" s="124"/>
      <c r="S8" s="124"/>
      <c r="T8" s="124"/>
      <c r="U8" s="124"/>
      <c r="V8" s="110"/>
      <c r="W8" s="110"/>
      <c r="X8" s="110"/>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150</v>
      </c>
      <c r="E10" s="22" t="s">
        <v>371</v>
      </c>
      <c r="F10" s="24" t="s">
        <v>169</v>
      </c>
      <c r="G10" s="11"/>
      <c r="H10" s="11"/>
      <c r="I10" s="11"/>
      <c r="J10" s="11"/>
      <c r="K10" s="11"/>
      <c r="L10" s="19"/>
      <c r="M10" s="19"/>
      <c r="N10" s="19"/>
      <c r="O10" s="19"/>
      <c r="P10" s="20">
        <f>WRFIM.Water</f>
        <v>1.9833944981957474</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150</v>
      </c>
      <c r="E12" s="22" t="s">
        <v>372</v>
      </c>
      <c r="F12" s="24" t="s">
        <v>169</v>
      </c>
      <c r="G12" s="11"/>
      <c r="H12" s="11"/>
      <c r="I12" s="11"/>
      <c r="J12" s="11"/>
      <c r="K12" s="11"/>
      <c r="L12" s="19"/>
      <c r="M12" s="19"/>
      <c r="N12" s="19"/>
      <c r="O12" s="19"/>
      <c r="P12" s="20">
        <f>WRFIM.Waste</f>
        <v>-8.1200896971600073E-2</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150</v>
      </c>
      <c r="E14" s="153" t="s">
        <v>373</v>
      </c>
      <c r="F14" s="24" t="s">
        <v>169</v>
      </c>
      <c r="G14" s="11"/>
      <c r="H14" s="11"/>
      <c r="I14" s="11"/>
      <c r="J14" s="11"/>
      <c r="K14" s="11"/>
      <c r="L14" s="19"/>
      <c r="M14" s="19"/>
      <c r="N14" s="19"/>
      <c r="O14" s="19"/>
      <c r="P14" s="152">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202</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7" fitToHeight="0" orientation="landscape" r:id="rId1"/>
  <headerFooter>
    <oddHeader xml:space="preserve">&amp;L&amp;F&amp;CSheet: &amp;A&amp;ROFFICIAL
</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75" zoomScaleNormal="75" workbookViewId="0">
      <selection activeCell="H4" sqref="H4"/>
    </sheetView>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&amp;L&amp;F&amp;CSheet: &amp;A&amp;ROFFICIAL
</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75" zoomScaleNormal="75" workbookViewId="0">
      <pane xSplit="8" ySplit="7" topLeftCell="I8" activePane="bottomRight" state="frozen"/>
      <selection activeCell="H4" sqref="H4"/>
      <selection pane="topRight" activeCell="H4" sqref="H4"/>
      <selection pane="bottomLeft" activeCell="H4" sqref="H4"/>
      <selection pane="bottomRight" activeCell="H4" sqref="H4"/>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25"/>
      <c r="B1" s="125"/>
      <c r="C1" s="125"/>
      <c r="D1" s="105" t="s">
        <v>374</v>
      </c>
      <c r="E1" s="105"/>
      <c r="F1" s="125"/>
      <c r="G1" s="125"/>
      <c r="H1" s="125"/>
      <c r="I1" s="125"/>
      <c r="J1" s="125"/>
      <c r="K1" s="125"/>
      <c r="L1" s="125"/>
      <c r="M1" s="125"/>
      <c r="N1" s="125"/>
      <c r="O1" s="125"/>
      <c r="P1" s="125"/>
      <c r="Q1" s="125"/>
      <c r="R1" s="125"/>
      <c r="S1" s="125"/>
      <c r="T1" s="125"/>
      <c r="U1" s="125"/>
      <c r="V1" s="125"/>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125</v>
      </c>
      <c r="F3" s="11"/>
      <c r="G3" s="11"/>
      <c r="H3" s="11"/>
      <c r="I3" s="107" t="s">
        <v>6</v>
      </c>
      <c r="J3" s="107" t="s">
        <v>7</v>
      </c>
      <c r="K3" s="107" t="s">
        <v>8</v>
      </c>
      <c r="L3" s="108" t="s">
        <v>9</v>
      </c>
      <c r="M3" s="108" t="s">
        <v>10</v>
      </c>
      <c r="N3" s="108" t="s">
        <v>11</v>
      </c>
      <c r="O3" s="108" t="s">
        <v>12</v>
      </c>
      <c r="P3" s="108" t="s">
        <v>13</v>
      </c>
      <c r="Q3" s="107" t="s">
        <v>375</v>
      </c>
      <c r="R3" s="107" t="s">
        <v>376</v>
      </c>
      <c r="S3" s="107" t="s">
        <v>377</v>
      </c>
      <c r="T3" s="107" t="s">
        <v>378</v>
      </c>
      <c r="U3" s="107" t="s">
        <v>379</v>
      </c>
      <c r="V3" s="8" t="s">
        <v>380</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126</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381</v>
      </c>
    </row>
    <row r="6" spans="1:22" ht="13.15">
      <c r="A6" s="11"/>
      <c r="B6" s="11"/>
      <c r="C6" s="11"/>
      <c r="D6" s="11"/>
      <c r="E6" s="11" t="s">
        <v>127</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202</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8" fitToHeight="0" orientation="landscape" r:id="rId1"/>
  <headerFooter>
    <oddHeader xml:space="preserve">&amp;L&amp;F&amp;CSheet: &amp;A&amp;ROFFICIAL
</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46"/>
  <sheetViews>
    <sheetView zoomScale="90" zoomScaleNormal="90" workbookViewId="0">
      <selection activeCell="H4" sqref="H4"/>
    </sheetView>
  </sheetViews>
  <sheetFormatPr defaultColWidth="8.86328125" defaultRowHeight="13.5"/>
  <cols>
    <col min="1" max="1" width="11.265625" style="127" customWidth="1"/>
    <col min="2" max="2" width="27" style="127" customWidth="1"/>
    <col min="3" max="3" width="30.265625" style="127" customWidth="1"/>
    <col min="4" max="4" width="3" style="127" customWidth="1"/>
    <col min="5" max="5" width="18.73046875" style="127" customWidth="1"/>
    <col min="6" max="15" width="8.59765625" style="127" customWidth="1"/>
    <col min="16" max="16" width="16.86328125" style="127" bestFit="1" customWidth="1"/>
    <col min="17" max="16384" width="8.86328125" style="127"/>
  </cols>
  <sheetData>
    <row r="1" spans="1:16">
      <c r="C1" s="127" t="s">
        <v>423</v>
      </c>
    </row>
    <row r="2" spans="1:16">
      <c r="A2" s="127" t="s">
        <v>0</v>
      </c>
      <c r="B2" s="127" t="s">
        <v>1</v>
      </c>
      <c r="C2" s="127" t="s">
        <v>2</v>
      </c>
      <c r="D2" s="127" t="s">
        <v>3</v>
      </c>
      <c r="E2" s="127" t="s">
        <v>4</v>
      </c>
      <c r="F2" s="128" t="s">
        <v>5</v>
      </c>
      <c r="G2" s="128" t="s">
        <v>6</v>
      </c>
      <c r="H2" s="128" t="s">
        <v>7</v>
      </c>
      <c r="I2" s="128" t="s">
        <v>8</v>
      </c>
      <c r="J2" s="128" t="s">
        <v>9</v>
      </c>
      <c r="K2" s="128" t="s">
        <v>10</v>
      </c>
      <c r="L2" s="128" t="s">
        <v>11</v>
      </c>
      <c r="M2" s="128" t="s">
        <v>12</v>
      </c>
      <c r="N2" s="128" t="s">
        <v>13</v>
      </c>
      <c r="O2" s="128" t="s">
        <v>14</v>
      </c>
      <c r="P2" s="128" t="s">
        <v>55</v>
      </c>
    </row>
    <row r="4" spans="1:16">
      <c r="B4" s="157" t="s">
        <v>382</v>
      </c>
      <c r="C4" s="155" t="str">
        <f>RPI!$E$54</f>
        <v>RPI: November year on year %</v>
      </c>
      <c r="D4" s="154" t="s">
        <v>20</v>
      </c>
      <c r="E4" s="127" t="s">
        <v>16</v>
      </c>
      <c r="F4" s="158"/>
      <c r="G4" s="154">
        <f>RPI!I$54</f>
        <v>2.9769392033542896E-2</v>
      </c>
      <c r="H4" s="154">
        <f>RPI!J$54</f>
        <v>2.6465798045602673E-2</v>
      </c>
      <c r="I4" s="154">
        <f>RPI!K$54</f>
        <v>1.983339944466489E-2</v>
      </c>
      <c r="J4" s="154">
        <f>RPI!L$54</f>
        <v>1.0501750291715295E-2</v>
      </c>
      <c r="K4" s="154">
        <f>RPI!M$54</f>
        <v>2.1939953810623525E-2</v>
      </c>
      <c r="L4" s="154">
        <f>RPI!N$54</f>
        <v>3.8794726930320156E-2</v>
      </c>
      <c r="M4" s="154">
        <f>RPI!O$54</f>
        <v>3.363244361333928E-2</v>
      </c>
      <c r="N4" s="154">
        <f>RPI!P$54</f>
        <v>2.9484791552017331E-2</v>
      </c>
      <c r="O4" s="154"/>
      <c r="P4" s="154"/>
    </row>
    <row r="5" spans="1:16">
      <c r="B5" s="157" t="s">
        <v>383</v>
      </c>
      <c r="C5" s="127" t="str">
        <f>Data!$E$20</f>
        <v>Specified discount rate</v>
      </c>
      <c r="D5" s="127" t="s">
        <v>20</v>
      </c>
      <c r="E5" s="127" t="s">
        <v>16</v>
      </c>
      <c r="F5" s="158"/>
      <c r="G5" s="154"/>
      <c r="H5" s="154"/>
      <c r="I5" s="154"/>
      <c r="J5" s="154"/>
      <c r="K5" s="154"/>
      <c r="L5" s="154"/>
      <c r="M5" s="154"/>
      <c r="N5" s="154"/>
      <c r="O5" s="154">
        <f>Discount.Rate</f>
        <v>3.5999999999999997E-2</v>
      </c>
      <c r="P5" s="154"/>
    </row>
    <row r="6" spans="1:16">
      <c r="B6" s="157" t="s">
        <v>384</v>
      </c>
      <c r="C6" s="127" t="str">
        <f>Data!$E$53</f>
        <v>Over-recovered 17/18 revenue returned - water</v>
      </c>
      <c r="D6" s="127" t="s">
        <v>26</v>
      </c>
      <c r="E6" s="127" t="s">
        <v>16</v>
      </c>
      <c r="F6" s="129"/>
      <c r="G6" s="130"/>
      <c r="H6" s="130"/>
      <c r="I6" s="130"/>
      <c r="J6" s="130"/>
      <c r="K6" s="130"/>
      <c r="L6" s="130"/>
      <c r="M6" s="130">
        <f>Data!$O$53</f>
        <v>0</v>
      </c>
      <c r="N6" s="130"/>
      <c r="O6" s="130"/>
      <c r="P6" s="130"/>
    </row>
    <row r="7" spans="1:16">
      <c r="B7" s="157" t="s">
        <v>385</v>
      </c>
      <c r="C7" s="127" t="str">
        <f>Data!$E$54</f>
        <v>Over-recovered 17/18 revenue returned - wastewater</v>
      </c>
      <c r="D7" s="127" t="s">
        <v>26</v>
      </c>
      <c r="E7" s="127" t="s">
        <v>16</v>
      </c>
      <c r="F7" s="129"/>
      <c r="G7" s="130"/>
      <c r="H7" s="130"/>
      <c r="I7" s="130"/>
      <c r="J7" s="130"/>
      <c r="K7" s="130"/>
      <c r="L7" s="130"/>
      <c r="M7" s="130">
        <f>Data!$O$54</f>
        <v>0</v>
      </c>
      <c r="N7" s="130"/>
      <c r="O7" s="130"/>
      <c r="P7" s="130"/>
    </row>
    <row r="8" spans="1:16">
      <c r="B8" s="157" t="s">
        <v>386</v>
      </c>
      <c r="C8" s="127" t="str">
        <f>Data!$E$55</f>
        <v>Over-recovered 17/18 revenue returned - dmmy</v>
      </c>
      <c r="D8" s="127" t="s">
        <v>26</v>
      </c>
      <c r="E8" s="127" t="s">
        <v>16</v>
      </c>
      <c r="F8" s="129"/>
      <c r="G8" s="130"/>
      <c r="H8" s="130"/>
      <c r="I8" s="130"/>
      <c r="J8" s="130"/>
      <c r="K8" s="130"/>
      <c r="L8" s="130"/>
      <c r="M8" s="130">
        <f>Data!$O$55</f>
        <v>0</v>
      </c>
      <c r="N8" s="130"/>
      <c r="O8" s="130"/>
      <c r="P8" s="130"/>
    </row>
    <row r="9" spans="1:16">
      <c r="B9" s="157" t="s">
        <v>387</v>
      </c>
      <c r="C9" s="127" t="str">
        <f>Data!$E$57</f>
        <v>Over-recovered 18/19 revenue returned - water</v>
      </c>
      <c r="D9" s="127" t="s">
        <v>26</v>
      </c>
      <c r="E9" s="127" t="s">
        <v>16</v>
      </c>
      <c r="F9" s="129"/>
      <c r="G9" s="130"/>
      <c r="H9" s="130"/>
      <c r="I9" s="130"/>
      <c r="J9" s="130"/>
      <c r="K9" s="130"/>
      <c r="L9" s="130"/>
      <c r="M9" s="130"/>
      <c r="N9" s="130">
        <f>Data!$P$57</f>
        <v>0</v>
      </c>
      <c r="O9" s="130"/>
      <c r="P9" s="130"/>
    </row>
    <row r="10" spans="1:16">
      <c r="B10" s="157" t="s">
        <v>388</v>
      </c>
      <c r="C10" s="127" t="str">
        <f>Data!$E$58</f>
        <v>Over-recovered 18/19 revenue returned - wastewater</v>
      </c>
      <c r="D10" s="127" t="s">
        <v>26</v>
      </c>
      <c r="E10" s="127" t="s">
        <v>16</v>
      </c>
      <c r="F10" s="129"/>
      <c r="G10" s="130"/>
      <c r="H10" s="130"/>
      <c r="I10" s="130"/>
      <c r="J10" s="130"/>
      <c r="K10" s="130"/>
      <c r="L10" s="130"/>
      <c r="M10" s="130"/>
      <c r="N10" s="130">
        <f>Data!$P$58</f>
        <v>0</v>
      </c>
      <c r="O10" s="130"/>
      <c r="P10" s="130"/>
    </row>
    <row r="11" spans="1:16">
      <c r="B11" s="157" t="s">
        <v>389</v>
      </c>
      <c r="C11" s="127" t="str">
        <f>Data!$E$59</f>
        <v>Over-recovered 18/19 revenue returned - dmmy</v>
      </c>
      <c r="D11" s="127" t="s">
        <v>26</v>
      </c>
      <c r="E11" s="127" t="s">
        <v>16</v>
      </c>
      <c r="F11" s="129"/>
      <c r="G11" s="130"/>
      <c r="H11" s="130"/>
      <c r="I11" s="130"/>
      <c r="J11" s="130"/>
      <c r="K11" s="130"/>
      <c r="L11" s="130"/>
      <c r="M11" s="130"/>
      <c r="N11" s="130">
        <f>Data!$P$59</f>
        <v>0</v>
      </c>
      <c r="O11" s="130"/>
      <c r="P11" s="130"/>
    </row>
    <row r="12" spans="1:16">
      <c r="B12" s="157" t="s">
        <v>390</v>
      </c>
      <c r="C12" s="127" t="str">
        <f>'WRFIM - Water'!$E$57</f>
        <v>Main revenue adjustment - as incurred - water</v>
      </c>
      <c r="D12" s="127" t="s">
        <v>26</v>
      </c>
      <c r="E12" s="127" t="s">
        <v>16</v>
      </c>
      <c r="F12" s="130"/>
      <c r="G12" s="130"/>
      <c r="H12" s="130"/>
      <c r="I12" s="130"/>
      <c r="J12" s="130"/>
      <c r="K12" s="130"/>
      <c r="L12" s="130">
        <f>'WRFIM - Water'!N$57</f>
        <v>1.3533480502074449</v>
      </c>
      <c r="M12" s="130">
        <f>'WRFIM - Water'!O$57</f>
        <v>0.6151507557582182</v>
      </c>
      <c r="N12" s="130">
        <f>'WRFIM - Water'!P$57</f>
        <v>2.218247455286829</v>
      </c>
      <c r="O12" s="130"/>
      <c r="P12" s="130"/>
    </row>
    <row r="13" spans="1:16">
      <c r="B13" s="157" t="s">
        <v>391</v>
      </c>
      <c r="C13" s="127" t="str">
        <f>'WRFIM - Water'!$E$67</f>
        <v>Penalty adjustment - as incurred - water</v>
      </c>
      <c r="D13" s="127" t="s">
        <v>26</v>
      </c>
      <c r="E13" s="127" t="s">
        <v>16</v>
      </c>
      <c r="F13" s="130"/>
      <c r="G13" s="130"/>
      <c r="H13" s="130"/>
      <c r="I13" s="130"/>
      <c r="J13" s="130"/>
      <c r="K13" s="130"/>
      <c r="L13" s="130">
        <f>'WRFIM - Water'!N$67</f>
        <v>-3.9189615353497437E-2</v>
      </c>
      <c r="M13" s="130">
        <f>'WRFIM - Water'!O$67</f>
        <v>-7.2026159681190622E-3</v>
      </c>
      <c r="N13" s="130">
        <f>'WRFIM - Water'!P$67</f>
        <v>-6.4234964921433269E-2</v>
      </c>
      <c r="O13" s="130"/>
      <c r="P13" s="130"/>
    </row>
    <row r="14" spans="1:16">
      <c r="B14" s="157" t="s">
        <v>392</v>
      </c>
      <c r="C14" s="127" t="str">
        <f>'WRFIM - Water'!$E$72</f>
        <v>WRFIM adjustment - as incurred - water</v>
      </c>
      <c r="D14" s="127" t="s">
        <v>26</v>
      </c>
      <c r="E14" s="127" t="s">
        <v>16</v>
      </c>
      <c r="F14" s="130"/>
      <c r="G14" s="130"/>
      <c r="H14" s="130"/>
      <c r="I14" s="130"/>
      <c r="J14" s="130"/>
      <c r="K14" s="130"/>
      <c r="L14" s="130">
        <f>'WRFIM - Water'!N$72</f>
        <v>1.3141584348539475</v>
      </c>
      <c r="M14" s="130">
        <f>'WRFIM - Water'!O$72</f>
        <v>0.6079481397900991</v>
      </c>
      <c r="N14" s="130">
        <f>'WRFIM - Water'!P$72</f>
        <v>2.1540124903653957</v>
      </c>
      <c r="O14" s="130"/>
      <c r="P14" s="130"/>
    </row>
    <row r="15" spans="1:16">
      <c r="B15" s="157" t="s">
        <v>393</v>
      </c>
      <c r="C15" s="127" t="str">
        <f>'WRFIM - Water'!$E$80</f>
        <v>Value of Year 4 main revenue adjustment at the end of AMP6 - water</v>
      </c>
      <c r="D15" s="127" t="s">
        <v>26</v>
      </c>
      <c r="E15" s="127" t="s">
        <v>16</v>
      </c>
      <c r="F15" s="130"/>
      <c r="G15" s="130"/>
      <c r="H15" s="130"/>
      <c r="I15" s="130"/>
      <c r="J15" s="130"/>
      <c r="K15" s="130"/>
      <c r="L15" s="130"/>
      <c r="M15" s="130"/>
      <c r="N15" s="130">
        <f>'WRFIM - Water'!$P$80</f>
        <v>0</v>
      </c>
      <c r="O15" s="130"/>
      <c r="P15" s="130"/>
    </row>
    <row r="16" spans="1:16">
      <c r="B16" s="157" t="s">
        <v>394</v>
      </c>
      <c r="C16" s="127" t="str">
        <f>'WRFIM - Water'!$E$81</f>
        <v>Value of Year 4 penalty adjustment at the end of AMP6 - water</v>
      </c>
      <c r="D16" s="127" t="s">
        <v>26</v>
      </c>
      <c r="E16" s="127" t="s">
        <v>16</v>
      </c>
      <c r="F16" s="130"/>
      <c r="G16" s="130"/>
      <c r="H16" s="130"/>
      <c r="I16" s="130"/>
      <c r="J16" s="130"/>
      <c r="K16" s="130"/>
      <c r="L16" s="130"/>
      <c r="M16" s="130"/>
      <c r="N16" s="130">
        <f>'WRFIM - Water'!$P$81</f>
        <v>0</v>
      </c>
      <c r="O16" s="130"/>
      <c r="P16" s="130"/>
    </row>
    <row r="17" spans="2:16">
      <c r="B17" s="157" t="s">
        <v>395</v>
      </c>
      <c r="C17" s="127" t="str">
        <f>'WRFIM - Water'!$E$82</f>
        <v>Value of Year 4 WRFIM adjustments at the end of AMP6 - water</v>
      </c>
      <c r="D17" s="127" t="s">
        <v>26</v>
      </c>
      <c r="E17" s="127" t="s">
        <v>16</v>
      </c>
      <c r="F17" s="130"/>
      <c r="G17" s="130"/>
      <c r="H17" s="130"/>
      <c r="I17" s="130"/>
      <c r="J17" s="130"/>
      <c r="K17" s="130"/>
      <c r="L17" s="130"/>
      <c r="M17" s="130"/>
      <c r="N17" s="130">
        <f>'WRFIM - Water'!$P$82</f>
        <v>0</v>
      </c>
      <c r="O17" s="130"/>
      <c r="P17" s="130"/>
    </row>
    <row r="18" spans="2:16">
      <c r="B18" s="157" t="s">
        <v>396</v>
      </c>
      <c r="C18" s="127" t="str">
        <f>'WRFIM - Water'!$E$85</f>
        <v>Value of Year 5 main revenue adjustment at the end of AMP6 - water</v>
      </c>
      <c r="D18" s="127" t="s">
        <v>26</v>
      </c>
      <c r="E18" s="127" t="s">
        <v>16</v>
      </c>
      <c r="F18" s="130"/>
      <c r="G18" s="130"/>
      <c r="H18" s="130"/>
      <c r="I18" s="130"/>
      <c r="J18" s="130"/>
      <c r="K18" s="130"/>
      <c r="L18" s="130"/>
      <c r="M18" s="130"/>
      <c r="N18" s="130">
        <f>'WRFIM - Water'!$P$85</f>
        <v>0</v>
      </c>
      <c r="O18" s="130"/>
      <c r="P18" s="130"/>
    </row>
    <row r="19" spans="2:16">
      <c r="B19" s="157" t="s">
        <v>397</v>
      </c>
      <c r="C19" s="127" t="str">
        <f>'WRFIM - Water'!$E$86</f>
        <v>Value of Year 5 penalty adjustment at the end of AMP6 - water</v>
      </c>
      <c r="D19" s="127" t="s">
        <v>26</v>
      </c>
      <c r="E19" s="127" t="s">
        <v>16</v>
      </c>
      <c r="F19" s="130"/>
      <c r="G19" s="130"/>
      <c r="H19" s="130"/>
      <c r="I19" s="130"/>
      <c r="J19" s="130"/>
      <c r="K19" s="130"/>
      <c r="L19" s="130"/>
      <c r="M19" s="130"/>
      <c r="N19" s="130">
        <f>'WRFIM - Water'!$P$86</f>
        <v>0</v>
      </c>
      <c r="O19" s="130"/>
      <c r="P19" s="130"/>
    </row>
    <row r="20" spans="2:16">
      <c r="B20" s="157" t="s">
        <v>398</v>
      </c>
      <c r="C20" s="127" t="str">
        <f>'WRFIM - Water'!$E$87</f>
        <v>Value of Year 5 WRFIM adjustments at the end of AMP6 - water</v>
      </c>
      <c r="D20" s="127" t="s">
        <v>26</v>
      </c>
      <c r="E20" s="127" t="s">
        <v>16</v>
      </c>
      <c r="F20" s="130"/>
      <c r="G20" s="130"/>
      <c r="H20" s="130"/>
      <c r="I20" s="130"/>
      <c r="J20" s="130"/>
      <c r="K20" s="130"/>
      <c r="L20" s="130"/>
      <c r="M20" s="130"/>
      <c r="N20" s="130">
        <f>'WRFIM - Water'!$P$87</f>
        <v>0</v>
      </c>
      <c r="O20" s="130"/>
      <c r="P20" s="130"/>
    </row>
    <row r="21" spans="2:16">
      <c r="B21" s="157" t="s">
        <v>399</v>
      </c>
      <c r="C21" s="127" t="str">
        <f>'WRFIM - Water'!$E$90</f>
        <v>AMP5 RCM adjustment to be applied at PR19 (Outturn price base) - water</v>
      </c>
      <c r="D21" s="127" t="s">
        <v>26</v>
      </c>
      <c r="E21" s="127" t="s">
        <v>16</v>
      </c>
      <c r="F21" s="130"/>
      <c r="G21" s="130"/>
      <c r="H21" s="130"/>
      <c r="I21" s="130"/>
      <c r="J21" s="130"/>
      <c r="K21" s="130"/>
      <c r="L21" s="130"/>
      <c r="M21" s="130"/>
      <c r="N21" s="130">
        <f>'WRFIM - Water'!$P$90</f>
        <v>-0.47060550180425276</v>
      </c>
      <c r="O21" s="130"/>
      <c r="P21" s="130"/>
    </row>
    <row r="22" spans="2:16">
      <c r="B22" s="157" t="s">
        <v>400</v>
      </c>
      <c r="C22" s="127" t="str">
        <f>'WRFIM - Water'!$E$95</f>
        <v>Total reward / (penalty) at the end of AMP6 - water</v>
      </c>
      <c r="D22" s="127" t="s">
        <v>26</v>
      </c>
      <c r="E22" s="127" t="s">
        <v>16</v>
      </c>
      <c r="F22" s="130"/>
      <c r="G22" s="130"/>
      <c r="H22" s="130"/>
      <c r="I22" s="130"/>
      <c r="J22" s="130"/>
      <c r="K22" s="130"/>
      <c r="L22" s="130"/>
      <c r="M22" s="130"/>
      <c r="N22" s="130">
        <f>'WRFIM - Water'!$P$95</f>
        <v>1.9833944981957474</v>
      </c>
      <c r="O22" s="130"/>
      <c r="P22" s="130">
        <f>'WRFIM - Water'!$P$95</f>
        <v>1.9833944981957474</v>
      </c>
    </row>
    <row r="23" spans="2:16">
      <c r="B23" s="157" t="s">
        <v>401</v>
      </c>
      <c r="C23" s="127" t="str">
        <f>'WRFIM - Waste'!$E$57</f>
        <v>Main revenue adjustment - as incurred - waste</v>
      </c>
      <c r="D23" s="127" t="s">
        <v>26</v>
      </c>
      <c r="E23" s="127" t="s">
        <v>16</v>
      </c>
      <c r="F23" s="130"/>
      <c r="G23" s="130"/>
      <c r="H23" s="130"/>
      <c r="I23" s="130"/>
      <c r="J23" s="130"/>
      <c r="K23" s="130"/>
      <c r="L23" s="130">
        <f>'WRFIM - Waste'!N$57</f>
        <v>0</v>
      </c>
      <c r="M23" s="130">
        <f>'WRFIM - Waste'!O$57</f>
        <v>0</v>
      </c>
      <c r="N23" s="130">
        <f>'WRFIM - Waste'!P$57</f>
        <v>0</v>
      </c>
      <c r="O23" s="130"/>
      <c r="P23" s="130"/>
    </row>
    <row r="24" spans="2:16">
      <c r="B24" s="157" t="s">
        <v>402</v>
      </c>
      <c r="C24" s="127" t="str">
        <f>'WRFIM - Waste'!$E$67</f>
        <v>Penalty adjustment - as incurred - waste</v>
      </c>
      <c r="D24" s="127" t="s">
        <v>26</v>
      </c>
      <c r="E24" s="127" t="s">
        <v>16</v>
      </c>
      <c r="F24" s="130"/>
      <c r="G24" s="130"/>
      <c r="H24" s="130"/>
      <c r="I24" s="130"/>
      <c r="J24" s="130"/>
      <c r="K24" s="130"/>
      <c r="L24" s="130">
        <f>'WRFIM - Waste'!N$67</f>
        <v>0</v>
      </c>
      <c r="M24" s="130">
        <f>'WRFIM - Waste'!O$67</f>
        <v>0</v>
      </c>
      <c r="N24" s="130">
        <f>'WRFIM - Waste'!P$67</f>
        <v>0</v>
      </c>
      <c r="O24" s="130"/>
      <c r="P24" s="130"/>
    </row>
    <row r="25" spans="2:16">
      <c r="B25" s="157" t="s">
        <v>403</v>
      </c>
      <c r="C25" s="127" t="str">
        <f>'WRFIM - Waste'!$E$72</f>
        <v>WRFIM adjustment - as incurred - waste</v>
      </c>
      <c r="D25" s="127" t="s">
        <v>26</v>
      </c>
      <c r="E25" s="127" t="s">
        <v>16</v>
      </c>
      <c r="F25" s="130"/>
      <c r="G25" s="130"/>
      <c r="H25" s="130"/>
      <c r="I25" s="130"/>
      <c r="J25" s="130"/>
      <c r="K25" s="130"/>
      <c r="L25" s="130">
        <f>'WRFIM - Waste'!N$72</f>
        <v>0</v>
      </c>
      <c r="M25" s="130">
        <f>'WRFIM - Waste'!O$72</f>
        <v>0</v>
      </c>
      <c r="N25" s="130">
        <f>'WRFIM - Waste'!P$72</f>
        <v>0</v>
      </c>
      <c r="O25" s="130"/>
      <c r="P25" s="130"/>
    </row>
    <row r="26" spans="2:16">
      <c r="B26" s="157" t="s">
        <v>404</v>
      </c>
      <c r="C26" s="127" t="str">
        <f>'WRFIM - Waste'!$E$80</f>
        <v>Value of Year 4 main revenue adjustment at the end of AMP6 - waste</v>
      </c>
      <c r="D26" s="127" t="s">
        <v>26</v>
      </c>
      <c r="E26" s="127" t="s">
        <v>16</v>
      </c>
      <c r="F26" s="130"/>
      <c r="G26" s="130"/>
      <c r="H26" s="130"/>
      <c r="I26" s="130"/>
      <c r="J26" s="130"/>
      <c r="K26" s="130"/>
      <c r="L26" s="130"/>
      <c r="M26" s="130"/>
      <c r="N26" s="130">
        <f>'WRFIM - Waste'!$P$80</f>
        <v>0</v>
      </c>
      <c r="O26" s="130"/>
      <c r="P26" s="130"/>
    </row>
    <row r="27" spans="2:16">
      <c r="B27" s="157" t="s">
        <v>405</v>
      </c>
      <c r="C27" s="127" t="str">
        <f>'WRFIM - Waste'!$E$81</f>
        <v>Value of Year 4 penalty adjustment at the end of AMP6 - waste</v>
      </c>
      <c r="D27" s="127" t="s">
        <v>26</v>
      </c>
      <c r="E27" s="127" t="s">
        <v>16</v>
      </c>
      <c r="F27" s="130"/>
      <c r="G27" s="130"/>
      <c r="H27" s="130"/>
      <c r="I27" s="130"/>
      <c r="J27" s="130"/>
      <c r="K27" s="130"/>
      <c r="L27" s="130"/>
      <c r="M27" s="130"/>
      <c r="N27" s="130">
        <f>'WRFIM - Waste'!$P$81</f>
        <v>0</v>
      </c>
      <c r="O27" s="130"/>
      <c r="P27" s="130"/>
    </row>
    <row r="28" spans="2:16">
      <c r="B28" s="157" t="s">
        <v>406</v>
      </c>
      <c r="C28" s="127" t="str">
        <f>'WRFIM - Waste'!$E$82</f>
        <v>Value of Year 4 WRFIM adjustments at the end of AMP6 - waste</v>
      </c>
      <c r="D28" s="127" t="s">
        <v>26</v>
      </c>
      <c r="E28" s="127" t="s">
        <v>16</v>
      </c>
      <c r="F28" s="130"/>
      <c r="G28" s="130"/>
      <c r="H28" s="130"/>
      <c r="I28" s="130"/>
      <c r="J28" s="130"/>
      <c r="K28" s="130"/>
      <c r="L28" s="130"/>
      <c r="M28" s="130"/>
      <c r="N28" s="130">
        <f>'WRFIM - Waste'!$P$82</f>
        <v>0</v>
      </c>
      <c r="O28" s="130"/>
      <c r="P28" s="130"/>
    </row>
    <row r="29" spans="2:16">
      <c r="B29" s="157" t="s">
        <v>407</v>
      </c>
      <c r="C29" s="127" t="str">
        <f>'WRFIM - Waste'!$E$85</f>
        <v>Value of Year 5 main revenue adjustment at the end of AMP6 - waste</v>
      </c>
      <c r="D29" s="127" t="s">
        <v>26</v>
      </c>
      <c r="E29" s="127" t="s">
        <v>16</v>
      </c>
      <c r="F29" s="130"/>
      <c r="G29" s="130"/>
      <c r="H29" s="130"/>
      <c r="I29" s="130"/>
      <c r="J29" s="130"/>
      <c r="K29" s="130"/>
      <c r="L29" s="130"/>
      <c r="M29" s="130"/>
      <c r="N29" s="130">
        <f>'WRFIM - Waste'!$P$85</f>
        <v>0</v>
      </c>
      <c r="O29" s="130"/>
      <c r="P29" s="130"/>
    </row>
    <row r="30" spans="2:16">
      <c r="B30" s="157" t="s">
        <v>408</v>
      </c>
      <c r="C30" s="127" t="str">
        <f>'WRFIM - Waste'!$E$86</f>
        <v>Value of Year 5 penalty adjustment at the end of AMP6 - waste</v>
      </c>
      <c r="D30" s="127" t="s">
        <v>26</v>
      </c>
      <c r="E30" s="127" t="s">
        <v>16</v>
      </c>
      <c r="F30" s="130"/>
      <c r="G30" s="130"/>
      <c r="H30" s="130"/>
      <c r="I30" s="130"/>
      <c r="J30" s="130"/>
      <c r="K30" s="130"/>
      <c r="L30" s="130"/>
      <c r="M30" s="130"/>
      <c r="N30" s="130">
        <f>'WRFIM - Waste'!$P$86</f>
        <v>0</v>
      </c>
      <c r="O30" s="130"/>
      <c r="P30" s="130"/>
    </row>
    <row r="31" spans="2:16">
      <c r="B31" s="157" t="s">
        <v>409</v>
      </c>
      <c r="C31" s="127" t="str">
        <f>'WRFIM - Waste'!$E$87</f>
        <v>Value of Year 5 WRFIM adjustments at the end of AMP6 - waste</v>
      </c>
      <c r="D31" s="127" t="s">
        <v>26</v>
      </c>
      <c r="E31" s="127" t="s">
        <v>16</v>
      </c>
      <c r="F31" s="130"/>
      <c r="G31" s="130"/>
      <c r="H31" s="130"/>
      <c r="I31" s="130"/>
      <c r="J31" s="130"/>
      <c r="K31" s="130"/>
      <c r="L31" s="130"/>
      <c r="M31" s="130"/>
      <c r="N31" s="130">
        <f>'WRFIM - Waste'!$P$87</f>
        <v>0</v>
      </c>
      <c r="O31" s="130"/>
      <c r="P31" s="130"/>
    </row>
    <row r="32" spans="2:16">
      <c r="B32" s="157" t="s">
        <v>410</v>
      </c>
      <c r="C32" s="127" t="str">
        <f>'WRFIM - Waste'!$E$90</f>
        <v>AMP5 RCM adjustment to be applied at PR19 (Outturn price base) - waste</v>
      </c>
      <c r="D32" s="127" t="s">
        <v>26</v>
      </c>
      <c r="E32" s="127" t="s">
        <v>16</v>
      </c>
      <c r="F32" s="130"/>
      <c r="G32" s="130"/>
      <c r="H32" s="130"/>
      <c r="I32" s="130"/>
      <c r="J32" s="130"/>
      <c r="K32" s="130"/>
      <c r="L32" s="130"/>
      <c r="M32" s="130"/>
      <c r="N32" s="130">
        <f>'WRFIM - Waste'!$P$90</f>
        <v>-8.1200896971600073E-2</v>
      </c>
      <c r="O32" s="130"/>
      <c r="P32" s="130"/>
    </row>
    <row r="33" spans="2:16">
      <c r="B33" s="157" t="s">
        <v>411</v>
      </c>
      <c r="C33" s="127" t="str">
        <f>'WRFIM - Waste'!$E$95</f>
        <v>Total reward / (penalty) at the end of AMP6 - waste</v>
      </c>
      <c r="D33" s="127" t="s">
        <v>26</v>
      </c>
      <c r="E33" s="127" t="s">
        <v>16</v>
      </c>
      <c r="F33" s="130"/>
      <c r="G33" s="130"/>
      <c r="H33" s="130"/>
      <c r="I33" s="130"/>
      <c r="J33" s="130"/>
      <c r="K33" s="130"/>
      <c r="L33" s="130"/>
      <c r="M33" s="130"/>
      <c r="N33" s="130">
        <f>'WRFIM - Waste'!$P$95</f>
        <v>-8.1200896971600073E-2</v>
      </c>
      <c r="O33" s="130"/>
      <c r="P33" s="130">
        <f>'WRFIM - Waste'!$P$95</f>
        <v>-8.1200896971600073E-2</v>
      </c>
    </row>
    <row r="34" spans="2:16">
      <c r="B34" s="157" t="s">
        <v>412</v>
      </c>
      <c r="C34" s="127" t="str">
        <f>'WRFIM - Dmmy'!$E$57</f>
        <v>Main revenue adjustment - as incurred - dmmy</v>
      </c>
      <c r="D34" s="127" t="s">
        <v>26</v>
      </c>
      <c r="E34" s="127" t="s">
        <v>16</v>
      </c>
      <c r="F34" s="130"/>
      <c r="G34" s="130"/>
      <c r="H34" s="130"/>
      <c r="I34" s="130"/>
      <c r="J34" s="130"/>
      <c r="K34" s="130"/>
      <c r="L34" s="130">
        <f>'WRFIM - Dmmy'!N$57</f>
        <v>0</v>
      </c>
      <c r="M34" s="130">
        <f>'WRFIM - Dmmy'!O$57</f>
        <v>0</v>
      </c>
      <c r="N34" s="130">
        <f>'WRFIM - Dmmy'!P$57</f>
        <v>0</v>
      </c>
      <c r="O34" s="130"/>
      <c r="P34" s="130"/>
    </row>
    <row r="35" spans="2:16">
      <c r="B35" s="157" t="s">
        <v>413</v>
      </c>
      <c r="C35" s="127" t="str">
        <f>'WRFIM - Dmmy'!$E$67</f>
        <v>Penalty adjustment - as incurred - dmmy</v>
      </c>
      <c r="D35" s="127" t="s">
        <v>26</v>
      </c>
      <c r="E35" s="127" t="s">
        <v>16</v>
      </c>
      <c r="F35" s="130"/>
      <c r="G35" s="130"/>
      <c r="H35" s="130"/>
      <c r="I35" s="130"/>
      <c r="J35" s="130"/>
      <c r="K35" s="130"/>
      <c r="L35" s="130">
        <f>'WRFIM - Dmmy'!N$67</f>
        <v>0</v>
      </c>
      <c r="M35" s="130">
        <f>'WRFIM - Dmmy'!O$67</f>
        <v>0</v>
      </c>
      <c r="N35" s="130">
        <f>'WRFIM - Dmmy'!P$67</f>
        <v>0</v>
      </c>
      <c r="O35" s="130"/>
      <c r="P35" s="130"/>
    </row>
    <row r="36" spans="2:16">
      <c r="B36" s="157" t="s">
        <v>414</v>
      </c>
      <c r="C36" s="127" t="str">
        <f>'WRFIM - Dmmy'!$E$72</f>
        <v>WRFIM adjustment - as incurred - dmmy</v>
      </c>
      <c r="D36" s="127" t="s">
        <v>26</v>
      </c>
      <c r="E36" s="127" t="s">
        <v>16</v>
      </c>
      <c r="F36" s="130"/>
      <c r="G36" s="130"/>
      <c r="H36" s="130"/>
      <c r="I36" s="130"/>
      <c r="J36" s="130"/>
      <c r="K36" s="130"/>
      <c r="L36" s="130">
        <f>'WRFIM - Dmmy'!N$72</f>
        <v>0</v>
      </c>
      <c r="M36" s="130">
        <f>'WRFIM - Dmmy'!O$72</f>
        <v>0</v>
      </c>
      <c r="N36" s="130">
        <f>'WRFIM - Dmmy'!P$72</f>
        <v>0</v>
      </c>
      <c r="O36" s="130"/>
      <c r="P36" s="130"/>
    </row>
    <row r="37" spans="2:16">
      <c r="B37" s="157" t="s">
        <v>415</v>
      </c>
      <c r="C37" s="127" t="str">
        <f>'WRFIM - Dmmy'!$E$80</f>
        <v>Value of Year 4 main revenue adjustment at the end of AMP6 - dmmy</v>
      </c>
      <c r="D37" s="127" t="s">
        <v>26</v>
      </c>
      <c r="E37" s="127" t="s">
        <v>16</v>
      </c>
      <c r="F37" s="130"/>
      <c r="G37" s="130"/>
      <c r="H37" s="130"/>
      <c r="I37" s="130"/>
      <c r="J37" s="130"/>
      <c r="K37" s="130"/>
      <c r="L37" s="130"/>
      <c r="M37" s="130"/>
      <c r="N37" s="130">
        <f>'WRFIM - Dmmy'!$P$80</f>
        <v>0</v>
      </c>
      <c r="O37" s="130"/>
      <c r="P37" s="130"/>
    </row>
    <row r="38" spans="2:16">
      <c r="B38" s="157" t="s">
        <v>416</v>
      </c>
      <c r="C38" s="127" t="str">
        <f>'WRFIM - Dmmy'!$E$81</f>
        <v>Value of Year 4 penalty adjustment at the end of AMP6 - dmmy</v>
      </c>
      <c r="D38" s="127" t="s">
        <v>26</v>
      </c>
      <c r="E38" s="127" t="s">
        <v>16</v>
      </c>
      <c r="F38" s="130"/>
      <c r="G38" s="130"/>
      <c r="H38" s="130"/>
      <c r="I38" s="130"/>
      <c r="J38" s="130"/>
      <c r="K38" s="130"/>
      <c r="L38" s="130"/>
      <c r="M38" s="130"/>
      <c r="N38" s="130">
        <f>'WRFIM - Dmmy'!$P$81</f>
        <v>0</v>
      </c>
      <c r="O38" s="130"/>
      <c r="P38" s="130"/>
    </row>
    <row r="39" spans="2:16">
      <c r="B39" s="157" t="s">
        <v>417</v>
      </c>
      <c r="C39" s="127" t="str">
        <f>'WRFIM - Dmmy'!$E$82</f>
        <v>Value of Year 4 WRFIM adjustments at the end of AMP6 - dmmy</v>
      </c>
      <c r="D39" s="127" t="s">
        <v>26</v>
      </c>
      <c r="E39" s="127" t="s">
        <v>16</v>
      </c>
      <c r="F39" s="130"/>
      <c r="G39" s="130"/>
      <c r="H39" s="130"/>
      <c r="I39" s="130"/>
      <c r="J39" s="130"/>
      <c r="K39" s="130"/>
      <c r="L39" s="130"/>
      <c r="M39" s="130"/>
      <c r="N39" s="130">
        <f>'WRFIM - Dmmy'!$P$82</f>
        <v>0</v>
      </c>
      <c r="O39" s="130"/>
      <c r="P39" s="130"/>
    </row>
    <row r="40" spans="2:16">
      <c r="B40" s="157" t="s">
        <v>418</v>
      </c>
      <c r="C40" s="127" t="str">
        <f>'WRFIM - Dmmy'!$E$85</f>
        <v>Value of Year 5 main revenue adjustment at the end of AMP6 - dmmy</v>
      </c>
      <c r="D40" s="127" t="s">
        <v>26</v>
      </c>
      <c r="E40" s="127" t="s">
        <v>16</v>
      </c>
      <c r="F40" s="130"/>
      <c r="G40" s="130"/>
      <c r="H40" s="130"/>
      <c r="I40" s="130"/>
      <c r="J40" s="130"/>
      <c r="K40" s="130"/>
      <c r="L40" s="130"/>
      <c r="M40" s="130"/>
      <c r="N40" s="130">
        <f>'WRFIM - Dmmy'!$P$85</f>
        <v>0</v>
      </c>
      <c r="O40" s="130"/>
      <c r="P40" s="130"/>
    </row>
    <row r="41" spans="2:16">
      <c r="B41" s="157" t="s">
        <v>419</v>
      </c>
      <c r="C41" s="127" t="str">
        <f>'WRFIM - Dmmy'!$E$86</f>
        <v>Value of Year 5 penalty adjustment at the end of AMP6 - dmmy</v>
      </c>
      <c r="D41" s="127" t="s">
        <v>26</v>
      </c>
      <c r="E41" s="127" t="s">
        <v>16</v>
      </c>
      <c r="F41" s="130"/>
      <c r="G41" s="130"/>
      <c r="H41" s="130"/>
      <c r="I41" s="130"/>
      <c r="J41" s="130"/>
      <c r="K41" s="130"/>
      <c r="L41" s="130"/>
      <c r="M41" s="130"/>
      <c r="N41" s="130">
        <f>'WRFIM - Dmmy'!$P$86</f>
        <v>0</v>
      </c>
      <c r="O41" s="130"/>
      <c r="P41" s="130"/>
    </row>
    <row r="42" spans="2:16">
      <c r="B42" s="157" t="s">
        <v>420</v>
      </c>
      <c r="C42" s="127" t="str">
        <f>'WRFIM - Dmmy'!$E$87</f>
        <v>Value of Year 5 WRFIM adjustments at the end of AMP6 - dmmy</v>
      </c>
      <c r="D42" s="127" t="s">
        <v>26</v>
      </c>
      <c r="E42" s="127" t="s">
        <v>16</v>
      </c>
      <c r="F42" s="130"/>
      <c r="G42" s="130"/>
      <c r="H42" s="130"/>
      <c r="I42" s="130"/>
      <c r="J42" s="130"/>
      <c r="K42" s="130"/>
      <c r="L42" s="130"/>
      <c r="M42" s="130"/>
      <c r="N42" s="130">
        <f>'WRFIM - Dmmy'!$P$87</f>
        <v>0</v>
      </c>
      <c r="O42" s="130"/>
      <c r="P42" s="130"/>
    </row>
    <row r="43" spans="2:16">
      <c r="B43" s="157" t="s">
        <v>421</v>
      </c>
      <c r="C43" s="127" t="str">
        <f>'WRFIM - Dmmy'!$E$90</f>
        <v>AMP5 RCM adjustment to be applied at PR19 (Outturn price base) - dmmy</v>
      </c>
      <c r="D43" s="127" t="s">
        <v>26</v>
      </c>
      <c r="E43" s="127" t="s">
        <v>16</v>
      </c>
      <c r="F43" s="130"/>
      <c r="G43" s="130"/>
      <c r="H43" s="130"/>
      <c r="I43" s="130"/>
      <c r="J43" s="130"/>
      <c r="K43" s="130"/>
      <c r="L43" s="130"/>
      <c r="M43" s="130"/>
      <c r="N43" s="130">
        <f>'WRFIM - Dmmy'!$P$90</f>
        <v>0</v>
      </c>
      <c r="O43" s="130"/>
      <c r="P43" s="130"/>
    </row>
    <row r="44" spans="2:16">
      <c r="B44" s="157" t="s">
        <v>422</v>
      </c>
      <c r="C44" s="127" t="str">
        <f>'WRFIM - Dmmy'!$E$95</f>
        <v>Total reward / (penalty) at the end of AMP6 - dmmy</v>
      </c>
      <c r="D44" s="127" t="s">
        <v>26</v>
      </c>
      <c r="E44" s="127" t="s">
        <v>16</v>
      </c>
      <c r="F44" s="130"/>
      <c r="G44" s="130"/>
      <c r="H44" s="130"/>
      <c r="I44" s="130"/>
      <c r="J44" s="130"/>
      <c r="K44" s="130"/>
      <c r="L44" s="130"/>
      <c r="M44" s="130"/>
      <c r="N44" s="130">
        <f>'WRFIM - Dmmy'!$P$95</f>
        <v>0</v>
      </c>
      <c r="O44" s="130"/>
      <c r="P44" s="130">
        <f>'WRFIM - Dmmy'!$P$95</f>
        <v>0</v>
      </c>
    </row>
    <row r="45" spans="2:16">
      <c r="B45" s="161" t="s">
        <v>425</v>
      </c>
      <c r="C45" s="161" t="s">
        <v>427</v>
      </c>
      <c r="D45" s="163" t="s">
        <v>129</v>
      </c>
      <c r="E45" s="160" t="s">
        <v>16</v>
      </c>
      <c r="F45" s="159">
        <v>43356.725795254628</v>
      </c>
      <c r="G45" s="159">
        <v>43356.725795254628</v>
      </c>
      <c r="H45" s="159">
        <v>43356.725795254628</v>
      </c>
      <c r="I45" s="159">
        <v>43356.725795254628</v>
      </c>
      <c r="J45" s="159">
        <v>43356.725795254628</v>
      </c>
      <c r="K45" s="159">
        <v>43356.725795254628</v>
      </c>
      <c r="L45" s="159">
        <v>43356.725795254628</v>
      </c>
      <c r="M45" s="159">
        <v>43356.725795254628</v>
      </c>
      <c r="N45" s="159">
        <v>43356.725795254628</v>
      </c>
      <c r="O45" s="159">
        <v>43356.725795254628</v>
      </c>
      <c r="P45" s="159">
        <v>43356.725795254628</v>
      </c>
    </row>
    <row r="46" spans="2:16">
      <c r="B46" s="161" t="s">
        <v>426</v>
      </c>
      <c r="C46" s="161" t="s">
        <v>428</v>
      </c>
      <c r="D46" s="163" t="s">
        <v>129</v>
      </c>
      <c r="E46" s="160" t="s">
        <v>16</v>
      </c>
      <c r="F46" s="162" t="s">
        <v>424</v>
      </c>
      <c r="G46" s="162" t="s">
        <v>424</v>
      </c>
      <c r="H46" s="162" t="s">
        <v>424</v>
      </c>
      <c r="I46" s="162" t="s">
        <v>424</v>
      </c>
      <c r="J46" s="162" t="s">
        <v>424</v>
      </c>
      <c r="K46" s="162" t="s">
        <v>424</v>
      </c>
      <c r="L46" s="162" t="s">
        <v>424</v>
      </c>
      <c r="M46" s="162" t="s">
        <v>424</v>
      </c>
      <c r="N46" s="162" t="s">
        <v>424</v>
      </c>
      <c r="O46" s="162" t="s">
        <v>424</v>
      </c>
      <c r="P46" s="162" t="s">
        <v>424</v>
      </c>
    </row>
  </sheetData>
  <sheetProtection sort="0"/>
  <pageMargins left="0.70866141732283472" right="0.70866141732283472" top="0.74803149606299213" bottom="0.74803149606299213" header="0.31496062992125984" footer="0.31496062992125984"/>
  <pageSetup paperSize="9" scale="69" fitToHeight="0" orientation="landscape" r:id="rId1"/>
  <headerFooter>
    <oddHeader xml:space="preserve">&amp;L&amp;F&amp;CSheet: &amp;A&amp;ROFFICIAL
</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9"/>
  <sheetViews>
    <sheetView showGridLines="0" zoomScale="80" zoomScaleNormal="80" workbookViewId="0">
      <pane xSplit="1" ySplit="3" topLeftCell="B4" activePane="bottomRight" state="frozen"/>
      <selection activeCell="H4" sqref="H4"/>
      <selection pane="topRight" activeCell="H4" sqref="H4"/>
      <selection pane="bottomLeft" activeCell="H4" sqref="H4"/>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05" t="s">
        <v>56</v>
      </c>
      <c r="B1" s="105"/>
      <c r="C1" s="105"/>
      <c r="D1" s="105"/>
      <c r="E1" s="105"/>
      <c r="F1" s="105"/>
    </row>
    <row r="2" spans="1:6">
      <c r="A2" s="11"/>
      <c r="B2" s="11"/>
      <c r="C2" s="81"/>
      <c r="D2" s="81"/>
      <c r="E2" s="81"/>
      <c r="F2" s="81"/>
    </row>
    <row r="3" spans="1:6" ht="15">
      <c r="A3" s="11"/>
      <c r="B3" s="80" t="s">
        <v>57</v>
      </c>
      <c r="C3" s="80" t="s">
        <v>58</v>
      </c>
      <c r="D3" s="80" t="s">
        <v>59</v>
      </c>
      <c r="E3" s="80" t="s">
        <v>60</v>
      </c>
      <c r="F3" s="80" t="s">
        <v>61</v>
      </c>
    </row>
    <row r="4" spans="1:6">
      <c r="A4" s="11"/>
      <c r="B4" s="11"/>
      <c r="C4" s="81"/>
      <c r="D4" s="81"/>
      <c r="E4" s="81"/>
      <c r="F4" s="81"/>
    </row>
    <row r="5" spans="1:6" ht="129.75" customHeight="1">
      <c r="A5" s="11"/>
      <c r="B5" s="191">
        <v>1</v>
      </c>
      <c r="C5" s="192" t="s">
        <v>62</v>
      </c>
      <c r="D5" s="192" t="s">
        <v>63</v>
      </c>
      <c r="E5" s="192" t="s">
        <v>64</v>
      </c>
      <c r="F5" s="193" t="s">
        <v>65</v>
      </c>
    </row>
    <row r="6" spans="1:6" ht="124.5" customHeight="1">
      <c r="A6" s="11"/>
      <c r="B6" s="77">
        <v>2</v>
      </c>
      <c r="C6" s="75" t="s">
        <v>66</v>
      </c>
      <c r="D6" s="75" t="s">
        <v>67</v>
      </c>
      <c r="E6" s="75" t="s">
        <v>64</v>
      </c>
      <c r="F6" s="78" t="s">
        <v>68</v>
      </c>
    </row>
    <row r="7" spans="1:6" ht="72.75" customHeight="1">
      <c r="A7" s="11"/>
      <c r="B7" s="77">
        <v>3</v>
      </c>
      <c r="C7" s="75" t="s">
        <v>69</v>
      </c>
      <c r="D7" s="75" t="s">
        <v>70</v>
      </c>
      <c r="E7" s="75" t="s">
        <v>64</v>
      </c>
      <c r="F7" s="79" t="s">
        <v>71</v>
      </c>
    </row>
    <row r="8" spans="1:6" ht="108.75" customHeight="1">
      <c r="A8" s="11"/>
      <c r="B8" s="77">
        <v>4</v>
      </c>
      <c r="C8" s="76" t="s">
        <v>72</v>
      </c>
      <c r="D8" s="75" t="s">
        <v>73</v>
      </c>
      <c r="E8" s="75" t="s">
        <v>64</v>
      </c>
      <c r="F8" s="79" t="s">
        <v>71</v>
      </c>
    </row>
    <row r="9" spans="1:6" ht="25.5">
      <c r="A9" s="11"/>
      <c r="B9" s="191">
        <v>5</v>
      </c>
      <c r="C9" s="192" t="s">
        <v>74</v>
      </c>
      <c r="D9" s="194" t="s">
        <v>75</v>
      </c>
      <c r="E9" s="194" t="s">
        <v>76</v>
      </c>
      <c r="F9" s="193" t="s">
        <v>77</v>
      </c>
    </row>
    <row r="10" spans="1:6" ht="25.5">
      <c r="A10" s="11"/>
      <c r="B10" s="191">
        <v>6</v>
      </c>
      <c r="C10" s="192" t="s">
        <v>78</v>
      </c>
      <c r="D10" s="194" t="s">
        <v>79</v>
      </c>
      <c r="E10" s="194" t="s">
        <v>80</v>
      </c>
      <c r="F10" s="195" t="s">
        <v>81</v>
      </c>
    </row>
    <row r="11" spans="1:6" s="82" customFormat="1" ht="25.5">
      <c r="A11" s="11"/>
      <c r="B11" s="191">
        <v>7</v>
      </c>
      <c r="C11" s="194" t="s">
        <v>82</v>
      </c>
      <c r="D11" s="194" t="s">
        <v>83</v>
      </c>
      <c r="E11" s="192" t="s">
        <v>84</v>
      </c>
      <c r="F11" s="194" t="s">
        <v>85</v>
      </c>
    </row>
    <row r="12" spans="1:6" ht="63.75">
      <c r="A12" s="11"/>
      <c r="B12" s="194">
        <v>8</v>
      </c>
      <c r="C12" s="192" t="s">
        <v>86</v>
      </c>
      <c r="D12" s="192" t="s">
        <v>87</v>
      </c>
      <c r="E12" s="192" t="s">
        <v>88</v>
      </c>
      <c r="F12" s="192" t="s">
        <v>89</v>
      </c>
    </row>
    <row r="13" spans="1:6" ht="25.5">
      <c r="A13" s="11"/>
      <c r="B13" s="194">
        <v>9</v>
      </c>
      <c r="C13" s="192" t="s">
        <v>90</v>
      </c>
      <c r="D13" s="192" t="s">
        <v>91</v>
      </c>
      <c r="E13" s="192" t="s">
        <v>84</v>
      </c>
      <c r="F13" s="192" t="s">
        <v>92</v>
      </c>
    </row>
    <row r="14" spans="1:6" ht="38.25">
      <c r="A14" s="11"/>
      <c r="B14" s="194">
        <v>10</v>
      </c>
      <c r="C14" s="192" t="s">
        <v>93</v>
      </c>
      <c r="D14" s="192" t="s">
        <v>94</v>
      </c>
      <c r="E14" s="192" t="s">
        <v>84</v>
      </c>
      <c r="F14" s="192" t="s">
        <v>95</v>
      </c>
    </row>
    <row r="15" spans="1:6" ht="38.25">
      <c r="A15" s="104"/>
      <c r="B15" s="194">
        <v>11</v>
      </c>
      <c r="C15" s="192" t="s">
        <v>96</v>
      </c>
      <c r="D15" s="192" t="s">
        <v>97</v>
      </c>
      <c r="E15" s="192" t="s">
        <v>98</v>
      </c>
      <c r="F15" s="192" t="s">
        <v>99</v>
      </c>
    </row>
    <row r="16" spans="1:6">
      <c r="A16" s="201">
        <v>43070</v>
      </c>
      <c r="B16" s="197">
        <v>12</v>
      </c>
      <c r="C16" s="198" t="s">
        <v>100</v>
      </c>
      <c r="D16" s="198" t="s">
        <v>101</v>
      </c>
      <c r="E16" s="197" t="s">
        <v>102</v>
      </c>
      <c r="F16" s="197" t="s">
        <v>103</v>
      </c>
    </row>
    <row r="17" spans="1:6">
      <c r="A17" s="201">
        <v>43070</v>
      </c>
      <c r="B17" s="197">
        <v>13</v>
      </c>
      <c r="C17" s="198" t="s">
        <v>104</v>
      </c>
      <c r="D17" s="198" t="s">
        <v>105</v>
      </c>
      <c r="E17" s="197" t="s">
        <v>102</v>
      </c>
      <c r="F17" s="197" t="s">
        <v>106</v>
      </c>
    </row>
    <row r="18" spans="1:6" ht="25.5">
      <c r="A18" s="201">
        <v>43070</v>
      </c>
      <c r="B18" s="197">
        <v>14</v>
      </c>
      <c r="C18" s="198" t="s">
        <v>107</v>
      </c>
      <c r="D18" s="198" t="s">
        <v>108</v>
      </c>
      <c r="E18" s="197" t="s">
        <v>102</v>
      </c>
      <c r="F18" s="198" t="s">
        <v>109</v>
      </c>
    </row>
    <row r="19" spans="1:6" ht="25.5">
      <c r="A19" s="201">
        <v>43070</v>
      </c>
      <c r="B19" s="197">
        <v>15</v>
      </c>
      <c r="C19" s="198" t="s">
        <v>110</v>
      </c>
      <c r="D19" s="198" t="s">
        <v>111</v>
      </c>
      <c r="E19" s="197" t="s">
        <v>80</v>
      </c>
      <c r="F19" s="198" t="s">
        <v>112</v>
      </c>
    </row>
    <row r="20" spans="1:6" ht="76.900000000000006" customHeight="1">
      <c r="A20" s="201">
        <v>43070</v>
      </c>
      <c r="B20" s="197">
        <v>16</v>
      </c>
      <c r="C20" s="198" t="s">
        <v>113</v>
      </c>
      <c r="D20" s="198" t="s">
        <v>114</v>
      </c>
      <c r="E20" s="198" t="s">
        <v>115</v>
      </c>
      <c r="F20" s="198" t="s">
        <v>116</v>
      </c>
    </row>
    <row r="21" spans="1:6" ht="63.75">
      <c r="A21" s="201">
        <v>43252</v>
      </c>
      <c r="B21" s="199">
        <v>17</v>
      </c>
      <c r="C21" s="200" t="s">
        <v>117</v>
      </c>
      <c r="D21" s="200" t="s">
        <v>118</v>
      </c>
      <c r="E21" s="200" t="s">
        <v>84</v>
      </c>
      <c r="F21" s="200" t="s">
        <v>548</v>
      </c>
    </row>
    <row r="22" spans="1:6" ht="89.25">
      <c r="A22" s="104">
        <v>43313</v>
      </c>
      <c r="B22" s="132">
        <v>18</v>
      </c>
      <c r="C22" s="133" t="s">
        <v>119</v>
      </c>
      <c r="D22" s="133" t="s">
        <v>120</v>
      </c>
      <c r="E22" s="133" t="s">
        <v>121</v>
      </c>
      <c r="F22" s="133" t="s">
        <v>539</v>
      </c>
    </row>
    <row r="23" spans="1:6" ht="25.5">
      <c r="A23" s="104">
        <v>43313</v>
      </c>
      <c r="B23" s="99">
        <v>19</v>
      </c>
      <c r="C23" s="98" t="s">
        <v>554</v>
      </c>
      <c r="D23" s="98" t="s">
        <v>122</v>
      </c>
      <c r="E23" s="98" t="s">
        <v>123</v>
      </c>
      <c r="F23" s="98"/>
    </row>
    <row r="24" spans="1:6" ht="77.25" customHeight="1">
      <c r="A24" s="104">
        <v>43405</v>
      </c>
      <c r="B24" s="167">
        <v>20</v>
      </c>
      <c r="C24" s="168" t="s">
        <v>534</v>
      </c>
      <c r="D24" s="168" t="s">
        <v>555</v>
      </c>
      <c r="E24" s="168" t="s">
        <v>115</v>
      </c>
      <c r="F24" s="168" t="s">
        <v>549</v>
      </c>
    </row>
    <row r="25" spans="1:6">
      <c r="A25" s="11"/>
      <c r="B25" s="11"/>
      <c r="C25" s="81"/>
      <c r="D25" s="81"/>
      <c r="E25" s="81"/>
      <c r="F25" s="81"/>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row r="38" spans="1:6">
      <c r="A38" s="11"/>
      <c r="B38" s="11"/>
      <c r="C38" s="81"/>
      <c r="D38" s="81"/>
      <c r="E38" s="81"/>
      <c r="F38" s="81"/>
    </row>
    <row r="39" spans="1:6">
      <c r="A39" s="11"/>
      <c r="B39" s="11"/>
      <c r="C39" s="81"/>
      <c r="D39" s="81"/>
      <c r="E39" s="81"/>
      <c r="F39" s="81"/>
    </row>
  </sheetData>
  <pageMargins left="0.70866141732283472" right="0.70866141732283472" top="0.74803149606299213" bottom="0.74803149606299213" header="0.31496062992125984" footer="0.31496062992125984"/>
  <pageSetup paperSize="9" scale="89" fitToHeight="0" orientation="landscape" r:id="rId1"/>
  <headerFooter>
    <oddHeader xml:space="preserve">&amp;L&amp;F&amp;CSheet: &amp;A&amp;ROFFICIAL
</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75" zoomScaleNormal="75" workbookViewId="0">
      <selection activeCell="H4" sqref="H4"/>
    </sheetView>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&amp;L&amp;F&amp;CSheet: &amp;A&amp;ROFFICIAL
</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O88"/>
  <sheetViews>
    <sheetView workbookViewId="0">
      <selection activeCell="H4" sqref="H4"/>
    </sheetView>
  </sheetViews>
  <sheetFormatPr defaultColWidth="9.73046875" defaultRowHeight="12.75"/>
  <cols>
    <col min="1" max="1" width="4.86328125" customWidth="1"/>
    <col min="2" max="2" width="20.265625" bestFit="1" customWidth="1"/>
    <col min="3" max="3" width="34.59765625" customWidth="1"/>
    <col min="4" max="4" width="2.86328125" customWidth="1"/>
    <col min="5" max="5" width="16.265625" customWidth="1"/>
    <col min="6" max="15" width="7.59765625" customWidth="1"/>
    <col min="16" max="16" width="10.73046875" customWidth="1"/>
  </cols>
  <sheetData>
    <row r="1" spans="1:15">
      <c r="A1" t="s">
        <v>550</v>
      </c>
    </row>
    <row r="2" spans="1:15">
      <c r="A2" s="164" t="s">
        <v>552</v>
      </c>
    </row>
    <row r="3" spans="1:15">
      <c r="F3" t="s">
        <v>5</v>
      </c>
      <c r="G3" t="s">
        <v>6</v>
      </c>
      <c r="H3" t="s">
        <v>7</v>
      </c>
      <c r="I3" t="s">
        <v>8</v>
      </c>
      <c r="J3" t="s">
        <v>9</v>
      </c>
      <c r="K3" t="s">
        <v>10</v>
      </c>
      <c r="L3" t="s">
        <v>11</v>
      </c>
      <c r="M3" t="s">
        <v>12</v>
      </c>
      <c r="N3" t="s">
        <v>13</v>
      </c>
      <c r="O3" t="s">
        <v>14</v>
      </c>
    </row>
    <row r="4" spans="1:15">
      <c r="B4" t="s">
        <v>430</v>
      </c>
      <c r="C4" t="s">
        <v>431</v>
      </c>
      <c r="D4" t="s">
        <v>15</v>
      </c>
      <c r="E4" t="s">
        <v>16</v>
      </c>
      <c r="F4" s="139"/>
      <c r="G4" s="139"/>
      <c r="H4" s="139"/>
      <c r="I4" s="139"/>
      <c r="J4" s="139"/>
      <c r="K4" s="139"/>
      <c r="L4" s="139"/>
      <c r="M4" s="139"/>
      <c r="N4" s="139"/>
      <c r="O4" s="139"/>
    </row>
    <row r="5" spans="1:15">
      <c r="B5" t="s">
        <v>17</v>
      </c>
      <c r="C5" t="s">
        <v>432</v>
      </c>
      <c r="D5" t="s">
        <v>18</v>
      </c>
      <c r="E5" t="s">
        <v>16</v>
      </c>
      <c r="F5" s="139"/>
      <c r="G5" s="139"/>
      <c r="H5" s="139"/>
      <c r="I5" s="139"/>
      <c r="J5" s="139"/>
      <c r="K5" s="139"/>
      <c r="L5" s="139"/>
      <c r="M5" s="139"/>
      <c r="N5" s="139"/>
      <c r="O5" s="139"/>
    </row>
    <row r="6" spans="1:15">
      <c r="B6" t="s">
        <v>19</v>
      </c>
      <c r="C6" t="s">
        <v>433</v>
      </c>
      <c r="D6" t="s">
        <v>20</v>
      </c>
      <c r="E6" t="s">
        <v>16</v>
      </c>
      <c r="F6" s="140"/>
      <c r="G6" s="140"/>
      <c r="H6" s="140"/>
      <c r="I6" s="140"/>
      <c r="J6" s="140"/>
      <c r="K6" s="140"/>
      <c r="L6" s="140"/>
      <c r="M6" s="140"/>
      <c r="N6" s="140"/>
      <c r="O6" s="140"/>
    </row>
    <row r="7" spans="1:15">
      <c r="B7" t="s">
        <v>21</v>
      </c>
      <c r="C7" t="s">
        <v>434</v>
      </c>
      <c r="D7" t="s">
        <v>20</v>
      </c>
      <c r="E7" t="s">
        <v>16</v>
      </c>
      <c r="F7" s="140"/>
      <c r="G7" s="140"/>
      <c r="H7" s="140"/>
      <c r="I7" s="140"/>
      <c r="J7" s="140"/>
      <c r="K7" s="140"/>
      <c r="L7" s="140"/>
      <c r="M7" s="140"/>
      <c r="N7" s="140"/>
      <c r="O7" s="140"/>
    </row>
    <row r="8" spans="1:15">
      <c r="B8" t="s">
        <v>22</v>
      </c>
      <c r="C8" t="s">
        <v>435</v>
      </c>
      <c r="D8" t="s">
        <v>20</v>
      </c>
      <c r="E8" t="s">
        <v>16</v>
      </c>
      <c r="F8" s="140"/>
      <c r="G8" s="140"/>
      <c r="H8" s="140"/>
      <c r="I8" s="140"/>
      <c r="J8" s="140"/>
      <c r="K8" s="140"/>
      <c r="L8" s="140"/>
      <c r="M8" s="140"/>
      <c r="N8" s="140"/>
      <c r="O8" s="140"/>
    </row>
    <row r="9" spans="1:15">
      <c r="B9" t="s">
        <v>23</v>
      </c>
      <c r="C9" t="s">
        <v>436</v>
      </c>
      <c r="D9" t="s">
        <v>20</v>
      </c>
      <c r="E9" t="s">
        <v>16</v>
      </c>
      <c r="F9" s="140"/>
      <c r="G9" s="140"/>
      <c r="H9" s="140"/>
      <c r="I9" s="140"/>
      <c r="J9" s="140"/>
      <c r="K9" s="140"/>
      <c r="L9" s="140"/>
      <c r="M9" s="140"/>
      <c r="N9" s="140"/>
      <c r="O9" s="196"/>
    </row>
    <row r="10" spans="1:15">
      <c r="B10" t="s">
        <v>437</v>
      </c>
      <c r="C10" t="s">
        <v>436</v>
      </c>
      <c r="D10" t="s">
        <v>20</v>
      </c>
      <c r="E10" t="s">
        <v>16</v>
      </c>
      <c r="F10" s="140"/>
      <c r="G10" s="140"/>
      <c r="H10" s="140"/>
      <c r="I10" s="140"/>
      <c r="J10" s="140"/>
      <c r="K10" s="140"/>
      <c r="L10" s="140"/>
      <c r="M10" s="140"/>
      <c r="N10" s="140"/>
      <c r="O10" s="196"/>
    </row>
    <row r="11" spans="1:15">
      <c r="B11" t="s">
        <v>438</v>
      </c>
      <c r="C11" t="s">
        <v>436</v>
      </c>
      <c r="D11" t="s">
        <v>20</v>
      </c>
      <c r="E11" t="s">
        <v>16</v>
      </c>
      <c r="F11" s="140"/>
      <c r="G11" s="140"/>
      <c r="H11" s="140"/>
      <c r="I11" s="140"/>
      <c r="J11" s="140"/>
      <c r="K11" s="140"/>
      <c r="L11" s="140"/>
      <c r="M11" s="140"/>
      <c r="N11" s="140"/>
      <c r="O11" s="140"/>
    </row>
    <row r="12" spans="1:15">
      <c r="B12" t="s">
        <v>24</v>
      </c>
      <c r="C12" t="s">
        <v>439</v>
      </c>
      <c r="D12" t="s">
        <v>20</v>
      </c>
      <c r="E12" t="s">
        <v>16</v>
      </c>
      <c r="F12" s="140"/>
      <c r="G12" s="140"/>
      <c r="H12" s="140"/>
      <c r="I12" s="140"/>
      <c r="J12" s="140"/>
      <c r="K12" s="140"/>
      <c r="L12" s="140"/>
      <c r="M12" s="140"/>
      <c r="N12" s="140"/>
      <c r="O12" s="140"/>
    </row>
    <row r="13" spans="1:15">
      <c r="B13" t="s">
        <v>25</v>
      </c>
      <c r="C13" t="s">
        <v>440</v>
      </c>
      <c r="D13" t="s">
        <v>26</v>
      </c>
      <c r="E13" t="s">
        <v>16</v>
      </c>
      <c r="F13" s="141"/>
      <c r="G13" s="141"/>
      <c r="H13" s="141"/>
      <c r="I13" s="141"/>
      <c r="J13" s="141"/>
      <c r="K13" s="141"/>
      <c r="L13" s="141"/>
      <c r="M13" s="141"/>
      <c r="N13" s="141"/>
      <c r="O13" s="141"/>
    </row>
    <row r="14" spans="1:15">
      <c r="B14" t="s">
        <v>27</v>
      </c>
      <c r="C14" t="s">
        <v>441</v>
      </c>
      <c r="D14" t="s">
        <v>26</v>
      </c>
      <c r="E14" t="s">
        <v>16</v>
      </c>
      <c r="F14" s="141"/>
      <c r="G14" s="141"/>
      <c r="H14" s="141"/>
      <c r="I14" s="141"/>
      <c r="J14" s="141"/>
      <c r="K14" s="141"/>
      <c r="L14" s="141"/>
      <c r="M14" s="141"/>
      <c r="N14" s="141"/>
      <c r="O14" s="141"/>
    </row>
    <row r="15" spans="1:15">
      <c r="B15" t="s">
        <v>28</v>
      </c>
      <c r="C15" t="s">
        <v>441</v>
      </c>
      <c r="D15" t="s">
        <v>26</v>
      </c>
      <c r="E15" t="s">
        <v>16</v>
      </c>
      <c r="F15" s="141"/>
      <c r="G15" s="141"/>
      <c r="H15" s="141"/>
      <c r="I15" s="141"/>
      <c r="J15" s="141"/>
      <c r="K15" s="141"/>
      <c r="L15" s="141"/>
      <c r="M15" s="141"/>
      <c r="N15" s="141"/>
      <c r="O15" s="141"/>
    </row>
    <row r="16" spans="1:15">
      <c r="B16" t="s">
        <v>29</v>
      </c>
      <c r="C16" t="s">
        <v>442</v>
      </c>
      <c r="D16" t="s">
        <v>443</v>
      </c>
      <c r="E16" t="s">
        <v>16</v>
      </c>
      <c r="F16" s="142"/>
      <c r="G16" s="142"/>
      <c r="H16" s="142"/>
      <c r="I16" s="142"/>
      <c r="J16" s="142"/>
      <c r="K16" s="142"/>
      <c r="L16" s="142"/>
      <c r="M16" s="142"/>
      <c r="N16" s="142"/>
      <c r="O16" s="142"/>
    </row>
    <row r="17" spans="2:15">
      <c r="B17" t="s">
        <v>30</v>
      </c>
      <c r="C17" t="s">
        <v>444</v>
      </c>
      <c r="D17" t="s">
        <v>443</v>
      </c>
      <c r="E17" t="s">
        <v>16</v>
      </c>
      <c r="F17" s="142"/>
      <c r="G17" s="142"/>
      <c r="H17" s="142"/>
      <c r="I17" s="142"/>
      <c r="J17" s="142"/>
      <c r="K17" s="142"/>
      <c r="L17" s="142"/>
      <c r="M17" s="142"/>
      <c r="N17" s="142"/>
      <c r="O17" s="142"/>
    </row>
    <row r="18" spans="2:15">
      <c r="B18" t="s">
        <v>31</v>
      </c>
      <c r="C18" t="s">
        <v>444</v>
      </c>
      <c r="D18" t="s">
        <v>443</v>
      </c>
      <c r="E18" t="s">
        <v>16</v>
      </c>
      <c r="F18" s="142"/>
      <c r="G18" s="142"/>
      <c r="H18" s="142"/>
      <c r="I18" s="142"/>
      <c r="J18" s="142"/>
      <c r="K18" s="142"/>
      <c r="L18" s="142"/>
      <c r="M18" s="142"/>
      <c r="N18" s="142"/>
      <c r="O18" s="142"/>
    </row>
    <row r="19" spans="2:15">
      <c r="B19" t="s">
        <v>445</v>
      </c>
      <c r="C19" t="s">
        <v>446</v>
      </c>
      <c r="D19" t="s">
        <v>26</v>
      </c>
      <c r="E19" t="s">
        <v>16</v>
      </c>
      <c r="F19" s="141"/>
      <c r="G19" s="141"/>
      <c r="H19" s="141"/>
      <c r="I19" s="141"/>
      <c r="J19" s="141"/>
      <c r="K19" s="141"/>
      <c r="L19" s="141"/>
      <c r="M19" s="141"/>
      <c r="N19" s="141"/>
      <c r="O19" s="141"/>
    </row>
    <row r="20" spans="2:15">
      <c r="B20" t="s">
        <v>447</v>
      </c>
      <c r="C20" t="s">
        <v>448</v>
      </c>
      <c r="D20" t="s">
        <v>26</v>
      </c>
      <c r="E20" t="s">
        <v>16</v>
      </c>
      <c r="F20" s="141"/>
      <c r="G20" s="141"/>
      <c r="H20" s="141"/>
      <c r="I20" s="141"/>
      <c r="J20" s="141"/>
      <c r="K20" s="141"/>
      <c r="L20" s="141"/>
      <c r="M20" s="141"/>
      <c r="N20" s="141"/>
      <c r="O20" s="141"/>
    </row>
    <row r="21" spans="2:15">
      <c r="B21" t="s">
        <v>449</v>
      </c>
      <c r="C21" t="s">
        <v>448</v>
      </c>
      <c r="D21" t="s">
        <v>26</v>
      </c>
      <c r="E21" t="s">
        <v>16</v>
      </c>
      <c r="F21" s="141"/>
      <c r="G21" s="141"/>
      <c r="H21" s="141"/>
      <c r="I21" s="141"/>
      <c r="J21" s="141"/>
      <c r="K21" s="141"/>
      <c r="L21" s="141"/>
      <c r="M21" s="141"/>
      <c r="N21" s="141"/>
      <c r="O21" s="141"/>
    </row>
    <row r="22" spans="2:15">
      <c r="B22" t="s">
        <v>32</v>
      </c>
      <c r="C22" t="s">
        <v>450</v>
      </c>
      <c r="D22" t="s">
        <v>26</v>
      </c>
      <c r="E22" t="s">
        <v>16</v>
      </c>
      <c r="F22" s="141"/>
      <c r="G22" s="141"/>
      <c r="H22" s="141"/>
      <c r="I22" s="141"/>
      <c r="J22" s="141"/>
      <c r="K22" s="141"/>
      <c r="L22" s="141"/>
      <c r="M22" s="141"/>
      <c r="N22" s="141"/>
      <c r="O22" s="141"/>
    </row>
    <row r="23" spans="2:15">
      <c r="B23" t="s">
        <v>33</v>
      </c>
      <c r="C23" t="s">
        <v>451</v>
      </c>
      <c r="D23" t="s">
        <v>26</v>
      </c>
      <c r="E23" t="s">
        <v>16</v>
      </c>
      <c r="F23" s="141"/>
      <c r="G23" s="141"/>
      <c r="H23" s="141"/>
      <c r="I23" s="141"/>
      <c r="J23" s="141"/>
      <c r="K23" s="141"/>
      <c r="L23" s="141"/>
      <c r="M23" s="141"/>
      <c r="N23" s="141"/>
      <c r="O23" s="141"/>
    </row>
    <row r="24" spans="2:15">
      <c r="B24" t="s">
        <v>34</v>
      </c>
      <c r="C24" t="s">
        <v>452</v>
      </c>
      <c r="D24" t="s">
        <v>20</v>
      </c>
      <c r="E24" t="s">
        <v>16</v>
      </c>
      <c r="F24" s="140"/>
      <c r="G24" s="140"/>
      <c r="H24" s="140"/>
      <c r="I24" s="140"/>
      <c r="J24" s="140"/>
      <c r="K24" s="140"/>
      <c r="L24" s="140"/>
      <c r="M24" s="140"/>
      <c r="N24" s="140"/>
      <c r="O24" s="140"/>
    </row>
    <row r="25" spans="2:15">
      <c r="B25" t="s">
        <v>35</v>
      </c>
      <c r="C25" t="s">
        <v>453</v>
      </c>
      <c r="D25" t="s">
        <v>20</v>
      </c>
      <c r="E25" t="s">
        <v>16</v>
      </c>
      <c r="F25" s="140"/>
      <c r="G25" s="140"/>
      <c r="H25" s="140"/>
      <c r="I25" s="140"/>
      <c r="J25" s="140"/>
      <c r="K25" s="140"/>
      <c r="L25" s="140"/>
      <c r="M25" s="140"/>
      <c r="N25" s="140"/>
      <c r="O25" s="140"/>
    </row>
    <row r="26" spans="2:15">
      <c r="B26" t="s">
        <v>454</v>
      </c>
      <c r="C26" t="s">
        <v>455</v>
      </c>
      <c r="D26" t="s">
        <v>26</v>
      </c>
      <c r="E26" t="s">
        <v>16</v>
      </c>
      <c r="F26" s="141"/>
      <c r="G26" s="141"/>
      <c r="H26" s="141"/>
      <c r="I26" s="141"/>
      <c r="J26" s="141"/>
      <c r="K26" s="141"/>
      <c r="L26" s="141"/>
      <c r="M26" s="141"/>
      <c r="N26" s="141"/>
      <c r="O26" s="141"/>
    </row>
    <row r="27" spans="2:15">
      <c r="B27" t="s">
        <v>456</v>
      </c>
      <c r="C27" t="s">
        <v>457</v>
      </c>
      <c r="D27" t="s">
        <v>26</v>
      </c>
      <c r="E27" t="s">
        <v>16</v>
      </c>
      <c r="F27" s="141"/>
      <c r="G27" s="141"/>
      <c r="H27" s="141"/>
      <c r="I27" s="141"/>
      <c r="J27" s="141"/>
      <c r="K27" s="141"/>
      <c r="L27" s="141"/>
      <c r="M27" s="141"/>
      <c r="N27" s="141"/>
      <c r="O27" s="141"/>
    </row>
    <row r="28" spans="2:15">
      <c r="B28" t="s">
        <v>458</v>
      </c>
      <c r="C28" t="s">
        <v>459</v>
      </c>
      <c r="D28" t="s">
        <v>26</v>
      </c>
      <c r="E28" t="s">
        <v>16</v>
      </c>
      <c r="F28" s="141"/>
      <c r="G28" s="141"/>
      <c r="H28" s="141"/>
      <c r="I28" s="141"/>
      <c r="J28" s="141"/>
      <c r="K28" s="141"/>
      <c r="L28" s="141"/>
      <c r="M28" s="141"/>
      <c r="N28" s="141"/>
      <c r="O28" s="141"/>
    </row>
    <row r="29" spans="2:15">
      <c r="B29" t="s">
        <v>460</v>
      </c>
      <c r="C29" t="s">
        <v>461</v>
      </c>
      <c r="D29" t="s">
        <v>26</v>
      </c>
      <c r="E29" t="s">
        <v>16</v>
      </c>
      <c r="F29" s="141"/>
      <c r="G29" s="141"/>
      <c r="H29" s="141"/>
      <c r="I29" s="141"/>
      <c r="J29" s="141"/>
      <c r="K29" s="141"/>
      <c r="L29" s="141"/>
      <c r="M29" s="141"/>
      <c r="N29" s="141"/>
      <c r="O29" s="141"/>
    </row>
    <row r="30" spans="2:15">
      <c r="B30" t="s">
        <v>462</v>
      </c>
      <c r="C30" t="s">
        <v>463</v>
      </c>
      <c r="D30" t="s">
        <v>26</v>
      </c>
      <c r="E30" t="s">
        <v>16</v>
      </c>
      <c r="F30" s="141"/>
      <c r="G30" s="141"/>
      <c r="H30" s="141"/>
      <c r="I30" s="141"/>
      <c r="J30" s="141"/>
      <c r="K30" s="141"/>
      <c r="L30" s="141"/>
      <c r="M30" s="141"/>
      <c r="N30" s="141"/>
      <c r="O30" s="141"/>
    </row>
    <row r="31" spans="2:15">
      <c r="B31" t="s">
        <v>464</v>
      </c>
      <c r="C31" t="s">
        <v>465</v>
      </c>
      <c r="D31" t="s">
        <v>26</v>
      </c>
      <c r="E31" t="s">
        <v>16</v>
      </c>
      <c r="F31" s="141"/>
      <c r="G31" s="141"/>
      <c r="H31" s="141"/>
      <c r="I31" s="141"/>
      <c r="J31" s="141"/>
      <c r="K31" s="141"/>
      <c r="L31" s="141"/>
      <c r="M31" s="141"/>
      <c r="N31" s="141"/>
      <c r="O31" s="141"/>
    </row>
    <row r="32" spans="2:15">
      <c r="B32" t="s">
        <v>466</v>
      </c>
      <c r="C32" t="s">
        <v>467</v>
      </c>
      <c r="D32" t="s">
        <v>26</v>
      </c>
      <c r="E32" t="s">
        <v>16</v>
      </c>
      <c r="F32" s="141"/>
      <c r="G32" s="141"/>
      <c r="H32" s="141"/>
      <c r="I32" s="141"/>
      <c r="J32" s="141"/>
      <c r="K32" s="141"/>
      <c r="L32" s="141"/>
      <c r="M32" s="141"/>
      <c r="N32" s="141"/>
      <c r="O32" s="141"/>
    </row>
    <row r="33" spans="2:15">
      <c r="B33" t="s">
        <v>468</v>
      </c>
      <c r="C33" t="s">
        <v>469</v>
      </c>
      <c r="D33" t="s">
        <v>26</v>
      </c>
      <c r="E33" t="s">
        <v>16</v>
      </c>
      <c r="F33" s="141"/>
      <c r="G33" s="141"/>
      <c r="H33" s="141"/>
      <c r="I33" s="141"/>
      <c r="J33" s="141"/>
      <c r="K33" s="141"/>
      <c r="L33" s="141"/>
      <c r="M33" s="141"/>
      <c r="N33" s="141"/>
      <c r="O33" s="141"/>
    </row>
    <row r="34" spans="2:15">
      <c r="B34" t="s">
        <v>470</v>
      </c>
      <c r="C34" t="s">
        <v>471</v>
      </c>
      <c r="D34" t="s">
        <v>26</v>
      </c>
      <c r="E34" t="s">
        <v>16</v>
      </c>
      <c r="F34" s="141"/>
      <c r="G34" s="141"/>
      <c r="H34" s="141"/>
      <c r="I34" s="141"/>
      <c r="J34" s="141"/>
      <c r="K34" s="141"/>
      <c r="L34" s="141"/>
      <c r="M34" s="141"/>
      <c r="N34" s="141"/>
      <c r="O34" s="141"/>
    </row>
    <row r="35" spans="2:15">
      <c r="B35" t="s">
        <v>472</v>
      </c>
      <c r="C35" t="s">
        <v>473</v>
      </c>
      <c r="D35" t="s">
        <v>26</v>
      </c>
      <c r="E35" t="s">
        <v>16</v>
      </c>
      <c r="F35" s="141"/>
      <c r="G35" s="141"/>
      <c r="H35" s="141"/>
      <c r="I35" s="141"/>
      <c r="J35" s="141"/>
      <c r="K35" s="141"/>
      <c r="L35" s="141"/>
      <c r="M35" s="141"/>
      <c r="N35" s="141"/>
      <c r="O35" s="141"/>
    </row>
    <row r="36" spans="2:15">
      <c r="B36" t="s">
        <v>474</v>
      </c>
      <c r="C36" t="s">
        <v>475</v>
      </c>
      <c r="D36" t="s">
        <v>26</v>
      </c>
      <c r="E36" t="s">
        <v>16</v>
      </c>
      <c r="F36" s="141"/>
      <c r="G36" s="141"/>
      <c r="H36" s="141"/>
      <c r="I36" s="141"/>
      <c r="J36" s="141"/>
      <c r="K36" s="141"/>
      <c r="L36" s="141"/>
      <c r="M36" s="141"/>
      <c r="N36" s="141"/>
      <c r="O36" s="141"/>
    </row>
    <row r="37" spans="2:15">
      <c r="B37" t="s">
        <v>476</v>
      </c>
      <c r="C37" t="s">
        <v>477</v>
      </c>
      <c r="D37" t="s">
        <v>26</v>
      </c>
      <c r="E37" t="s">
        <v>16</v>
      </c>
      <c r="F37" s="141"/>
      <c r="G37" s="141"/>
      <c r="H37" s="141"/>
      <c r="I37" s="141"/>
      <c r="J37" s="141"/>
      <c r="K37" s="141"/>
      <c r="L37" s="141"/>
      <c r="M37" s="141"/>
      <c r="N37" s="141"/>
      <c r="O37" s="141"/>
    </row>
    <row r="38" spans="2:15">
      <c r="B38" t="s">
        <v>478</v>
      </c>
      <c r="C38" t="s">
        <v>479</v>
      </c>
      <c r="D38" t="s">
        <v>26</v>
      </c>
      <c r="E38" t="s">
        <v>16</v>
      </c>
      <c r="F38" s="141"/>
      <c r="G38" s="141"/>
      <c r="H38" s="141"/>
      <c r="I38" s="141"/>
      <c r="J38" s="141"/>
      <c r="K38" s="141"/>
      <c r="L38" s="141"/>
      <c r="M38" s="141"/>
      <c r="N38" s="141"/>
      <c r="O38" s="141"/>
    </row>
    <row r="39" spans="2:15">
      <c r="B39" t="s">
        <v>480</v>
      </c>
      <c r="C39" t="s">
        <v>481</v>
      </c>
      <c r="D39" t="s">
        <v>26</v>
      </c>
      <c r="E39" t="s">
        <v>16</v>
      </c>
      <c r="F39" s="141"/>
      <c r="G39" s="141"/>
      <c r="H39" s="141"/>
      <c r="I39" s="141"/>
      <c r="J39" s="141"/>
      <c r="K39" s="141"/>
      <c r="L39" s="141"/>
      <c r="M39" s="141"/>
      <c r="N39" s="141"/>
      <c r="O39" s="141"/>
    </row>
    <row r="40" spans="2:15">
      <c r="B40" t="s">
        <v>482</v>
      </c>
      <c r="C40" t="s">
        <v>483</v>
      </c>
      <c r="D40" t="s">
        <v>26</v>
      </c>
      <c r="E40" t="s">
        <v>16</v>
      </c>
      <c r="F40" s="141"/>
      <c r="G40" s="141"/>
      <c r="H40" s="141"/>
      <c r="I40" s="141"/>
      <c r="J40" s="141"/>
      <c r="K40" s="141"/>
      <c r="L40" s="141"/>
      <c r="M40" s="141"/>
      <c r="N40" s="141"/>
      <c r="O40" s="141"/>
    </row>
    <row r="41" spans="2:15">
      <c r="B41" t="s">
        <v>484</v>
      </c>
      <c r="C41" t="s">
        <v>485</v>
      </c>
      <c r="D41" t="s">
        <v>26</v>
      </c>
      <c r="E41" t="s">
        <v>16</v>
      </c>
      <c r="F41" s="141"/>
      <c r="G41" s="141"/>
      <c r="H41" s="141"/>
      <c r="I41" s="141"/>
      <c r="J41" s="141"/>
      <c r="K41" s="141"/>
      <c r="L41" s="141"/>
      <c r="M41" s="141"/>
      <c r="N41" s="141"/>
      <c r="O41" s="141"/>
    </row>
    <row r="42" spans="2:15">
      <c r="B42" t="s">
        <v>486</v>
      </c>
      <c r="C42" t="s">
        <v>487</v>
      </c>
      <c r="D42" t="s">
        <v>26</v>
      </c>
      <c r="E42" t="s">
        <v>16</v>
      </c>
      <c r="F42" s="141"/>
      <c r="G42" s="141"/>
      <c r="H42" s="141"/>
      <c r="I42" s="141"/>
      <c r="J42" s="141"/>
      <c r="K42" s="141"/>
      <c r="L42" s="141"/>
      <c r="M42" s="141"/>
      <c r="N42" s="141"/>
      <c r="O42" s="141"/>
    </row>
    <row r="43" spans="2:15">
      <c r="B43" t="s">
        <v>488</v>
      </c>
      <c r="C43" t="s">
        <v>489</v>
      </c>
      <c r="D43" t="s">
        <v>26</v>
      </c>
      <c r="E43" t="s">
        <v>16</v>
      </c>
      <c r="F43" s="141"/>
      <c r="G43" s="141"/>
      <c r="H43" s="141"/>
      <c r="I43" s="141"/>
      <c r="J43" s="141"/>
      <c r="K43" s="141"/>
      <c r="L43" s="141"/>
      <c r="M43" s="141"/>
      <c r="N43" s="141"/>
      <c r="O43" s="141"/>
    </row>
    <row r="44" spans="2:15">
      <c r="B44" t="s">
        <v>490</v>
      </c>
      <c r="C44" t="s">
        <v>491</v>
      </c>
      <c r="D44" t="s">
        <v>26</v>
      </c>
      <c r="E44" t="s">
        <v>16</v>
      </c>
      <c r="F44" s="141"/>
      <c r="G44" s="141"/>
      <c r="H44" s="141"/>
      <c r="I44" s="141"/>
      <c r="J44" s="141"/>
      <c r="K44" s="141"/>
      <c r="L44" s="141"/>
      <c r="M44" s="141"/>
      <c r="N44" s="141"/>
      <c r="O44" s="141"/>
    </row>
    <row r="45" spans="2:15">
      <c r="B45" t="s">
        <v>492</v>
      </c>
      <c r="C45" t="s">
        <v>493</v>
      </c>
      <c r="D45" t="s">
        <v>26</v>
      </c>
      <c r="E45" t="s">
        <v>16</v>
      </c>
      <c r="F45" s="141"/>
      <c r="G45" s="141"/>
      <c r="H45" s="141"/>
      <c r="I45" s="141"/>
      <c r="J45" s="141"/>
      <c r="K45" s="141"/>
      <c r="L45" s="141"/>
      <c r="M45" s="141"/>
      <c r="N45" s="141"/>
      <c r="O45" s="141"/>
    </row>
    <row r="46" spans="2:15">
      <c r="B46" t="s">
        <v>494</v>
      </c>
      <c r="C46" t="s">
        <v>495</v>
      </c>
      <c r="D46" t="s">
        <v>26</v>
      </c>
      <c r="E46" t="s">
        <v>16</v>
      </c>
      <c r="F46" s="141"/>
      <c r="G46" s="141"/>
      <c r="H46" s="141"/>
      <c r="I46" s="141"/>
      <c r="J46" s="141"/>
      <c r="K46" s="141"/>
      <c r="L46" s="141"/>
      <c r="M46" s="141"/>
      <c r="N46" s="141"/>
      <c r="O46" s="141"/>
    </row>
    <row r="47" spans="2:15">
      <c r="B47" t="s">
        <v>496</v>
      </c>
      <c r="C47" t="s">
        <v>497</v>
      </c>
      <c r="D47" t="s">
        <v>26</v>
      </c>
      <c r="E47" t="s">
        <v>16</v>
      </c>
      <c r="F47" s="141"/>
      <c r="G47" s="141"/>
      <c r="H47" s="141"/>
      <c r="I47" s="141"/>
      <c r="J47" s="141"/>
      <c r="K47" s="141"/>
      <c r="L47" s="141"/>
      <c r="M47" s="141"/>
      <c r="N47" s="141"/>
      <c r="O47" s="141"/>
    </row>
    <row r="48" spans="2:15">
      <c r="B48" t="s">
        <v>498</v>
      </c>
      <c r="C48" t="s">
        <v>499</v>
      </c>
      <c r="D48" t="s">
        <v>26</v>
      </c>
      <c r="E48" t="s">
        <v>16</v>
      </c>
      <c r="F48" s="141"/>
      <c r="G48" s="141"/>
      <c r="H48" s="141"/>
      <c r="I48" s="141"/>
      <c r="J48" s="141"/>
      <c r="K48" s="141"/>
      <c r="L48" s="141"/>
      <c r="M48" s="141"/>
      <c r="N48" s="141"/>
      <c r="O48" s="141"/>
    </row>
    <row r="49" spans="2:15">
      <c r="B49" t="s">
        <v>500</v>
      </c>
      <c r="C49" t="s">
        <v>501</v>
      </c>
      <c r="D49" t="s">
        <v>26</v>
      </c>
      <c r="E49" t="s">
        <v>16</v>
      </c>
      <c r="F49" s="141"/>
      <c r="G49" s="141"/>
      <c r="H49" s="141"/>
      <c r="I49" s="141"/>
      <c r="J49" s="141"/>
      <c r="K49" s="141"/>
      <c r="L49" s="141"/>
      <c r="M49" s="141"/>
      <c r="N49" s="141"/>
      <c r="O49" s="141"/>
    </row>
    <row r="50" spans="2:15">
      <c r="B50" t="s">
        <v>502</v>
      </c>
      <c r="C50" t="s">
        <v>503</v>
      </c>
      <c r="D50" t="s">
        <v>26</v>
      </c>
      <c r="E50" t="s">
        <v>16</v>
      </c>
      <c r="F50" s="141"/>
      <c r="G50" s="141"/>
      <c r="H50" s="141"/>
      <c r="I50" s="141"/>
      <c r="J50" s="141"/>
      <c r="K50" s="141"/>
      <c r="L50" s="141"/>
      <c r="M50" s="141"/>
      <c r="N50" s="141"/>
      <c r="O50" s="141"/>
    </row>
    <row r="51" spans="2:15">
      <c r="B51" t="s">
        <v>504</v>
      </c>
      <c r="C51" t="s">
        <v>505</v>
      </c>
      <c r="D51" t="s">
        <v>26</v>
      </c>
      <c r="E51" t="s">
        <v>16</v>
      </c>
      <c r="F51" s="141"/>
      <c r="G51" s="141"/>
      <c r="H51" s="141"/>
      <c r="I51" s="141"/>
      <c r="J51" s="141"/>
      <c r="K51" s="141"/>
      <c r="L51" s="141"/>
      <c r="M51" s="141"/>
      <c r="N51" s="141"/>
      <c r="O51" s="141"/>
    </row>
    <row r="52" spans="2:15">
      <c r="B52" t="s">
        <v>506</v>
      </c>
      <c r="C52" t="s">
        <v>507</v>
      </c>
      <c r="D52" t="s">
        <v>26</v>
      </c>
      <c r="E52" t="s">
        <v>16</v>
      </c>
      <c r="F52" s="141"/>
      <c r="G52" s="141"/>
      <c r="H52" s="141"/>
      <c r="I52" s="141"/>
      <c r="J52" s="141"/>
      <c r="K52" s="141"/>
      <c r="L52" s="141"/>
      <c r="M52" s="141"/>
      <c r="N52" s="141"/>
      <c r="O52" s="141"/>
    </row>
    <row r="53" spans="2:15">
      <c r="B53" t="s">
        <v>36</v>
      </c>
      <c r="C53" t="s">
        <v>508</v>
      </c>
      <c r="D53" t="s">
        <v>26</v>
      </c>
      <c r="E53" t="s">
        <v>16</v>
      </c>
      <c r="F53" s="141"/>
      <c r="G53" s="141"/>
      <c r="H53" s="141"/>
      <c r="I53" s="141"/>
      <c r="J53" s="141"/>
      <c r="K53" s="141"/>
      <c r="L53" s="141"/>
      <c r="M53" s="141"/>
      <c r="N53" s="141"/>
      <c r="O53" s="141"/>
    </row>
    <row r="54" spans="2:15">
      <c r="B54" t="s">
        <v>509</v>
      </c>
      <c r="C54" t="s">
        <v>510</v>
      </c>
      <c r="D54" t="s">
        <v>26</v>
      </c>
      <c r="E54" t="s">
        <v>16</v>
      </c>
      <c r="F54" s="141"/>
      <c r="G54" s="141"/>
      <c r="H54" s="141"/>
      <c r="I54" s="141"/>
      <c r="J54" s="141"/>
      <c r="K54" s="141"/>
      <c r="L54" s="141"/>
      <c r="M54" s="141"/>
      <c r="N54" s="141"/>
      <c r="O54" s="141"/>
    </row>
    <row r="55" spans="2:15">
      <c r="B55" t="s">
        <v>511</v>
      </c>
      <c r="C55" t="s">
        <v>510</v>
      </c>
      <c r="D55" t="s">
        <v>26</v>
      </c>
      <c r="E55" t="s">
        <v>16</v>
      </c>
      <c r="F55" s="141"/>
      <c r="G55" s="141"/>
      <c r="H55" s="141"/>
      <c r="I55" s="141"/>
      <c r="J55" s="141"/>
      <c r="K55" s="141"/>
      <c r="L55" s="141"/>
      <c r="M55" s="141"/>
      <c r="N55" s="141"/>
      <c r="O55" s="141"/>
    </row>
    <row r="56" spans="2:15">
      <c r="B56" t="s">
        <v>37</v>
      </c>
      <c r="C56" t="s">
        <v>512</v>
      </c>
      <c r="D56" t="s">
        <v>26</v>
      </c>
      <c r="E56" t="s">
        <v>16</v>
      </c>
      <c r="F56" s="141"/>
      <c r="G56" s="141"/>
      <c r="H56" s="141"/>
      <c r="I56" s="141"/>
      <c r="J56" s="141"/>
      <c r="K56" s="141"/>
      <c r="L56" s="141"/>
      <c r="M56" s="141"/>
      <c r="N56" s="141"/>
      <c r="O56" s="141"/>
    </row>
    <row r="57" spans="2:15">
      <c r="B57" t="s">
        <v>513</v>
      </c>
      <c r="C57" t="s">
        <v>514</v>
      </c>
      <c r="D57" t="s">
        <v>26</v>
      </c>
      <c r="E57" t="s">
        <v>16</v>
      </c>
      <c r="F57" s="141"/>
      <c r="G57" s="141"/>
      <c r="H57" s="141"/>
      <c r="I57" s="141"/>
      <c r="J57" s="141"/>
      <c r="K57" s="141"/>
      <c r="L57" s="141"/>
      <c r="M57" s="141"/>
      <c r="N57" s="141"/>
      <c r="O57" s="141"/>
    </row>
    <row r="58" spans="2:15">
      <c r="B58" t="s">
        <v>515</v>
      </c>
      <c r="C58" t="s">
        <v>514</v>
      </c>
      <c r="D58" t="s">
        <v>26</v>
      </c>
      <c r="E58" t="s">
        <v>16</v>
      </c>
      <c r="F58" s="141"/>
      <c r="G58" s="141"/>
      <c r="H58" s="141"/>
      <c r="I58" s="141"/>
      <c r="J58" s="141"/>
      <c r="K58" s="141"/>
      <c r="L58" s="141"/>
      <c r="M58" s="141"/>
      <c r="N58" s="141"/>
      <c r="O58" s="141"/>
    </row>
    <row r="59" spans="2:15">
      <c r="B59" t="s">
        <v>38</v>
      </c>
      <c r="C59" t="s">
        <v>516</v>
      </c>
      <c r="D59" t="s">
        <v>26</v>
      </c>
      <c r="E59" t="s">
        <v>16</v>
      </c>
      <c r="F59" s="141"/>
      <c r="G59" s="141"/>
      <c r="H59" s="141"/>
      <c r="I59" s="141"/>
      <c r="J59" s="141"/>
      <c r="K59" s="141"/>
      <c r="L59" s="141"/>
      <c r="M59" s="141"/>
      <c r="N59" s="141"/>
      <c r="O59" s="141"/>
    </row>
    <row r="60" spans="2:15">
      <c r="B60" t="s">
        <v>39</v>
      </c>
      <c r="C60" t="s">
        <v>517</v>
      </c>
      <c r="D60" t="s">
        <v>26</v>
      </c>
      <c r="E60" t="s">
        <v>16</v>
      </c>
      <c r="F60" s="141"/>
      <c r="G60" s="141"/>
      <c r="H60" s="141"/>
      <c r="I60" s="141"/>
      <c r="J60" s="141"/>
      <c r="K60" s="141"/>
      <c r="L60" s="141"/>
      <c r="M60" s="141"/>
      <c r="N60" s="141"/>
      <c r="O60" s="141"/>
    </row>
    <row r="61" spans="2:15">
      <c r="B61" t="s">
        <v>40</v>
      </c>
      <c r="C61" t="s">
        <v>517</v>
      </c>
      <c r="D61" t="s">
        <v>26</v>
      </c>
      <c r="E61" t="s">
        <v>16</v>
      </c>
      <c r="F61" s="141"/>
      <c r="G61" s="141"/>
      <c r="H61" s="141"/>
      <c r="I61" s="141"/>
      <c r="J61" s="141"/>
      <c r="K61" s="141"/>
      <c r="L61" s="141"/>
      <c r="M61" s="141"/>
      <c r="N61" s="141"/>
      <c r="O61" s="141"/>
    </row>
    <row r="62" spans="2:15">
      <c r="B62" t="s">
        <v>41</v>
      </c>
      <c r="C62" t="s">
        <v>518</v>
      </c>
      <c r="D62" t="s">
        <v>26</v>
      </c>
      <c r="E62" t="s">
        <v>16</v>
      </c>
      <c r="F62" s="141"/>
      <c r="G62" s="141"/>
      <c r="H62" s="141"/>
      <c r="I62" s="141"/>
      <c r="J62" s="141"/>
      <c r="K62" s="141"/>
      <c r="L62" s="141"/>
      <c r="M62" s="141"/>
      <c r="N62" s="141"/>
      <c r="O62" s="141"/>
    </row>
    <row r="63" spans="2:15">
      <c r="B63" t="s">
        <v>42</v>
      </c>
      <c r="C63" t="s">
        <v>519</v>
      </c>
      <c r="D63" t="s">
        <v>26</v>
      </c>
      <c r="E63" t="s">
        <v>16</v>
      </c>
      <c r="F63" s="141"/>
      <c r="G63" s="141"/>
      <c r="H63" s="141"/>
      <c r="I63" s="141"/>
      <c r="J63" s="141"/>
      <c r="K63" s="141"/>
      <c r="L63" s="141"/>
      <c r="M63" s="141"/>
      <c r="N63" s="141"/>
      <c r="O63" s="141"/>
    </row>
    <row r="64" spans="2:15">
      <c r="B64" t="s">
        <v>43</v>
      </c>
      <c r="C64" t="s">
        <v>519</v>
      </c>
      <c r="D64" t="s">
        <v>26</v>
      </c>
      <c r="E64" t="s">
        <v>16</v>
      </c>
      <c r="F64" s="141"/>
      <c r="G64" s="141"/>
      <c r="H64" s="141"/>
      <c r="I64" s="141"/>
      <c r="J64" s="141"/>
      <c r="K64" s="141"/>
      <c r="L64" s="141"/>
      <c r="M64" s="141"/>
      <c r="N64" s="141"/>
      <c r="O64" s="141"/>
    </row>
    <row r="65" spans="2:15">
      <c r="B65" t="s">
        <v>44</v>
      </c>
      <c r="C65" t="s">
        <v>520</v>
      </c>
      <c r="D65" t="s">
        <v>443</v>
      </c>
      <c r="E65" t="s">
        <v>16</v>
      </c>
      <c r="F65" s="143"/>
      <c r="G65" s="143"/>
      <c r="H65" s="143"/>
      <c r="I65" s="143"/>
      <c r="J65" s="143"/>
      <c r="K65" s="143"/>
      <c r="L65" s="143"/>
      <c r="M65" s="143"/>
      <c r="N65" s="143"/>
      <c r="O65" s="143"/>
    </row>
    <row r="66" spans="2:15">
      <c r="B66" t="s">
        <v>45</v>
      </c>
      <c r="C66" t="s">
        <v>521</v>
      </c>
      <c r="D66" t="s">
        <v>443</v>
      </c>
      <c r="E66" t="s">
        <v>16</v>
      </c>
      <c r="F66" s="143"/>
      <c r="G66" s="143"/>
      <c r="H66" s="143"/>
      <c r="I66" s="143"/>
      <c r="J66" s="143"/>
      <c r="K66" s="143"/>
      <c r="L66" s="143"/>
      <c r="M66" s="143"/>
      <c r="N66" s="143"/>
      <c r="O66" s="143"/>
    </row>
    <row r="67" spans="2:15">
      <c r="B67" t="s">
        <v>46</v>
      </c>
      <c r="C67" t="s">
        <v>522</v>
      </c>
      <c r="D67" t="s">
        <v>443</v>
      </c>
      <c r="E67" t="s">
        <v>16</v>
      </c>
      <c r="F67" s="143"/>
      <c r="G67" s="143"/>
      <c r="H67" s="143"/>
      <c r="I67" s="143"/>
      <c r="J67" s="143"/>
      <c r="K67" s="143"/>
      <c r="L67" s="143"/>
      <c r="M67" s="143"/>
      <c r="N67" s="143"/>
      <c r="O67" s="143"/>
    </row>
    <row r="68" spans="2:15">
      <c r="B68" t="s">
        <v>47</v>
      </c>
      <c r="C68" t="s">
        <v>523</v>
      </c>
      <c r="D68" t="s">
        <v>443</v>
      </c>
      <c r="E68" t="s">
        <v>16</v>
      </c>
      <c r="F68" s="143"/>
      <c r="G68" s="143"/>
      <c r="H68" s="143"/>
      <c r="I68" s="143"/>
      <c r="J68" s="143"/>
      <c r="K68" s="143"/>
      <c r="L68" s="143"/>
      <c r="M68" s="143"/>
      <c r="N68" s="143"/>
      <c r="O68" s="143"/>
    </row>
    <row r="69" spans="2:15">
      <c r="B69" t="s">
        <v>48</v>
      </c>
      <c r="C69" t="s">
        <v>524</v>
      </c>
      <c r="D69" t="s">
        <v>443</v>
      </c>
      <c r="E69" t="s">
        <v>16</v>
      </c>
      <c r="F69" s="143"/>
      <c r="G69" s="143"/>
      <c r="H69" s="143"/>
      <c r="I69" s="143"/>
      <c r="J69" s="143"/>
      <c r="K69" s="143"/>
      <c r="L69" s="143"/>
      <c r="M69" s="143"/>
      <c r="N69" s="143"/>
      <c r="O69" s="143"/>
    </row>
    <row r="70" spans="2:15">
      <c r="B70" t="s">
        <v>49</v>
      </c>
      <c r="C70" t="s">
        <v>525</v>
      </c>
      <c r="D70" t="s">
        <v>443</v>
      </c>
      <c r="E70" t="s">
        <v>16</v>
      </c>
      <c r="F70" s="143"/>
      <c r="G70" s="143"/>
      <c r="H70" s="143"/>
      <c r="I70" s="143"/>
      <c r="J70" s="143"/>
      <c r="K70" s="143"/>
      <c r="L70" s="143"/>
      <c r="M70" s="143"/>
      <c r="N70" s="143"/>
      <c r="O70" s="143"/>
    </row>
    <row r="71" spans="2:15">
      <c r="B71" t="s">
        <v>50</v>
      </c>
      <c r="C71" t="s">
        <v>526</v>
      </c>
      <c r="D71" t="s">
        <v>443</v>
      </c>
      <c r="E71" t="s">
        <v>16</v>
      </c>
      <c r="F71" s="143"/>
      <c r="G71" s="143"/>
      <c r="H71" s="143"/>
      <c r="I71" s="143"/>
      <c r="J71" s="143"/>
      <c r="K71" s="143"/>
      <c r="L71" s="143"/>
      <c r="M71" s="143"/>
      <c r="N71" s="143"/>
      <c r="O71" s="143"/>
    </row>
    <row r="72" spans="2:15">
      <c r="B72" t="s">
        <v>51</v>
      </c>
      <c r="C72" t="s">
        <v>527</v>
      </c>
      <c r="D72" t="s">
        <v>443</v>
      </c>
      <c r="E72" t="s">
        <v>16</v>
      </c>
      <c r="F72" s="143"/>
      <c r="G72" s="143"/>
      <c r="H72" s="143"/>
      <c r="I72" s="143"/>
      <c r="J72" s="143"/>
      <c r="K72" s="143"/>
      <c r="L72" s="143"/>
      <c r="M72" s="143"/>
      <c r="N72" s="143"/>
      <c r="O72" s="143"/>
    </row>
    <row r="73" spans="2:15">
      <c r="B73" t="s">
        <v>52</v>
      </c>
      <c r="C73" t="s">
        <v>528</v>
      </c>
      <c r="D73" t="s">
        <v>443</v>
      </c>
      <c r="E73" t="s">
        <v>16</v>
      </c>
      <c r="F73" s="143"/>
      <c r="G73" s="143"/>
      <c r="H73" s="143"/>
      <c r="I73" s="143"/>
      <c r="J73" s="143"/>
      <c r="K73" s="143"/>
      <c r="L73" s="143"/>
      <c r="M73" s="143"/>
      <c r="N73" s="143"/>
      <c r="O73" s="143"/>
    </row>
    <row r="74" spans="2:15">
      <c r="B74" t="s">
        <v>53</v>
      </c>
      <c r="C74" t="s">
        <v>529</v>
      </c>
      <c r="D74" t="s">
        <v>443</v>
      </c>
      <c r="E74" t="s">
        <v>16</v>
      </c>
      <c r="F74" s="143"/>
      <c r="G74" s="143"/>
      <c r="H74" s="143"/>
      <c r="I74" s="143"/>
      <c r="J74" s="143"/>
      <c r="K74" s="143"/>
      <c r="L74" s="143"/>
      <c r="M74" s="143"/>
      <c r="N74" s="143"/>
      <c r="O74" s="143"/>
    </row>
    <row r="75" spans="2:15">
      <c r="B75" t="s">
        <v>54</v>
      </c>
      <c r="C75" t="s">
        <v>530</v>
      </c>
      <c r="D75" t="s">
        <v>443</v>
      </c>
      <c r="E75" t="s">
        <v>16</v>
      </c>
      <c r="F75" s="143"/>
      <c r="G75" s="143"/>
      <c r="H75" s="143"/>
      <c r="I75" s="143"/>
      <c r="J75" s="143"/>
      <c r="K75" s="143"/>
      <c r="L75" s="143"/>
      <c r="M75" s="143"/>
      <c r="N75" s="143"/>
      <c r="O75" s="143"/>
    </row>
    <row r="76" spans="2:15">
      <c r="B76" t="s">
        <v>531</v>
      </c>
      <c r="C76" t="s">
        <v>532</v>
      </c>
      <c r="D76" t="s">
        <v>443</v>
      </c>
      <c r="E76" t="s">
        <v>16</v>
      </c>
      <c r="F76" s="143"/>
      <c r="G76" s="143"/>
      <c r="H76" s="143"/>
      <c r="I76" s="143"/>
      <c r="J76" s="143"/>
      <c r="K76" s="143"/>
      <c r="L76" s="143"/>
      <c r="M76" s="143"/>
      <c r="N76" s="143"/>
      <c r="O76" s="143"/>
    </row>
    <row r="77" spans="2:15">
      <c r="B77" s="95" t="s">
        <v>190</v>
      </c>
      <c r="C77" s="185" t="s">
        <v>191</v>
      </c>
      <c r="D77" t="s">
        <v>26</v>
      </c>
      <c r="E77" t="s">
        <v>16</v>
      </c>
      <c r="F77" s="143"/>
      <c r="G77" s="143"/>
      <c r="H77" s="143"/>
      <c r="I77" s="143"/>
      <c r="J77" s="143"/>
      <c r="K77" s="143"/>
      <c r="L77" s="143"/>
      <c r="M77" s="186"/>
      <c r="N77" s="143"/>
      <c r="O77" s="143"/>
    </row>
    <row r="78" spans="2:15">
      <c r="B78" s="95" t="s">
        <v>192</v>
      </c>
      <c r="C78" s="185" t="s">
        <v>193</v>
      </c>
      <c r="D78" t="s">
        <v>26</v>
      </c>
      <c r="E78" t="s">
        <v>16</v>
      </c>
      <c r="F78" s="143"/>
      <c r="G78" s="143"/>
      <c r="H78" s="143"/>
      <c r="I78" s="143"/>
      <c r="J78" s="143"/>
      <c r="K78" s="143"/>
      <c r="L78" s="143"/>
      <c r="M78" s="186"/>
      <c r="N78" s="143"/>
      <c r="O78" s="143"/>
    </row>
    <row r="79" spans="2:15">
      <c r="B79" s="95" t="s">
        <v>194</v>
      </c>
      <c r="C79" s="185" t="s">
        <v>195</v>
      </c>
      <c r="D79" t="s">
        <v>26</v>
      </c>
      <c r="E79" t="s">
        <v>16</v>
      </c>
      <c r="F79" s="143"/>
      <c r="G79" s="143"/>
      <c r="H79" s="143"/>
      <c r="I79" s="143"/>
      <c r="J79" s="143"/>
      <c r="K79" s="143"/>
      <c r="L79" s="143"/>
      <c r="M79" s="186"/>
      <c r="N79" s="143"/>
      <c r="O79" s="143"/>
    </row>
    <row r="80" spans="2:15">
      <c r="B80" s="95" t="s">
        <v>196</v>
      </c>
      <c r="C80" s="185" t="s">
        <v>197</v>
      </c>
      <c r="D80" t="s">
        <v>26</v>
      </c>
      <c r="E80" t="s">
        <v>16</v>
      </c>
      <c r="F80" s="143"/>
      <c r="G80" s="143"/>
      <c r="H80" s="143"/>
      <c r="I80" s="143"/>
      <c r="J80" s="143"/>
      <c r="K80" s="143"/>
      <c r="L80" s="143"/>
      <c r="M80" s="143"/>
      <c r="N80" s="186"/>
      <c r="O80" s="143"/>
    </row>
    <row r="81" spans="2:15">
      <c r="B81" s="95" t="s">
        <v>198</v>
      </c>
      <c r="C81" s="185" t="s">
        <v>199</v>
      </c>
      <c r="D81" t="s">
        <v>26</v>
      </c>
      <c r="E81" t="s">
        <v>16</v>
      </c>
      <c r="F81" s="143"/>
      <c r="G81" s="143"/>
      <c r="H81" s="143"/>
      <c r="I81" s="143"/>
      <c r="J81" s="143"/>
      <c r="K81" s="143"/>
      <c r="L81" s="143"/>
      <c r="M81" s="143"/>
      <c r="N81" s="186"/>
      <c r="O81" s="143"/>
    </row>
    <row r="82" spans="2:15">
      <c r="B82" s="95" t="s">
        <v>200</v>
      </c>
      <c r="C82" s="185" t="s">
        <v>201</v>
      </c>
      <c r="D82" t="s">
        <v>26</v>
      </c>
      <c r="E82" t="s">
        <v>16</v>
      </c>
      <c r="F82" s="143"/>
      <c r="G82" s="143"/>
      <c r="H82" s="143"/>
      <c r="I82" s="143"/>
      <c r="J82" s="143"/>
      <c r="K82" s="143"/>
      <c r="L82" s="143"/>
      <c r="M82" s="143"/>
      <c r="N82" s="186"/>
      <c r="O82" s="143"/>
    </row>
    <row r="83" spans="2:15">
      <c r="B83" s="95" t="s">
        <v>293</v>
      </c>
      <c r="C83" s="182" t="s">
        <v>540</v>
      </c>
      <c r="D83" t="s">
        <v>26</v>
      </c>
      <c r="E83" t="s">
        <v>16</v>
      </c>
      <c r="L83" s="184">
        <v>19.591100001974855</v>
      </c>
    </row>
    <row r="84" spans="2:15">
      <c r="B84" s="95" t="s">
        <v>325</v>
      </c>
      <c r="C84" s="182" t="s">
        <v>541</v>
      </c>
      <c r="D84" t="s">
        <v>26</v>
      </c>
      <c r="E84" t="s">
        <v>16</v>
      </c>
      <c r="L84" s="184">
        <v>2.452702007957825</v>
      </c>
    </row>
    <row r="85" spans="2:15">
      <c r="B85" s="95" t="s">
        <v>354</v>
      </c>
      <c r="C85" s="182" t="s">
        <v>542</v>
      </c>
      <c r="D85" t="s">
        <v>26</v>
      </c>
      <c r="E85" t="s">
        <v>16</v>
      </c>
      <c r="L85" s="184"/>
    </row>
    <row r="86" spans="2:15">
      <c r="B86" s="95" t="s">
        <v>295</v>
      </c>
      <c r="C86" s="182" t="s">
        <v>543</v>
      </c>
      <c r="D86" t="s">
        <v>26</v>
      </c>
      <c r="E86" t="s">
        <v>16</v>
      </c>
      <c r="N86" s="183">
        <v>2.4540000000000002</v>
      </c>
    </row>
    <row r="87" spans="2:15">
      <c r="B87" s="95" t="s">
        <v>327</v>
      </c>
      <c r="C87" s="182" t="s">
        <v>544</v>
      </c>
      <c r="D87" t="s">
        <v>26</v>
      </c>
      <c r="E87" t="s">
        <v>16</v>
      </c>
      <c r="N87" s="183"/>
    </row>
    <row r="88" spans="2:15">
      <c r="B88" s="95" t="s">
        <v>356</v>
      </c>
      <c r="C88" s="182" t="s">
        <v>545</v>
      </c>
      <c r="D88" t="s">
        <v>26</v>
      </c>
      <c r="E88" t="s">
        <v>16</v>
      </c>
      <c r="N88" s="183"/>
    </row>
  </sheetData>
  <pageMargins left="0.70866141732283472" right="0.70866141732283472" top="0.74803149606299213" bottom="0.74803149606299213" header="0.31496062992125984" footer="0.31496062992125984"/>
  <pageSetup paperSize="9" scale="86" fitToHeight="0" orientation="landscape" r:id="rId1"/>
  <headerFooter>
    <oddHeader xml:space="preserve">&amp;L&amp;F&amp;CSheet: &amp;A&amp;ROFFICIAL
</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56" activePane="bottomRight" state="frozen"/>
      <selection activeCell="H4" sqref="H4"/>
      <selection pane="topRight" activeCell="H4" sqref="H4"/>
      <selection pane="bottomLeft" activeCell="H4" sqref="H4"/>
      <selection pane="bottomRight" activeCell="H4" sqref="H4"/>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05"/>
      <c r="B1" s="105"/>
      <c r="C1" s="105"/>
      <c r="D1" s="105" t="s">
        <v>124</v>
      </c>
      <c r="E1" s="105"/>
      <c r="F1" s="106"/>
      <c r="G1" s="105"/>
      <c r="H1" s="105"/>
      <c r="I1" s="105"/>
      <c r="J1" s="105"/>
      <c r="K1" s="105"/>
      <c r="L1" s="105"/>
      <c r="M1" s="105"/>
      <c r="N1" s="105"/>
      <c r="O1" s="105"/>
      <c r="P1" s="105"/>
      <c r="Q1" s="105"/>
      <c r="R1" s="105"/>
      <c r="S1" s="105"/>
      <c r="T1" s="105"/>
      <c r="U1" s="105"/>
      <c r="V1" s="105"/>
      <c r="W1" s="105"/>
    </row>
    <row r="2" spans="1:23" s="1" customFormat="1" ht="13.9">
      <c r="F2" s="24"/>
      <c r="G2" s="11"/>
      <c r="O2" s="11"/>
      <c r="P2" s="11"/>
    </row>
    <row r="3" spans="1:23" ht="13.15">
      <c r="A3" s="11"/>
      <c r="B3" s="11"/>
      <c r="C3" s="11"/>
      <c r="D3" s="11"/>
      <c r="E3" s="11" t="s">
        <v>125</v>
      </c>
      <c r="G3" s="11"/>
      <c r="H3" s="11"/>
      <c r="I3" s="107" t="str">
        <f t="shared" ref="I3:U3" si="0">AMP.Years</f>
        <v>2012-13</v>
      </c>
      <c r="J3" s="107" t="str">
        <f t="shared" si="0"/>
        <v>2013-14</v>
      </c>
      <c r="K3" s="107" t="str">
        <f t="shared" si="0"/>
        <v>2014-15</v>
      </c>
      <c r="L3" s="108" t="str">
        <f t="shared" si="0"/>
        <v>2015-16</v>
      </c>
      <c r="M3" s="108" t="str">
        <f t="shared" si="0"/>
        <v>2016-17</v>
      </c>
      <c r="N3" s="108" t="str">
        <f t="shared" si="0"/>
        <v>2017-18</v>
      </c>
      <c r="O3" s="108" t="str">
        <f t="shared" si="0"/>
        <v>2018-19</v>
      </c>
      <c r="P3" s="108" t="str">
        <f t="shared" si="0"/>
        <v>2019-20</v>
      </c>
      <c r="Q3" s="107" t="str">
        <f t="shared" si="0"/>
        <v>2020-21</v>
      </c>
      <c r="R3" s="107" t="str">
        <f t="shared" si="0"/>
        <v>2021-22</v>
      </c>
      <c r="S3" s="107" t="str">
        <f t="shared" si="0"/>
        <v>2022-23</v>
      </c>
      <c r="T3" s="107" t="str">
        <f t="shared" si="0"/>
        <v>2023-24</v>
      </c>
      <c r="U3" s="107"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126</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127</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89"/>
      <c r="B8" s="109"/>
      <c r="C8" s="109"/>
      <c r="D8" s="110"/>
      <c r="E8" s="111" t="s">
        <v>128</v>
      </c>
      <c r="F8" s="112"/>
      <c r="G8" s="110"/>
      <c r="H8" s="110"/>
      <c r="I8" s="110"/>
      <c r="J8" s="110"/>
      <c r="K8" s="110"/>
      <c r="L8" s="110"/>
      <c r="M8" s="110"/>
      <c r="N8" s="110"/>
      <c r="O8" s="110"/>
      <c r="P8" s="110"/>
      <c r="Q8" s="110"/>
      <c r="R8" s="110"/>
      <c r="S8" s="110"/>
      <c r="T8" s="110"/>
      <c r="U8" s="110"/>
      <c r="V8" s="110"/>
      <c r="W8" s="110"/>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129</v>
      </c>
      <c r="E10" s="11" t="s">
        <v>130</v>
      </c>
      <c r="G10" s="147" t="str">
        <f>F_Inputs!$A$4</f>
        <v>HDD</v>
      </c>
      <c r="H10" s="11"/>
      <c r="I10" s="11"/>
      <c r="J10" s="11"/>
      <c r="K10" s="11"/>
      <c r="L10" s="11"/>
      <c r="M10" s="11"/>
      <c r="N10" s="11"/>
      <c r="O10" s="11"/>
      <c r="P10" s="11"/>
      <c r="Q10" s="11"/>
      <c r="R10" s="11"/>
      <c r="S10" s="11"/>
      <c r="T10" s="11"/>
      <c r="U10" s="11"/>
      <c r="V10" s="11"/>
      <c r="W10" s="11"/>
    </row>
    <row r="11" spans="1:23">
      <c r="A11" s="11" t="s">
        <v>131</v>
      </c>
      <c r="B11" s="11"/>
      <c r="C11" s="11"/>
      <c r="D11" s="12" t="s">
        <v>129</v>
      </c>
      <c r="E11" s="11" t="s">
        <v>132</v>
      </c>
      <c r="G11" s="148" t="str">
        <f>IF(F_Inputs!$O$4=1,"WoC",IF(F_Inputs!$O$4=2,"WaSC"))</f>
        <v>WaSC</v>
      </c>
      <c r="H11" s="11"/>
      <c r="I11" s="11"/>
      <c r="J11" s="11"/>
      <c r="K11" s="11"/>
      <c r="L11" s="11"/>
      <c r="M11" s="11"/>
      <c r="N11" s="11"/>
      <c r="O11" s="11"/>
      <c r="P11" s="11"/>
      <c r="Q11" s="11"/>
      <c r="R11" s="11"/>
      <c r="S11" s="11"/>
      <c r="T11" s="11"/>
      <c r="U11" s="11"/>
      <c r="V11" s="11"/>
      <c r="W11" s="11"/>
    </row>
    <row r="12" spans="1:23">
      <c r="A12" s="11" t="s">
        <v>17</v>
      </c>
      <c r="B12" s="11"/>
      <c r="C12" s="11"/>
      <c r="D12" s="12" t="s">
        <v>133</v>
      </c>
      <c r="E12" s="11" t="s">
        <v>134</v>
      </c>
      <c r="G12" s="83" t="b">
        <f>F_Inputs!$O$5</f>
        <v>1</v>
      </c>
      <c r="H12" s="11" t="s">
        <v>133</v>
      </c>
      <c r="I12" s="11"/>
      <c r="J12" s="11"/>
      <c r="K12" s="11"/>
      <c r="L12" s="11"/>
      <c r="M12" s="11"/>
      <c r="N12" s="11"/>
      <c r="O12" s="11"/>
      <c r="P12" s="11"/>
      <c r="Q12" s="11"/>
      <c r="R12" s="11"/>
      <c r="S12" s="11"/>
      <c r="T12" s="11"/>
      <c r="U12" s="11"/>
      <c r="V12" s="11"/>
      <c r="W12" s="11"/>
    </row>
    <row r="13" spans="1:23" s="4" customFormat="1" ht="13.9">
      <c r="A13" s="89"/>
      <c r="B13" s="109"/>
      <c r="C13" s="109"/>
      <c r="D13" s="110"/>
      <c r="E13" s="111" t="s">
        <v>135</v>
      </c>
      <c r="F13" s="112"/>
      <c r="G13" s="110"/>
      <c r="H13" s="110"/>
      <c r="I13" s="110"/>
      <c r="J13" s="110"/>
      <c r="K13" s="110"/>
      <c r="L13" s="110"/>
      <c r="M13" s="110"/>
      <c r="N13" s="110"/>
      <c r="O13" s="110"/>
      <c r="P13" s="110"/>
      <c r="Q13" s="110"/>
      <c r="R13" s="110"/>
      <c r="S13" s="110"/>
      <c r="T13" s="110"/>
      <c r="U13" s="110"/>
      <c r="V13" s="110"/>
      <c r="W13" s="110"/>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136</v>
      </c>
      <c r="G15" s="11"/>
      <c r="H15" s="11"/>
      <c r="I15" s="11"/>
      <c r="J15" s="11"/>
      <c r="K15" s="11"/>
      <c r="L15" s="11"/>
      <c r="M15" s="11"/>
      <c r="N15" s="11"/>
      <c r="O15" s="11"/>
      <c r="P15" s="11"/>
      <c r="Q15" s="11"/>
      <c r="R15" s="11"/>
      <c r="S15" s="11"/>
      <c r="T15" s="11"/>
      <c r="U15" s="11"/>
      <c r="V15" s="11"/>
      <c r="W15" s="11"/>
    </row>
    <row r="16" spans="1:23">
      <c r="A16" t="s">
        <v>19</v>
      </c>
      <c r="B16" s="11"/>
      <c r="C16" s="11"/>
      <c r="D16" s="12" t="s">
        <v>137</v>
      </c>
      <c r="E16" s="13" t="s">
        <v>138</v>
      </c>
      <c r="G16" s="90">
        <f>F_Inputs!$O$6</f>
        <v>0.02</v>
      </c>
      <c r="H16" s="8" t="s">
        <v>139</v>
      </c>
      <c r="I16" s="11"/>
      <c r="J16" s="11"/>
      <c r="K16" s="11"/>
      <c r="L16" s="11"/>
      <c r="M16" s="11"/>
      <c r="N16" s="11"/>
      <c r="O16" s="11"/>
      <c r="P16" s="11"/>
      <c r="Q16" s="11"/>
      <c r="R16" s="11"/>
      <c r="S16" s="11"/>
      <c r="T16" s="11"/>
      <c r="U16" s="11"/>
      <c r="V16" s="11"/>
      <c r="W16" s="11"/>
    </row>
    <row r="17" spans="1:23">
      <c r="A17" t="s">
        <v>21</v>
      </c>
      <c r="B17" s="11"/>
      <c r="C17" s="11"/>
      <c r="D17" s="12" t="s">
        <v>137</v>
      </c>
      <c r="E17" s="13" t="s">
        <v>140</v>
      </c>
      <c r="G17" s="90">
        <f>F_Inputs!$O$7</f>
        <v>0.03</v>
      </c>
      <c r="H17" s="8" t="s">
        <v>141</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137</v>
      </c>
      <c r="E19" s="11" t="s">
        <v>142</v>
      </c>
      <c r="G19" s="90">
        <f>F_Inputs!$O$8</f>
        <v>0.03</v>
      </c>
      <c r="H19" s="8" t="s">
        <v>143</v>
      </c>
      <c r="I19" s="11"/>
      <c r="J19" s="11"/>
      <c r="K19" s="11"/>
      <c r="L19" s="11"/>
      <c r="M19" s="11"/>
      <c r="N19" s="11"/>
      <c r="O19" s="11"/>
      <c r="P19" s="11"/>
      <c r="Q19" s="11"/>
      <c r="R19" s="11"/>
      <c r="S19" s="11"/>
      <c r="T19" s="11"/>
      <c r="U19" s="11"/>
      <c r="V19" s="11"/>
      <c r="W19" s="11"/>
    </row>
    <row r="20" spans="1:23" customFormat="1">
      <c r="A20" t="s">
        <v>23</v>
      </c>
      <c r="D20" s="12" t="s">
        <v>137</v>
      </c>
      <c r="E20" s="11" t="s">
        <v>144</v>
      </c>
      <c r="F20" s="24"/>
      <c r="G20" s="90">
        <f>IF(F_Inputs!$O$9&lt;&gt;0, F_Inputs!$O$9, IF(F_Inputs!$O$10&lt;&gt;0,F_Inputs!$O$10,F_Inputs!$O$11))</f>
        <v>3.5999999999999997E-2</v>
      </c>
      <c r="H20" s="8" t="s">
        <v>145</v>
      </c>
    </row>
    <row r="21" spans="1:23" customFormat="1">
      <c r="F21" s="26"/>
      <c r="H21" s="11"/>
    </row>
    <row r="22" spans="1:23" customFormat="1">
      <c r="A22" t="s">
        <v>24</v>
      </c>
      <c r="D22" s="12" t="s">
        <v>137</v>
      </c>
      <c r="E22" s="11" t="s">
        <v>146</v>
      </c>
      <c r="F22" s="26"/>
      <c r="G22" s="90">
        <f>F_Inputs!$O$12</f>
        <v>0.06</v>
      </c>
      <c r="H22" s="8" t="s">
        <v>147</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89"/>
      <c r="B24" s="109"/>
      <c r="C24" s="109"/>
      <c r="D24" s="113"/>
      <c r="E24" s="111" t="s">
        <v>148</v>
      </c>
      <c r="F24" s="112"/>
      <c r="G24" s="110"/>
      <c r="H24" s="110"/>
      <c r="I24" s="110"/>
      <c r="J24" s="110"/>
      <c r="K24" s="110"/>
      <c r="L24" s="110"/>
      <c r="M24" s="110"/>
      <c r="N24" s="110"/>
      <c r="O24" s="110"/>
      <c r="P24" s="110"/>
      <c r="Q24" s="110"/>
      <c r="R24" s="110"/>
      <c r="S24" s="110"/>
      <c r="T24" s="110"/>
      <c r="U24" s="110"/>
      <c r="V24" s="110"/>
      <c r="W24" s="110"/>
    </row>
    <row r="25" spans="1:23" customFormat="1">
      <c r="F25" s="26"/>
    </row>
    <row r="26" spans="1:23" ht="13.15">
      <c r="A26" s="11"/>
      <c r="B26" s="11"/>
      <c r="C26" s="11"/>
      <c r="D26" s="12"/>
      <c r="E26" s="5" t="s">
        <v>149</v>
      </c>
      <c r="G26" s="11"/>
      <c r="H26" s="11"/>
      <c r="I26" s="11"/>
      <c r="J26" s="11"/>
      <c r="K26" s="20"/>
      <c r="L26" s="20"/>
      <c r="M26" s="20"/>
      <c r="N26" s="20"/>
      <c r="O26" s="20"/>
      <c r="P26" s="20"/>
      <c r="Q26" s="20"/>
      <c r="R26" s="20"/>
      <c r="S26" s="20"/>
      <c r="T26" s="20"/>
      <c r="U26" s="20"/>
      <c r="V26" s="8"/>
      <c r="W26" s="11"/>
    </row>
    <row r="27" spans="1:23" s="11" customFormat="1">
      <c r="A27" s="95" t="s">
        <v>25</v>
      </c>
      <c r="B27" s="95"/>
      <c r="C27" s="95"/>
      <c r="D27" s="12" t="s">
        <v>150</v>
      </c>
      <c r="E27" s="13" t="s">
        <v>151</v>
      </c>
      <c r="F27" s="24" t="s">
        <v>152</v>
      </c>
      <c r="K27" s="84">
        <f>F_Inputs!$I$13</f>
        <v>21.546294802240499</v>
      </c>
      <c r="L27" s="20"/>
      <c r="M27" s="20"/>
      <c r="N27" s="20"/>
      <c r="O27" s="20"/>
      <c r="P27" s="20"/>
      <c r="Q27" s="20"/>
      <c r="R27" s="20"/>
      <c r="S27" s="20"/>
      <c r="T27" s="20"/>
      <c r="U27" s="20"/>
      <c r="V27" s="8" t="s">
        <v>153</v>
      </c>
    </row>
    <row r="28" spans="1:23" s="11" customFormat="1">
      <c r="A28" s="95" t="s">
        <v>27</v>
      </c>
      <c r="B28" s="95"/>
      <c r="C28" s="95"/>
      <c r="D28" s="12" t="s">
        <v>150</v>
      </c>
      <c r="E28" s="13" t="s">
        <v>154</v>
      </c>
      <c r="F28" s="24" t="s">
        <v>152</v>
      </c>
      <c r="K28" s="84">
        <f>F_Inputs!$I$14</f>
        <v>0</v>
      </c>
      <c r="L28" s="20"/>
      <c r="M28" s="20"/>
      <c r="N28" s="20"/>
      <c r="O28" s="20"/>
      <c r="P28" s="20"/>
      <c r="Q28" s="20"/>
      <c r="R28" s="20"/>
      <c r="S28" s="20"/>
      <c r="T28" s="20"/>
      <c r="U28" s="20"/>
      <c r="V28" s="8" t="s">
        <v>155</v>
      </c>
    </row>
    <row r="29" spans="1:23" s="131" customFormat="1">
      <c r="A29" s="95" t="s">
        <v>28</v>
      </c>
      <c r="B29" s="95"/>
      <c r="C29" s="95"/>
      <c r="D29" s="134" t="s">
        <v>150</v>
      </c>
      <c r="E29" s="137" t="s">
        <v>156</v>
      </c>
      <c r="F29" s="135" t="s">
        <v>152</v>
      </c>
      <c r="G29" s="11"/>
      <c r="H29" s="11"/>
      <c r="I29" s="11"/>
      <c r="J29" s="11"/>
      <c r="K29" s="84">
        <f>F_Inputs!$I$15</f>
        <v>0</v>
      </c>
      <c r="L29" s="20"/>
      <c r="M29" s="20"/>
      <c r="N29" s="20"/>
      <c r="O29" s="20"/>
      <c r="P29" s="20"/>
      <c r="Q29" s="20"/>
      <c r="R29" s="20"/>
      <c r="S29" s="20"/>
      <c r="T29" s="20"/>
      <c r="U29" s="20"/>
      <c r="V29" s="136" t="s">
        <v>157</v>
      </c>
      <c r="W29" s="11"/>
    </row>
    <row r="30" spans="1:23">
      <c r="A30" s="95"/>
      <c r="B30" s="95"/>
      <c r="C30" s="95"/>
      <c r="D30" s="12"/>
      <c r="E30" s="11"/>
      <c r="G30" s="11"/>
      <c r="H30" s="11"/>
      <c r="I30" s="11"/>
      <c r="J30" s="11"/>
      <c r="K30" s="20"/>
      <c r="L30" s="20"/>
      <c r="M30" s="20"/>
      <c r="N30" s="20"/>
      <c r="O30" s="20"/>
      <c r="P30" s="20"/>
      <c r="Q30" s="20"/>
      <c r="R30" s="20"/>
      <c r="S30" s="20"/>
      <c r="T30" s="20"/>
      <c r="U30" s="20"/>
      <c r="V30" s="8"/>
      <c r="W30" s="11"/>
    </row>
    <row r="31" spans="1:23" ht="13.15">
      <c r="A31" s="95"/>
      <c r="B31" s="95"/>
      <c r="C31" s="95"/>
      <c r="D31" s="12"/>
      <c r="E31" s="5" t="s">
        <v>158</v>
      </c>
      <c r="G31" s="11"/>
      <c r="H31" s="11"/>
      <c r="I31" s="11"/>
      <c r="J31" s="11"/>
      <c r="K31" s="20"/>
      <c r="L31" s="20"/>
      <c r="M31" s="20"/>
      <c r="N31" s="20"/>
      <c r="O31" s="20"/>
      <c r="P31" s="20"/>
      <c r="Q31" s="20"/>
      <c r="R31" s="20"/>
      <c r="S31" s="20"/>
      <c r="T31" s="20"/>
      <c r="U31" s="20"/>
      <c r="V31" s="8"/>
      <c r="W31" s="11"/>
    </row>
    <row r="32" spans="1:23">
      <c r="A32" s="95" t="s">
        <v>29</v>
      </c>
      <c r="B32" s="95"/>
      <c r="C32" s="95"/>
      <c r="D32" s="12" t="s">
        <v>15</v>
      </c>
      <c r="E32" s="13" t="s">
        <v>159</v>
      </c>
      <c r="G32" s="11"/>
      <c r="H32" s="11"/>
      <c r="I32" s="11"/>
      <c r="J32" s="11"/>
      <c r="K32" s="20"/>
      <c r="L32" s="144">
        <f>F_Inputs!J$16</f>
        <v>0</v>
      </c>
      <c r="M32" s="21">
        <f>F_Inputs!K$16</f>
        <v>1.1399999999999999</v>
      </c>
      <c r="N32" s="21">
        <f>F_Inputs!L$16</f>
        <v>0.82</v>
      </c>
      <c r="O32" s="21">
        <f>F_Inputs!M$16</f>
        <v>0</v>
      </c>
      <c r="P32" s="21">
        <f>F_Inputs!N$16</f>
        <v>-7.13</v>
      </c>
      <c r="Q32" s="20"/>
      <c r="R32" s="20"/>
      <c r="S32" s="20"/>
      <c r="T32" s="20"/>
      <c r="U32" s="20"/>
      <c r="V32" s="8" t="s">
        <v>160</v>
      </c>
      <c r="W32" s="11"/>
    </row>
    <row r="33" spans="1:23">
      <c r="A33" s="95" t="s">
        <v>30</v>
      </c>
      <c r="B33" s="95"/>
      <c r="C33" s="95"/>
      <c r="D33" s="12" t="s">
        <v>15</v>
      </c>
      <c r="E33" s="13" t="s">
        <v>161</v>
      </c>
      <c r="G33" s="11"/>
      <c r="H33" s="11"/>
      <c r="I33" s="11"/>
      <c r="J33" s="11"/>
      <c r="K33" s="20"/>
      <c r="L33" s="21">
        <f>F_Inputs!J$17</f>
        <v>0</v>
      </c>
      <c r="M33" s="21">
        <f>F_Inputs!K$17</f>
        <v>0</v>
      </c>
      <c r="N33" s="21">
        <f>F_Inputs!L$17</f>
        <v>0</v>
      </c>
      <c r="O33" s="21">
        <f>F_Inputs!M$17</f>
        <v>0</v>
      </c>
      <c r="P33" s="21">
        <f>F_Inputs!N$17</f>
        <v>34.21</v>
      </c>
      <c r="Q33" s="20"/>
      <c r="R33" s="20"/>
      <c r="S33" s="20"/>
      <c r="T33" s="20"/>
      <c r="U33" s="20"/>
      <c r="V33" s="8" t="s">
        <v>162</v>
      </c>
      <c r="W33" s="11"/>
    </row>
    <row r="34" spans="1:23" s="131" customFormat="1">
      <c r="A34" s="95" t="s">
        <v>31</v>
      </c>
      <c r="B34" s="95"/>
      <c r="C34" s="95"/>
      <c r="D34" s="134" t="s">
        <v>15</v>
      </c>
      <c r="E34" s="137" t="s">
        <v>163</v>
      </c>
      <c r="F34" s="135"/>
      <c r="G34" s="11"/>
      <c r="H34" s="11"/>
      <c r="I34" s="11"/>
      <c r="J34" s="11"/>
      <c r="K34" s="20"/>
      <c r="L34" s="21">
        <f>F_Inputs!J$18</f>
        <v>0</v>
      </c>
      <c r="M34" s="21">
        <f>F_Inputs!K$18</f>
        <v>0</v>
      </c>
      <c r="N34" s="21">
        <f>F_Inputs!L$18</f>
        <v>0</v>
      </c>
      <c r="O34" s="21">
        <f>F_Inputs!M$18</f>
        <v>0</v>
      </c>
      <c r="P34" s="21">
        <f>F_Inputs!N$18</f>
        <v>0</v>
      </c>
      <c r="Q34" s="20"/>
      <c r="R34" s="20"/>
      <c r="S34" s="20"/>
      <c r="T34" s="20"/>
      <c r="U34" s="20"/>
      <c r="V34" s="136" t="s">
        <v>164</v>
      </c>
      <c r="W34" s="11"/>
    </row>
    <row r="35" spans="1:23">
      <c r="A35" s="95"/>
      <c r="B35" s="95"/>
      <c r="C35" s="95"/>
      <c r="D35" s="12"/>
      <c r="E35" s="11"/>
      <c r="G35" s="11"/>
      <c r="H35" s="11"/>
      <c r="I35" s="11"/>
      <c r="J35" s="11"/>
      <c r="K35" s="20"/>
      <c r="L35" s="20"/>
      <c r="M35" s="20"/>
      <c r="N35" s="20"/>
      <c r="O35" s="20"/>
      <c r="P35" s="20"/>
      <c r="Q35" s="20"/>
      <c r="R35" s="20"/>
      <c r="S35" s="20"/>
      <c r="T35" s="20"/>
      <c r="U35" s="20"/>
      <c r="V35" s="8"/>
      <c r="W35" s="11"/>
    </row>
    <row r="36" spans="1:23" ht="13.15">
      <c r="A36" s="95"/>
      <c r="B36" s="95"/>
      <c r="C36" s="95"/>
      <c r="D36" s="12"/>
      <c r="E36" s="5" t="s">
        <v>165</v>
      </c>
      <c r="G36" s="11"/>
      <c r="H36" s="11"/>
      <c r="I36" s="11"/>
      <c r="J36" s="11"/>
      <c r="K36" s="20"/>
      <c r="L36" s="20"/>
      <c r="M36" s="20"/>
      <c r="N36" s="20"/>
      <c r="O36" s="20"/>
      <c r="P36" s="20"/>
      <c r="Q36" s="20"/>
      <c r="R36" s="20"/>
      <c r="S36" s="20"/>
      <c r="T36" s="20"/>
      <c r="U36" s="20"/>
      <c r="V36" s="8"/>
      <c r="W36" s="11"/>
    </row>
    <row r="37" spans="1:23" ht="13.15">
      <c r="A37" s="95"/>
      <c r="B37" s="95"/>
      <c r="C37" s="95"/>
      <c r="D37" s="12"/>
      <c r="E37" s="15" t="s">
        <v>166</v>
      </c>
      <c r="G37" s="11"/>
      <c r="H37" s="11"/>
      <c r="I37" s="11"/>
      <c r="J37" s="11"/>
      <c r="K37" s="20"/>
      <c r="L37" s="11"/>
      <c r="M37" s="11"/>
      <c r="N37" s="11"/>
      <c r="O37" s="11"/>
      <c r="P37" s="11"/>
      <c r="Q37" s="20"/>
      <c r="R37" s="20"/>
      <c r="S37" s="20"/>
      <c r="T37" s="20"/>
      <c r="U37" s="20"/>
      <c r="V37" s="8"/>
      <c r="W37" s="11"/>
    </row>
    <row r="38" spans="1:23">
      <c r="A38" s="156" t="s">
        <v>167</v>
      </c>
      <c r="B38" s="95"/>
      <c r="C38" s="95"/>
      <c r="D38" s="12" t="s">
        <v>150</v>
      </c>
      <c r="E38" s="18" t="s">
        <v>168</v>
      </c>
      <c r="F38" s="24" t="s">
        <v>169</v>
      </c>
      <c r="G38" s="11"/>
      <c r="H38" s="11"/>
      <c r="I38" s="11"/>
      <c r="J38" s="11"/>
      <c r="K38" s="20"/>
      <c r="L38" s="84">
        <f>IF(L$6 &lt; $O$6, SUM(F_Inputs!J$26:J$33) - F_Inputs!J$32, SUM(F_Inputs!J$26:J$31) + F_Inputs!J$33)</f>
        <v>20.752597678541989</v>
      </c>
      <c r="M38" s="84">
        <f>IF(M$6 &lt; $O$6, SUM(F_Inputs!K$26:K$33) - F_Inputs!K$32, SUM(F_Inputs!K$26:K$31) + F_Inputs!K$33)</f>
        <v>21.914999999999999</v>
      </c>
      <c r="N38" s="84">
        <f>IF(N$6 &lt; $O$6, SUM(F_Inputs!L$26:L$33) - F_Inputs!L$32, SUM(F_Inputs!L$26:L$31) + F_Inputs!L$33)</f>
        <v>22.520999999999997</v>
      </c>
      <c r="O38" s="84">
        <f>IF(O$6 &lt; $O$6, SUM(F_Inputs!M$26:M$33) - F_Inputs!M$32, SUM(F_Inputs!M$26:M$31) + F_Inputs!M$33)</f>
        <v>20.959079516606156</v>
      </c>
      <c r="P38" s="84">
        <f>IF(P$6 &lt; $O$6, SUM(F_Inputs!N$26:N$33) - F_Inputs!N$32, SUM(F_Inputs!N$26:N$31) + F_Inputs!N$33)</f>
        <v>21.73856647851288</v>
      </c>
      <c r="Q38" s="20"/>
      <c r="R38" s="20"/>
      <c r="S38" s="20"/>
      <c r="T38" s="20"/>
      <c r="U38" s="20"/>
      <c r="V38" s="8" t="s">
        <v>170</v>
      </c>
      <c r="W38" s="11"/>
    </row>
    <row r="39" spans="1:23">
      <c r="A39" s="156" t="s">
        <v>171</v>
      </c>
      <c r="B39" s="95"/>
      <c r="C39" s="95"/>
      <c r="D39" s="12" t="s">
        <v>150</v>
      </c>
      <c r="E39" s="18" t="s">
        <v>172</v>
      </c>
      <c r="F39" s="24" t="s">
        <v>169</v>
      </c>
      <c r="G39" s="11"/>
      <c r="H39" s="11"/>
      <c r="I39" s="11"/>
      <c r="J39" s="11"/>
      <c r="K39" s="20"/>
      <c r="L39" s="84">
        <f>IF(L$6 &lt; $O$6, SUM(F_Inputs!J$35:J$42) - F_Inputs!J$41, SUM(F_Inputs!J$35:J$40) + F_Inputs!J$42)</f>
        <v>0</v>
      </c>
      <c r="M39" s="84">
        <f>IF(M$6 &lt; $O$6, SUM(F_Inputs!K$35:K$42) - F_Inputs!K$41, SUM(F_Inputs!K$35:K$40) + F_Inputs!K$42)</f>
        <v>0</v>
      </c>
      <c r="N39" s="84">
        <f>IF(N$6 &lt; $O$6, SUM(F_Inputs!L$35:L$42) - F_Inputs!L$41, SUM(F_Inputs!L$35:L$40) + F_Inputs!L$42)</f>
        <v>0</v>
      </c>
      <c r="O39" s="84">
        <f>IF(O$6 &lt; $O$6, SUM(F_Inputs!M$35:M$42) - F_Inputs!M$41, SUM(F_Inputs!M$35:M$40) + F_Inputs!M$42)</f>
        <v>2.5478539125979953</v>
      </c>
      <c r="P39" s="84">
        <f>IF(P$6 &lt; $O$6, SUM(F_Inputs!N$35:N$42) - F_Inputs!N$41, SUM(F_Inputs!N$35:N$40) + F_Inputs!N$42)</f>
        <v>3.5051652891482474</v>
      </c>
      <c r="Q39" s="20"/>
      <c r="R39" s="20"/>
      <c r="S39" s="20"/>
      <c r="T39" s="20"/>
      <c r="U39" s="20"/>
      <c r="V39" s="8" t="s">
        <v>173</v>
      </c>
      <c r="W39" s="11"/>
    </row>
    <row r="40" spans="1:23" s="131" customFormat="1">
      <c r="A40" s="156" t="s">
        <v>174</v>
      </c>
      <c r="B40" s="95"/>
      <c r="C40" s="95"/>
      <c r="D40" s="134" t="s">
        <v>150</v>
      </c>
      <c r="E40" s="138" t="s">
        <v>175</v>
      </c>
      <c r="F40" s="135" t="s">
        <v>169</v>
      </c>
      <c r="G40" s="11"/>
      <c r="H40" s="11"/>
      <c r="I40" s="11"/>
      <c r="J40" s="11"/>
      <c r="K40" s="11"/>
      <c r="L40" s="84">
        <f>IF(L$6 &lt; $O$6, SUM(F_Inputs!J$44:J$51) - F_Inputs!J$50, SUM(F_Inputs!J$44:J$49) + F_Inputs!J$51)</f>
        <v>0</v>
      </c>
      <c r="M40" s="84">
        <f>IF(M$6 &lt; $O$6, SUM(F_Inputs!K$44:K$51) - F_Inputs!K$50, SUM(F_Inputs!K$44:K$49) + F_Inputs!K$51)</f>
        <v>0</v>
      </c>
      <c r="N40" s="84">
        <f>IF(N$6 &lt; $O$6, SUM(F_Inputs!L$44:L$51) - F_Inputs!L$50, SUM(F_Inputs!L$44:L$49) + F_Inputs!L$51)</f>
        <v>0</v>
      </c>
      <c r="O40" s="84">
        <f>IF(O$6 &lt; $O$6, SUM(F_Inputs!M$44:M$51) - F_Inputs!M$50, SUM(F_Inputs!M$44:M$49) + F_Inputs!M$51)</f>
        <v>0</v>
      </c>
      <c r="P40" s="84">
        <f>IF(P$6 &lt; $O$6, SUM(F_Inputs!N$44:N$51) - F_Inputs!N$50, SUM(F_Inputs!N$44:N$49) + F_Inputs!N$51)</f>
        <v>0</v>
      </c>
      <c r="Q40" s="11"/>
      <c r="R40" s="11"/>
      <c r="S40" s="11"/>
      <c r="T40" s="11"/>
      <c r="U40" s="11"/>
      <c r="V40" s="136" t="s">
        <v>176</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3.9">
      <c r="A42" s="89"/>
      <c r="B42" s="109"/>
      <c r="C42" s="109"/>
      <c r="D42" s="113"/>
      <c r="E42" s="111" t="s">
        <v>177</v>
      </c>
      <c r="F42" s="112"/>
      <c r="G42" s="110"/>
      <c r="H42" s="110"/>
      <c r="I42" s="110"/>
      <c r="J42" s="110"/>
      <c r="K42" s="110"/>
      <c r="L42" s="110"/>
      <c r="M42" s="110"/>
      <c r="N42" s="110"/>
      <c r="O42" s="110"/>
      <c r="P42" s="110"/>
      <c r="Q42" s="110"/>
      <c r="R42" s="110"/>
      <c r="S42" s="110"/>
      <c r="T42" s="110"/>
      <c r="U42" s="110"/>
      <c r="V42" s="110"/>
      <c r="W42" s="110"/>
    </row>
    <row r="43" spans="1:23" customFormat="1">
      <c r="A43" s="96"/>
      <c r="B43" s="96"/>
      <c r="C43" s="96"/>
      <c r="F43" s="26"/>
    </row>
    <row r="44" spans="1:23" ht="13.15">
      <c r="A44" s="95"/>
      <c r="B44" s="95"/>
      <c r="C44" s="95"/>
      <c r="D44" s="12"/>
      <c r="E44" s="5" t="s">
        <v>178</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150</v>
      </c>
      <c r="E45" s="13" t="s">
        <v>179</v>
      </c>
      <c r="F45" s="24" t="s">
        <v>180</v>
      </c>
      <c r="K45" s="84">
        <f>F_Inputs!$I$22</f>
        <v>-0.31843915056032501</v>
      </c>
      <c r="L45" s="8" t="s">
        <v>181</v>
      </c>
      <c r="M45" s="8"/>
      <c r="N45" s="8"/>
      <c r="O45" s="8"/>
      <c r="P45" s="8"/>
      <c r="Q45" s="8"/>
      <c r="R45" s="20"/>
      <c r="S45" s="20"/>
      <c r="T45" s="20"/>
      <c r="U45" s="20"/>
      <c r="V45" s="8"/>
    </row>
    <row r="46" spans="1:23" s="11" customFormat="1">
      <c r="A46" s="95" t="s">
        <v>33</v>
      </c>
      <c r="B46" s="95"/>
      <c r="C46" s="95"/>
      <c r="D46" s="12" t="s">
        <v>150</v>
      </c>
      <c r="E46" s="13" t="s">
        <v>182</v>
      </c>
      <c r="F46" s="24" t="s">
        <v>180</v>
      </c>
      <c r="K46" s="84">
        <f>F_Inputs!$I$23</f>
        <v>-5.4945266379669698E-2</v>
      </c>
      <c r="L46" s="8" t="s">
        <v>183</v>
      </c>
      <c r="M46" s="8"/>
      <c r="N46" s="8"/>
      <c r="O46" s="8"/>
      <c r="P46" s="8"/>
      <c r="Q46" s="8"/>
      <c r="R46" s="20"/>
      <c r="S46" s="20"/>
      <c r="T46" s="20"/>
      <c r="U46" s="20"/>
      <c r="V46" s="8"/>
    </row>
    <row r="47" spans="1:23">
      <c r="A47" s="95" t="s">
        <v>34</v>
      </c>
      <c r="B47" s="95"/>
      <c r="C47" s="95"/>
      <c r="D47" s="94" t="s">
        <v>184</v>
      </c>
      <c r="E47" s="13" t="s">
        <v>185</v>
      </c>
      <c r="F47" s="24" t="s">
        <v>186</v>
      </c>
      <c r="G47" s="8"/>
      <c r="H47" s="8"/>
      <c r="I47" s="11"/>
      <c r="J47" s="11"/>
      <c r="K47" s="20"/>
      <c r="L47" s="20"/>
      <c r="M47" s="20"/>
      <c r="N47" s="86">
        <f>F_Inputs!L$24</f>
        <v>0</v>
      </c>
      <c r="O47" s="86">
        <f>F_Inputs!M$24</f>
        <v>0</v>
      </c>
      <c r="P47" s="86">
        <f>F_Inputs!N$24</f>
        <v>0</v>
      </c>
      <c r="Q47" s="91">
        <f>SUM(N47:P47)</f>
        <v>0</v>
      </c>
      <c r="R47" s="20"/>
      <c r="S47" s="20"/>
      <c r="T47" s="20"/>
      <c r="U47" s="20"/>
      <c r="V47" s="8"/>
      <c r="W47" s="11"/>
    </row>
    <row r="48" spans="1:23">
      <c r="A48" s="95" t="s">
        <v>35</v>
      </c>
      <c r="B48" s="95"/>
      <c r="C48" s="95"/>
      <c r="D48" s="94" t="s">
        <v>184</v>
      </c>
      <c r="E48" s="13" t="s">
        <v>187</v>
      </c>
      <c r="F48" s="24" t="s">
        <v>186</v>
      </c>
      <c r="G48" s="8"/>
      <c r="H48" s="8"/>
      <c r="I48" s="11"/>
      <c r="J48" s="11"/>
      <c r="K48" s="20"/>
      <c r="L48" s="20"/>
      <c r="M48" s="20"/>
      <c r="N48" s="86">
        <f>F_Inputs!L$25</f>
        <v>0</v>
      </c>
      <c r="O48" s="86">
        <f>F_Inputs!M$25</f>
        <v>0</v>
      </c>
      <c r="P48" s="86">
        <f>F_Inputs!N$25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3.9">
      <c r="A50" s="89"/>
      <c r="B50" s="109"/>
      <c r="C50" s="109"/>
      <c r="D50" s="113"/>
      <c r="E50" s="111" t="s">
        <v>188</v>
      </c>
      <c r="F50" s="112"/>
      <c r="G50" s="110"/>
      <c r="H50" s="110"/>
      <c r="I50" s="110"/>
      <c r="J50" s="110"/>
      <c r="K50" s="110"/>
      <c r="L50" s="110"/>
      <c r="M50" s="110"/>
      <c r="N50" s="110"/>
      <c r="O50" s="110"/>
      <c r="P50" s="110"/>
      <c r="Q50" s="110"/>
      <c r="R50" s="110"/>
      <c r="S50" s="110"/>
      <c r="T50" s="110"/>
      <c r="U50" s="110"/>
      <c r="V50" s="110"/>
      <c r="W50" s="110"/>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ht="13.15">
      <c r="A52" s="95"/>
      <c r="B52" s="95"/>
      <c r="C52" s="95"/>
      <c r="D52" s="12"/>
      <c r="E52" s="15" t="s">
        <v>189</v>
      </c>
      <c r="G52" s="8"/>
      <c r="H52" s="8"/>
      <c r="I52" s="11"/>
      <c r="J52" s="11"/>
      <c r="K52" s="20"/>
      <c r="L52" s="20"/>
      <c r="M52" s="20"/>
      <c r="N52" s="20"/>
      <c r="O52" s="20"/>
      <c r="P52" s="20"/>
      <c r="Q52" s="20"/>
      <c r="R52" s="20"/>
      <c r="S52" s="20"/>
      <c r="T52" s="20"/>
      <c r="U52" s="20"/>
      <c r="V52" s="8"/>
      <c r="W52" s="11"/>
    </row>
    <row r="53" spans="1:23">
      <c r="A53" s="95" t="s">
        <v>190</v>
      </c>
      <c r="B53" s="95"/>
      <c r="C53" s="95"/>
      <c r="D53" s="12" t="s">
        <v>150</v>
      </c>
      <c r="E53" s="18" t="s">
        <v>191</v>
      </c>
      <c r="F53" s="24" t="s">
        <v>169</v>
      </c>
      <c r="G53" s="8"/>
      <c r="H53" s="8"/>
      <c r="I53" s="11"/>
      <c r="J53" s="11"/>
      <c r="K53" s="20"/>
      <c r="L53" s="20"/>
      <c r="M53" s="20"/>
      <c r="N53" s="20"/>
      <c r="O53" s="85"/>
      <c r="P53" s="20"/>
      <c r="Q53" s="20"/>
      <c r="R53" s="20"/>
      <c r="S53" s="20"/>
      <c r="T53" s="20"/>
      <c r="U53" s="20"/>
      <c r="V53" s="8"/>
      <c r="W53" s="11"/>
    </row>
    <row r="54" spans="1:23">
      <c r="A54" s="95" t="s">
        <v>192</v>
      </c>
      <c r="B54" s="95"/>
      <c r="C54" s="95"/>
      <c r="D54" s="12" t="s">
        <v>150</v>
      </c>
      <c r="E54" s="18" t="s">
        <v>193</v>
      </c>
      <c r="F54" s="24" t="s">
        <v>169</v>
      </c>
      <c r="G54" s="8"/>
      <c r="H54" s="8"/>
      <c r="I54" s="11"/>
      <c r="J54" s="11"/>
      <c r="K54" s="20"/>
      <c r="L54" s="20"/>
      <c r="M54" s="20"/>
      <c r="N54" s="20"/>
      <c r="O54" s="84"/>
      <c r="P54" s="20"/>
      <c r="Q54" s="20"/>
      <c r="R54" s="20"/>
      <c r="S54" s="20"/>
      <c r="T54" s="20"/>
      <c r="U54" s="20"/>
      <c r="V54" s="8"/>
      <c r="W54" s="11"/>
    </row>
    <row r="55" spans="1:23">
      <c r="A55" s="95" t="s">
        <v>194</v>
      </c>
      <c r="B55" s="95"/>
      <c r="C55" s="95"/>
      <c r="D55" s="149" t="s">
        <v>150</v>
      </c>
      <c r="E55" s="150" t="s">
        <v>195</v>
      </c>
      <c r="F55" s="151" t="s">
        <v>169</v>
      </c>
      <c r="G55" s="8"/>
      <c r="H55" s="8"/>
      <c r="I55" s="11"/>
      <c r="J55" s="11"/>
      <c r="K55" s="20"/>
      <c r="L55" s="20"/>
      <c r="M55" s="20"/>
      <c r="N55" s="20"/>
      <c r="O55" s="84"/>
      <c r="P55" s="20"/>
      <c r="Q55" s="20"/>
      <c r="R55" s="20"/>
      <c r="S55" s="20"/>
      <c r="T55" s="20"/>
      <c r="U55" s="20"/>
      <c r="V55" s="8"/>
      <c r="W55" s="11"/>
    </row>
    <row r="56" spans="1:23">
      <c r="A56" s="95"/>
      <c r="B56" s="95"/>
      <c r="C56" s="95"/>
      <c r="D56" s="12"/>
      <c r="E56" s="13"/>
      <c r="G56" s="8"/>
      <c r="H56" s="8"/>
      <c r="I56" s="11"/>
      <c r="J56" s="11"/>
      <c r="K56" s="20"/>
      <c r="L56" s="20"/>
      <c r="M56" s="20"/>
      <c r="N56" s="20"/>
      <c r="O56" s="20"/>
      <c r="P56" s="20"/>
      <c r="Q56" s="20"/>
      <c r="R56" s="20"/>
      <c r="S56" s="20"/>
      <c r="T56" s="20"/>
      <c r="U56" s="20"/>
      <c r="V56" s="8"/>
      <c r="W56" s="11"/>
    </row>
    <row r="57" spans="1:23">
      <c r="A57" s="95" t="s">
        <v>196</v>
      </c>
      <c r="B57" s="95"/>
      <c r="C57" s="95"/>
      <c r="D57" s="12" t="s">
        <v>150</v>
      </c>
      <c r="E57" s="18" t="s">
        <v>197</v>
      </c>
      <c r="F57" s="24" t="s">
        <v>169</v>
      </c>
      <c r="G57" s="8"/>
      <c r="H57" s="8"/>
      <c r="I57" s="11"/>
      <c r="J57" s="11"/>
      <c r="K57" s="20"/>
      <c r="L57" s="20"/>
      <c r="M57" s="20"/>
      <c r="N57" s="20"/>
      <c r="O57" s="20"/>
      <c r="P57" s="85"/>
      <c r="Q57" s="20"/>
      <c r="R57" s="20"/>
      <c r="S57" s="20"/>
      <c r="T57" s="20"/>
      <c r="U57" s="20"/>
      <c r="V57" s="8"/>
      <c r="W57" s="11"/>
    </row>
    <row r="58" spans="1:23">
      <c r="A58" s="95" t="s">
        <v>198</v>
      </c>
      <c r="B58" s="95"/>
      <c r="C58" s="95"/>
      <c r="D58" s="12" t="s">
        <v>150</v>
      </c>
      <c r="E58" s="18" t="s">
        <v>199</v>
      </c>
      <c r="F58" s="24" t="s">
        <v>169</v>
      </c>
      <c r="G58" s="8"/>
      <c r="H58" s="8"/>
      <c r="I58" s="11"/>
      <c r="J58" s="11"/>
      <c r="K58" s="20"/>
      <c r="L58" s="20"/>
      <c r="M58" s="20"/>
      <c r="N58" s="20"/>
      <c r="O58" s="20"/>
      <c r="P58" s="85"/>
      <c r="Q58" s="20"/>
      <c r="R58" s="20"/>
      <c r="S58" s="20"/>
      <c r="T58" s="20"/>
      <c r="U58" s="20"/>
      <c r="V58" s="8"/>
      <c r="W58" s="11"/>
    </row>
    <row r="59" spans="1:23">
      <c r="A59" s="95" t="s">
        <v>200</v>
      </c>
      <c r="B59" s="95"/>
      <c r="C59" s="95"/>
      <c r="D59" s="149" t="s">
        <v>150</v>
      </c>
      <c r="E59" s="150" t="s">
        <v>201</v>
      </c>
      <c r="F59" s="151" t="s">
        <v>169</v>
      </c>
      <c r="G59" s="8"/>
      <c r="H59" s="8"/>
      <c r="I59" s="11"/>
      <c r="J59" s="11"/>
      <c r="K59" s="20"/>
      <c r="L59" s="20"/>
      <c r="M59" s="20"/>
      <c r="N59" s="20"/>
      <c r="O59" s="20"/>
      <c r="P59" s="85"/>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3.9">
      <c r="A61" s="89"/>
      <c r="B61" s="109"/>
      <c r="C61" s="109"/>
      <c r="D61" s="113"/>
      <c r="E61" s="111" t="s">
        <v>546</v>
      </c>
      <c r="F61" s="112"/>
      <c r="G61" s="110"/>
      <c r="H61" s="110"/>
      <c r="I61" s="110"/>
      <c r="J61" s="110"/>
      <c r="K61" s="110"/>
      <c r="L61" s="110"/>
      <c r="M61" s="110"/>
      <c r="N61" s="110"/>
      <c r="O61" s="110"/>
      <c r="P61" s="110"/>
      <c r="Q61" s="110"/>
      <c r="R61" s="110"/>
      <c r="S61" s="110"/>
      <c r="T61" s="110"/>
      <c r="U61" s="110"/>
      <c r="V61" s="110"/>
      <c r="W61" s="110"/>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2" t="s">
        <v>133</v>
      </c>
      <c r="E63" s="11" t="s">
        <v>551</v>
      </c>
      <c r="G63" s="83" t="b">
        <v>1</v>
      </c>
      <c r="H63" s="11" t="s">
        <v>133</v>
      </c>
      <c r="I63" s="11"/>
      <c r="J63" s="11"/>
      <c r="K63" s="11"/>
      <c r="L63" s="11"/>
      <c r="M63" s="11"/>
      <c r="N63" s="11"/>
      <c r="O63" s="11"/>
      <c r="P63" s="11"/>
      <c r="Q63" s="11"/>
      <c r="R63" s="11"/>
      <c r="S63" s="11"/>
      <c r="T63" s="11"/>
      <c r="U63" s="11"/>
      <c r="V63" s="11"/>
      <c r="W63" s="11"/>
    </row>
    <row r="64" spans="1:23" customFormat="1">
      <c r="A64" s="11"/>
      <c r="D64" s="169" t="s">
        <v>15</v>
      </c>
      <c r="E64" s="170" t="s">
        <v>533</v>
      </c>
      <c r="F64" s="171"/>
      <c r="G64" s="166">
        <v>2018</v>
      </c>
      <c r="H64" s="8"/>
    </row>
    <row r="65" spans="1:23" s="179" customFormat="1">
      <c r="A65" s="182"/>
      <c r="D65" s="187"/>
      <c r="E65" s="182"/>
      <c r="F65" s="188"/>
      <c r="G65" s="11"/>
      <c r="H65" s="189"/>
    </row>
    <row r="66" spans="1:23">
      <c r="A66" s="11" t="s">
        <v>293</v>
      </c>
      <c r="B66"/>
      <c r="C66"/>
      <c r="D66" s="169" t="s">
        <v>150</v>
      </c>
      <c r="E66" s="170" t="s">
        <v>540</v>
      </c>
      <c r="F66" s="171" t="s">
        <v>535</v>
      </c>
      <c r="G66" s="11"/>
      <c r="H66" s="11"/>
      <c r="I66" s="11"/>
      <c r="J66" s="11"/>
      <c r="K66" s="20"/>
      <c r="L66" s="20"/>
      <c r="M66" s="20"/>
      <c r="N66" s="165">
        <f xml:space="preserve"> Input_Override!$L83</f>
        <v>19.591100001974855</v>
      </c>
      <c r="O66" s="20"/>
      <c r="P66" s="20"/>
      <c r="Q66" s="20"/>
      <c r="R66" s="20"/>
      <c r="S66" s="20"/>
      <c r="T66" s="20"/>
      <c r="U66" s="20"/>
      <c r="V66" s="8"/>
      <c r="W66" s="11"/>
    </row>
    <row r="67" spans="1:23">
      <c r="A67" s="11" t="s">
        <v>325</v>
      </c>
      <c r="B67"/>
      <c r="C67"/>
      <c r="D67" s="169" t="s">
        <v>150</v>
      </c>
      <c r="E67" s="170" t="s">
        <v>541</v>
      </c>
      <c r="F67" s="171" t="s">
        <v>535</v>
      </c>
      <c r="G67" s="11"/>
      <c r="H67" s="11"/>
      <c r="I67" s="11"/>
      <c r="J67" s="11"/>
      <c r="K67" s="20"/>
      <c r="L67" s="20"/>
      <c r="M67" s="20"/>
      <c r="N67" s="165">
        <f xml:space="preserve"> Input_Override!$L84</f>
        <v>2.452702007957825</v>
      </c>
      <c r="O67" s="20"/>
      <c r="P67" s="20"/>
      <c r="Q67" s="20"/>
      <c r="R67" s="20"/>
      <c r="S67" s="20"/>
      <c r="T67" s="20"/>
      <c r="U67" s="20"/>
      <c r="V67" s="8"/>
      <c r="W67" s="11"/>
    </row>
    <row r="68" spans="1:23">
      <c r="A68" s="11" t="s">
        <v>354</v>
      </c>
      <c r="B68"/>
      <c r="C68"/>
      <c r="D68" s="169" t="s">
        <v>150</v>
      </c>
      <c r="E68" s="170" t="s">
        <v>542</v>
      </c>
      <c r="F68" s="171" t="s">
        <v>535</v>
      </c>
      <c r="G68" s="11"/>
      <c r="H68" s="11"/>
      <c r="I68" s="11"/>
      <c r="J68" s="11"/>
      <c r="K68" s="20"/>
      <c r="L68" s="20"/>
      <c r="M68" s="20"/>
      <c r="N68" s="165">
        <f xml:space="preserve"> Input_Override!$L85</f>
        <v>0</v>
      </c>
      <c r="O68" s="20"/>
      <c r="P68" s="20"/>
      <c r="Q68" s="20"/>
      <c r="R68" s="20"/>
      <c r="S68" s="20"/>
      <c r="T68" s="20"/>
      <c r="U68" s="20"/>
      <c r="V68" s="8"/>
      <c r="W68" s="11"/>
    </row>
    <row r="69" spans="1:23" s="190" customFormat="1">
      <c r="A69" s="182"/>
      <c r="B69" s="179"/>
      <c r="C69" s="179"/>
      <c r="D69" s="187"/>
      <c r="E69" s="182"/>
      <c r="F69" s="188"/>
      <c r="G69" s="182"/>
      <c r="H69" s="182"/>
      <c r="I69" s="182"/>
      <c r="J69" s="182"/>
      <c r="K69" s="178"/>
      <c r="L69" s="178"/>
      <c r="M69" s="178"/>
      <c r="N69" s="178"/>
      <c r="O69" s="178"/>
      <c r="P69" s="178"/>
      <c r="Q69" s="178"/>
      <c r="R69" s="178"/>
      <c r="S69" s="178"/>
      <c r="T69" s="178"/>
      <c r="U69" s="178"/>
      <c r="V69" s="189"/>
      <c r="W69" s="182"/>
    </row>
    <row r="70" spans="1:23">
      <c r="A70" s="11" t="s">
        <v>295</v>
      </c>
      <c r="B70"/>
      <c r="C70"/>
      <c r="D70" s="169" t="s">
        <v>150</v>
      </c>
      <c r="E70" s="170" t="s">
        <v>543</v>
      </c>
      <c r="F70" s="171" t="s">
        <v>169</v>
      </c>
      <c r="G70" s="11"/>
      <c r="H70" s="11"/>
      <c r="I70" s="11"/>
      <c r="J70" s="11"/>
      <c r="K70" s="20"/>
      <c r="L70" s="20"/>
      <c r="M70" s="20"/>
      <c r="N70" s="20"/>
      <c r="O70" s="20"/>
      <c r="P70" s="165">
        <f>Input_Override!$N86</f>
        <v>2.4540000000000002</v>
      </c>
      <c r="Q70" s="20"/>
      <c r="R70" s="20"/>
      <c r="S70" s="20"/>
      <c r="T70" s="20"/>
      <c r="U70" s="20"/>
      <c r="V70" s="8"/>
      <c r="W70" s="11"/>
    </row>
    <row r="71" spans="1:23">
      <c r="A71" s="11" t="s">
        <v>327</v>
      </c>
      <c r="B71"/>
      <c r="C71"/>
      <c r="D71" s="169" t="s">
        <v>150</v>
      </c>
      <c r="E71" s="170" t="s">
        <v>544</v>
      </c>
      <c r="F71" s="171" t="s">
        <v>169</v>
      </c>
      <c r="G71" s="11"/>
      <c r="H71" s="11"/>
      <c r="I71" s="11"/>
      <c r="J71" s="11"/>
      <c r="K71" s="20"/>
      <c r="L71" s="20"/>
      <c r="M71" s="20"/>
      <c r="N71" s="20"/>
      <c r="O71" s="20"/>
      <c r="P71" s="165">
        <f>Input_Override!$N87</f>
        <v>0</v>
      </c>
      <c r="Q71" s="20"/>
      <c r="R71" s="20"/>
      <c r="S71" s="20"/>
      <c r="T71" s="20"/>
      <c r="U71" s="20"/>
      <c r="V71" s="8"/>
      <c r="W71" s="11"/>
    </row>
    <row r="72" spans="1:23">
      <c r="A72" s="11" t="s">
        <v>356</v>
      </c>
      <c r="B72"/>
      <c r="C72"/>
      <c r="D72" s="169" t="s">
        <v>150</v>
      </c>
      <c r="E72" s="170" t="s">
        <v>545</v>
      </c>
      <c r="F72" s="171" t="s">
        <v>169</v>
      </c>
      <c r="G72" s="11"/>
      <c r="H72" s="11"/>
      <c r="I72" s="11"/>
      <c r="J72" s="11"/>
      <c r="K72" s="20"/>
      <c r="L72" s="20"/>
      <c r="M72" s="20"/>
      <c r="N72" s="20"/>
      <c r="O72" s="20"/>
      <c r="P72" s="165">
        <f>Input_Override!$N88</f>
        <v>0</v>
      </c>
      <c r="Q72" s="20"/>
      <c r="R72" s="20"/>
      <c r="S72" s="20"/>
      <c r="T72" s="20"/>
      <c r="U72" s="20"/>
      <c r="V72" s="8"/>
      <c r="W72" s="11"/>
    </row>
    <row r="73" spans="1:23" ht="13.1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202</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 xml:space="preserve">&amp;L&amp;F&amp;CSheet: &amp;A&amp;ROFFICIAL
</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N25" activePane="bottomRight" state="frozen"/>
      <selection activeCell="H4" sqref="H4"/>
      <selection pane="topRight" activeCell="H4" sqref="H4"/>
      <selection pane="bottomLeft" activeCell="H4" sqref="H4"/>
      <selection pane="bottomRight" activeCell="H4" sqref="H4"/>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14"/>
      <c r="B1" s="114"/>
      <c r="C1" s="115"/>
      <c r="D1" s="116" t="s">
        <v>203</v>
      </c>
      <c r="E1" s="116"/>
      <c r="F1" s="116"/>
      <c r="G1" s="116"/>
      <c r="H1" s="116"/>
      <c r="I1" s="117"/>
      <c r="J1" s="117"/>
      <c r="K1" s="72"/>
      <c r="L1" s="72"/>
      <c r="M1" s="117"/>
      <c r="N1" s="117"/>
      <c r="O1" s="117"/>
      <c r="P1" s="117"/>
      <c r="Q1" s="117"/>
      <c r="R1" s="117"/>
      <c r="S1" s="117"/>
      <c r="T1" s="117"/>
      <c r="U1" s="71"/>
      <c r="V1" s="118"/>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125</v>
      </c>
      <c r="F3" s="67"/>
      <c r="G3" s="67"/>
      <c r="H3" s="119" t="s">
        <v>5</v>
      </c>
      <c r="I3" s="119" t="str">
        <f t="shared" ref="I3:U3" si="0">AMP.Years</f>
        <v>2012-13</v>
      </c>
      <c r="J3" s="119" t="str">
        <f t="shared" si="0"/>
        <v>2013-14</v>
      </c>
      <c r="K3" s="119" t="str">
        <f t="shared" si="0"/>
        <v>2014-15</v>
      </c>
      <c r="L3" s="120" t="str">
        <f t="shared" si="0"/>
        <v>2015-16</v>
      </c>
      <c r="M3" s="120" t="str">
        <f t="shared" si="0"/>
        <v>2016-17</v>
      </c>
      <c r="N3" s="120" t="str">
        <f t="shared" si="0"/>
        <v>2017-18</v>
      </c>
      <c r="O3" s="120" t="str">
        <f t="shared" si="0"/>
        <v>2018-19</v>
      </c>
      <c r="P3" s="120" t="str">
        <f t="shared" si="0"/>
        <v>2019-20</v>
      </c>
      <c r="Q3" s="119" t="str">
        <f t="shared" si="0"/>
        <v>2020-21</v>
      </c>
      <c r="R3" s="119" t="str">
        <f t="shared" si="0"/>
        <v>2021-22</v>
      </c>
      <c r="S3" s="119" t="str">
        <f t="shared" si="0"/>
        <v>2022-23</v>
      </c>
      <c r="T3" s="119" t="str">
        <f t="shared" si="0"/>
        <v>2023-24</v>
      </c>
      <c r="U3" s="119"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204</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127</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205</v>
      </c>
      <c r="J7" s="49" t="s">
        <v>205</v>
      </c>
      <c r="K7" s="49" t="s">
        <v>205</v>
      </c>
      <c r="L7" s="49" t="s">
        <v>205</v>
      </c>
      <c r="M7" s="49" t="s">
        <v>205</v>
      </c>
      <c r="N7" s="49" t="s">
        <v>205</v>
      </c>
      <c r="O7" s="49" t="s">
        <v>205</v>
      </c>
      <c r="P7" s="49" t="s">
        <v>205</v>
      </c>
      <c r="Q7" s="49" t="s">
        <v>205</v>
      </c>
      <c r="R7" s="49" t="s">
        <v>205</v>
      </c>
      <c r="S7" s="49" t="s">
        <v>205</v>
      </c>
      <c r="T7" s="49" t="s">
        <v>205</v>
      </c>
      <c r="U7" s="49" t="s">
        <v>205</v>
      </c>
      <c r="V7" s="33"/>
    </row>
    <row r="8" spans="1:24" s="32" customFormat="1" ht="12.75" customHeight="1">
      <c r="A8" s="56"/>
      <c r="B8" s="121"/>
      <c r="C8" s="121"/>
      <c r="D8" s="122"/>
      <c r="E8" s="123" t="s">
        <v>102</v>
      </c>
      <c r="F8" s="122"/>
      <c r="G8" s="122"/>
      <c r="H8" s="122"/>
      <c r="I8" s="122"/>
      <c r="J8" s="122"/>
      <c r="K8" s="122"/>
      <c r="L8" s="122"/>
      <c r="M8" s="122"/>
      <c r="N8" s="122"/>
      <c r="O8" s="122"/>
      <c r="P8" s="122"/>
      <c r="Q8" s="122"/>
      <c r="R8" s="122"/>
      <c r="S8" s="122"/>
      <c r="T8" s="122"/>
      <c r="U8" s="122"/>
      <c r="V8" s="122"/>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206</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207</v>
      </c>
      <c r="E11" s="36" t="s">
        <v>208</v>
      </c>
      <c r="F11" s="36"/>
      <c r="G11" s="36"/>
      <c r="I11" s="55">
        <f>F_Inputs!G$65</f>
        <v>242.5</v>
      </c>
      <c r="J11" s="55">
        <f>F_Inputs!H$65</f>
        <v>249.5</v>
      </c>
      <c r="K11" s="55">
        <f>F_Inputs!I$65</f>
        <v>255.7</v>
      </c>
      <c r="L11" s="55">
        <f>F_Inputs!J$65</f>
        <v>258</v>
      </c>
      <c r="M11" s="55">
        <f>F_Inputs!K$65</f>
        <v>261.39999999999998</v>
      </c>
      <c r="N11" s="55">
        <f>F_Inputs!L$65</f>
        <v>270.60000000000002</v>
      </c>
      <c r="O11" s="55">
        <f>F_Inputs!M$65</f>
        <v>279.75376435698001</v>
      </c>
      <c r="P11" s="55">
        <f>F_Inputs!N$65</f>
        <v>289.49309613042698</v>
      </c>
      <c r="Q11" s="19"/>
      <c r="R11" s="19"/>
      <c r="S11" s="19"/>
      <c r="T11" s="19"/>
      <c r="U11" s="19"/>
      <c r="V11" s="33"/>
    </row>
    <row r="12" spans="1:24" s="32" customFormat="1" ht="12.75">
      <c r="A12" s="32" t="s">
        <v>45</v>
      </c>
      <c r="B12" s="47">
        <v>2</v>
      </c>
      <c r="C12" s="45"/>
      <c r="D12" s="32" t="s">
        <v>207</v>
      </c>
      <c r="E12" s="36" t="s">
        <v>209</v>
      </c>
      <c r="F12" s="36"/>
      <c r="G12" s="36"/>
      <c r="I12" s="55">
        <f>F_Inputs!G$66</f>
        <v>242.4</v>
      </c>
      <c r="J12" s="55">
        <f>F_Inputs!H$66</f>
        <v>250</v>
      </c>
      <c r="K12" s="55">
        <f>F_Inputs!I$66</f>
        <v>255.9</v>
      </c>
      <c r="L12" s="55">
        <f>F_Inputs!J$66</f>
        <v>258.5</v>
      </c>
      <c r="M12" s="55">
        <f>F_Inputs!K$66</f>
        <v>262.10000000000002</v>
      </c>
      <c r="N12" s="55">
        <f>F_Inputs!L$66</f>
        <v>271.7</v>
      </c>
      <c r="O12" s="55">
        <f>F_Inputs!M$66</f>
        <v>281.28147815479201</v>
      </c>
      <c r="P12" s="55">
        <f>F_Inputs!N$66</f>
        <v>290.53187575381298</v>
      </c>
      <c r="Q12" s="19"/>
      <c r="R12" s="19"/>
      <c r="S12" s="19"/>
      <c r="T12" s="19"/>
      <c r="U12" s="19"/>
      <c r="V12" s="33"/>
    </row>
    <row r="13" spans="1:24" s="32" customFormat="1" ht="12.75">
      <c r="A13" s="32" t="s">
        <v>46</v>
      </c>
      <c r="B13" s="47">
        <v>3</v>
      </c>
      <c r="C13" s="45"/>
      <c r="D13" s="32" t="s">
        <v>207</v>
      </c>
      <c r="E13" s="36" t="s">
        <v>210</v>
      </c>
      <c r="F13" s="36"/>
      <c r="G13" s="36"/>
      <c r="I13" s="55">
        <f>F_Inputs!G$67</f>
        <v>241.8</v>
      </c>
      <c r="J13" s="55">
        <f>F_Inputs!H$67</f>
        <v>249.7</v>
      </c>
      <c r="K13" s="55">
        <f>F_Inputs!I$67</f>
        <v>256.3</v>
      </c>
      <c r="L13" s="55">
        <f>F_Inputs!J$67</f>
        <v>258.89999999999998</v>
      </c>
      <c r="M13" s="55">
        <f>F_Inputs!K$67</f>
        <v>263.10000000000002</v>
      </c>
      <c r="N13" s="55">
        <f>F_Inputs!L$67</f>
        <v>272.3</v>
      </c>
      <c r="O13" s="55">
        <f>F_Inputs!M$67</f>
        <v>282.40067535053703</v>
      </c>
      <c r="P13" s="55">
        <f>F_Inputs!N$67</f>
        <v>291.19785372564797</v>
      </c>
      <c r="Q13" s="19"/>
      <c r="R13" s="19"/>
      <c r="S13" s="19"/>
      <c r="T13" s="19"/>
      <c r="U13" s="19"/>
      <c r="V13" s="33"/>
    </row>
    <row r="14" spans="1:24" s="32" customFormat="1" ht="12.75">
      <c r="A14" s="32" t="s">
        <v>47</v>
      </c>
      <c r="B14" s="47">
        <v>4</v>
      </c>
      <c r="C14" s="45"/>
      <c r="D14" s="32" t="s">
        <v>207</v>
      </c>
      <c r="E14" s="36" t="s">
        <v>211</v>
      </c>
      <c r="F14" s="36"/>
      <c r="G14" s="36"/>
      <c r="I14" s="55">
        <f>F_Inputs!G$68</f>
        <v>242.1</v>
      </c>
      <c r="J14" s="55">
        <f>F_Inputs!H$68</f>
        <v>249.7</v>
      </c>
      <c r="K14" s="55">
        <f>F_Inputs!I$68</f>
        <v>256</v>
      </c>
      <c r="L14" s="55">
        <f>F_Inputs!J$68</f>
        <v>258.60000000000002</v>
      </c>
      <c r="M14" s="55">
        <f>F_Inputs!K$68</f>
        <v>263.39999999999998</v>
      </c>
      <c r="N14" s="55">
        <f>F_Inputs!L$68</f>
        <v>272.89999999999998</v>
      </c>
      <c r="O14" s="55">
        <f>F_Inputs!M$68</f>
        <v>282.544107067092</v>
      </c>
      <c r="P14" s="55">
        <f>F_Inputs!N$68</f>
        <v>290.96626417169898</v>
      </c>
      <c r="Q14" s="19"/>
      <c r="R14" s="19"/>
      <c r="S14" s="19"/>
      <c r="T14" s="19"/>
      <c r="U14" s="19"/>
      <c r="V14" s="33"/>
    </row>
    <row r="15" spans="1:24" s="32" customFormat="1" ht="12.75">
      <c r="A15" s="32" t="s">
        <v>48</v>
      </c>
      <c r="B15" s="47">
        <v>5</v>
      </c>
      <c r="C15" s="45"/>
      <c r="D15" s="32" t="s">
        <v>207</v>
      </c>
      <c r="E15" s="36" t="s">
        <v>212</v>
      </c>
      <c r="F15" s="36"/>
      <c r="G15" s="36"/>
      <c r="I15" s="55">
        <f>F_Inputs!G$69</f>
        <v>243</v>
      </c>
      <c r="J15" s="55">
        <f>F_Inputs!H$69</f>
        <v>251</v>
      </c>
      <c r="K15" s="55">
        <f>F_Inputs!I$69</f>
        <v>257</v>
      </c>
      <c r="L15" s="55">
        <f>F_Inputs!J$69</f>
        <v>259.8</v>
      </c>
      <c r="M15" s="55">
        <f>F_Inputs!K$69</f>
        <v>264.39999999999998</v>
      </c>
      <c r="N15" s="55">
        <f>F_Inputs!L$69</f>
        <v>274.7</v>
      </c>
      <c r="O15" s="55">
        <f>F_Inputs!M$69</f>
        <v>284.195947031088</v>
      </c>
      <c r="P15" s="55">
        <f>F_Inputs!N$69</f>
        <v>292.372408811269</v>
      </c>
      <c r="Q15" s="19"/>
      <c r="R15" s="19"/>
      <c r="S15" s="19"/>
      <c r="T15" s="19"/>
      <c r="U15" s="19"/>
      <c r="V15" s="33"/>
    </row>
    <row r="16" spans="1:24" s="32" customFormat="1" ht="12.75">
      <c r="A16" s="32" t="s">
        <v>49</v>
      </c>
      <c r="B16" s="47">
        <v>6</v>
      </c>
      <c r="C16" s="45"/>
      <c r="D16" s="32" t="s">
        <v>207</v>
      </c>
      <c r="E16" s="36" t="s">
        <v>213</v>
      </c>
      <c r="F16" s="36"/>
      <c r="G16" s="36"/>
      <c r="I16" s="55">
        <f>F_Inputs!G$70</f>
        <v>244.2</v>
      </c>
      <c r="J16" s="55">
        <f>F_Inputs!H$70</f>
        <v>251.9</v>
      </c>
      <c r="K16" s="55">
        <f>F_Inputs!I$70</f>
        <v>257.60000000000002</v>
      </c>
      <c r="L16" s="55">
        <f>F_Inputs!J$70</f>
        <v>259.60000000000002</v>
      </c>
      <c r="M16" s="55">
        <f>F_Inputs!K$70</f>
        <v>264.89999999999998</v>
      </c>
      <c r="N16" s="55">
        <f>F_Inputs!L$70</f>
        <v>275.10000000000002</v>
      </c>
      <c r="O16" s="55">
        <f>F_Inputs!M$70</f>
        <v>284.77230911357901</v>
      </c>
      <c r="P16" s="55">
        <f>F_Inputs!N$70</f>
        <v>292.99035372793202</v>
      </c>
      <c r="Q16" s="19"/>
      <c r="R16" s="19"/>
      <c r="S16" s="19"/>
      <c r="T16" s="19"/>
      <c r="U16" s="19"/>
      <c r="V16" s="33"/>
    </row>
    <row r="17" spans="1:22" s="32" customFormat="1" ht="12.75">
      <c r="A17" s="32" t="s">
        <v>50</v>
      </c>
      <c r="B17" s="47">
        <v>7</v>
      </c>
      <c r="C17" s="45"/>
      <c r="D17" s="32" t="s">
        <v>207</v>
      </c>
      <c r="E17" s="36" t="s">
        <v>214</v>
      </c>
      <c r="F17" s="36"/>
      <c r="G17" s="36"/>
      <c r="I17" s="55">
        <f>F_Inputs!G$71</f>
        <v>245.6</v>
      </c>
      <c r="J17" s="55">
        <f>F_Inputs!H$71</f>
        <v>251.9</v>
      </c>
      <c r="K17" s="55">
        <f>F_Inputs!I$71</f>
        <v>257.7</v>
      </c>
      <c r="L17" s="55">
        <f>F_Inputs!J$71</f>
        <v>259.5</v>
      </c>
      <c r="M17" s="55">
        <f>F_Inputs!K$71</f>
        <v>264.8</v>
      </c>
      <c r="N17" s="55">
        <f>F_Inputs!L$71</f>
        <v>275.3</v>
      </c>
      <c r="O17" s="55">
        <f>F_Inputs!M$71</f>
        <v>285.11627489441298</v>
      </c>
      <c r="P17" s="55">
        <f>F_Inputs!N$71</f>
        <v>293.38528668769197</v>
      </c>
      <c r="Q17" s="19"/>
      <c r="R17" s="19"/>
      <c r="S17" s="19"/>
      <c r="T17" s="19"/>
      <c r="U17" s="19"/>
      <c r="V17" s="33"/>
    </row>
    <row r="18" spans="1:22" s="32" customFormat="1" ht="12.75">
      <c r="A18" s="32" t="s">
        <v>51</v>
      </c>
      <c r="B18" s="47">
        <v>8</v>
      </c>
      <c r="C18" s="45"/>
      <c r="D18" s="32" t="s">
        <v>207</v>
      </c>
      <c r="E18" s="36" t="s">
        <v>215</v>
      </c>
      <c r="F18" s="36"/>
      <c r="G18" s="36"/>
      <c r="H18" s="55">
        <f>F_Inputs!F$72</f>
        <v>238.5</v>
      </c>
      <c r="I18" s="55">
        <f>F_Inputs!G$72</f>
        <v>245.6</v>
      </c>
      <c r="J18" s="55">
        <f>F_Inputs!H$72</f>
        <v>252.1</v>
      </c>
      <c r="K18" s="55">
        <f>F_Inputs!I$72</f>
        <v>257.10000000000002</v>
      </c>
      <c r="L18" s="55">
        <f>F_Inputs!J$72</f>
        <v>259.8</v>
      </c>
      <c r="M18" s="55">
        <f>F_Inputs!K$72</f>
        <v>265.5</v>
      </c>
      <c r="N18" s="55">
        <f>F_Inputs!L$72</f>
        <v>275.8</v>
      </c>
      <c r="O18" s="55">
        <f>F_Inputs!M$72</f>
        <v>285.07582794855898</v>
      </c>
      <c r="P18" s="55">
        <f>F_Inputs!N$72</f>
        <v>293.48122931214101</v>
      </c>
      <c r="Q18" s="19"/>
      <c r="R18" s="19"/>
      <c r="S18" s="19"/>
      <c r="T18" s="19"/>
      <c r="U18" s="19"/>
      <c r="V18" s="33"/>
    </row>
    <row r="19" spans="1:22" s="32" customFormat="1" ht="12.75">
      <c r="A19" s="32" t="s">
        <v>52</v>
      </c>
      <c r="B19" s="47">
        <v>9</v>
      </c>
      <c r="C19" s="45"/>
      <c r="D19" s="32" t="s">
        <v>207</v>
      </c>
      <c r="E19" s="36" t="s">
        <v>216</v>
      </c>
      <c r="F19" s="36"/>
      <c r="G19" s="36"/>
      <c r="I19" s="55">
        <f>F_Inputs!G$73</f>
        <v>246.8</v>
      </c>
      <c r="J19" s="55">
        <f>F_Inputs!H$73</f>
        <v>253.4</v>
      </c>
      <c r="K19" s="55">
        <f>F_Inputs!I$73</f>
        <v>257.5</v>
      </c>
      <c r="L19" s="55">
        <f>F_Inputs!J$73</f>
        <v>260.60000000000002</v>
      </c>
      <c r="M19" s="55">
        <f>F_Inputs!K$73</f>
        <v>267.10000000000002</v>
      </c>
      <c r="N19" s="55">
        <f>F_Inputs!L$73</f>
        <v>278.10000000000002</v>
      </c>
      <c r="O19" s="55">
        <f>F_Inputs!M$73</f>
        <v>286.44797240488498</v>
      </c>
      <c r="P19" s="55">
        <f>F_Inputs!N$73</f>
        <v>294.90943763743201</v>
      </c>
      <c r="Q19" s="19"/>
      <c r="R19" s="19"/>
      <c r="S19" s="19"/>
      <c r="T19" s="19"/>
      <c r="U19" s="19"/>
      <c r="V19" s="33"/>
    </row>
    <row r="20" spans="1:22" s="32" customFormat="1" ht="12.75">
      <c r="A20" s="32" t="s">
        <v>53</v>
      </c>
      <c r="B20" s="47">
        <v>10</v>
      </c>
      <c r="C20" s="45"/>
      <c r="D20" s="32" t="s">
        <v>207</v>
      </c>
      <c r="E20" s="36" t="s">
        <v>217</v>
      </c>
      <c r="F20" s="36"/>
      <c r="G20" s="36"/>
      <c r="I20" s="55">
        <f>F_Inputs!G$74</f>
        <v>245.8</v>
      </c>
      <c r="J20" s="55">
        <f>F_Inputs!H$74</f>
        <v>252.6</v>
      </c>
      <c r="K20" s="55">
        <f>F_Inputs!I$74</f>
        <v>255.4</v>
      </c>
      <c r="L20" s="55">
        <f>F_Inputs!J$74</f>
        <v>258.8</v>
      </c>
      <c r="M20" s="55">
        <f>F_Inputs!K$74</f>
        <v>265.5</v>
      </c>
      <c r="N20" s="55">
        <f>F_Inputs!L$74</f>
        <v>276</v>
      </c>
      <c r="O20" s="55">
        <f>F_Inputs!M$74</f>
        <v>284.88319284802901</v>
      </c>
      <c r="P20" s="55">
        <f>F_Inputs!N$74</f>
        <v>293.631301444592</v>
      </c>
      <c r="Q20" s="19"/>
      <c r="R20" s="19"/>
      <c r="S20" s="19"/>
      <c r="T20" s="19"/>
      <c r="U20" s="19"/>
      <c r="V20" s="33"/>
    </row>
    <row r="21" spans="1:22" s="32" customFormat="1" ht="12.75">
      <c r="A21" s="32" t="s">
        <v>54</v>
      </c>
      <c r="B21" s="47">
        <v>11</v>
      </c>
      <c r="C21" s="45"/>
      <c r="D21" s="32" t="s">
        <v>207</v>
      </c>
      <c r="E21" s="36" t="s">
        <v>218</v>
      </c>
      <c r="F21" s="36"/>
      <c r="G21" s="36"/>
      <c r="I21" s="55">
        <f>F_Inputs!G$75</f>
        <v>247.6</v>
      </c>
      <c r="J21" s="55">
        <f>F_Inputs!H$75</f>
        <v>254.2</v>
      </c>
      <c r="K21" s="55">
        <f>F_Inputs!I$75</f>
        <v>256.7</v>
      </c>
      <c r="L21" s="55">
        <f>F_Inputs!J$75</f>
        <v>260</v>
      </c>
      <c r="M21" s="55">
        <f>F_Inputs!K$75</f>
        <v>268.39999999999998</v>
      </c>
      <c r="N21" s="55">
        <f>F_Inputs!L$75</f>
        <v>278.10000000000002</v>
      </c>
      <c r="O21" s="55">
        <f>F_Inputs!M$75</f>
        <v>286.80584501338501</v>
      </c>
      <c r="P21" s="55">
        <f>F_Inputs!N$75</f>
        <v>295.63572354982</v>
      </c>
      <c r="Q21" s="19"/>
      <c r="R21" s="19"/>
      <c r="S21" s="19"/>
      <c r="T21" s="19"/>
      <c r="U21" s="19"/>
      <c r="V21" s="33"/>
    </row>
    <row r="22" spans="1:22" s="32" customFormat="1" ht="12.75">
      <c r="A22" s="32" t="s">
        <v>219</v>
      </c>
      <c r="B22" s="47">
        <v>12</v>
      </c>
      <c r="C22" s="45"/>
      <c r="D22" s="32" t="s">
        <v>207</v>
      </c>
      <c r="E22" s="36" t="s">
        <v>220</v>
      </c>
      <c r="F22" s="36"/>
      <c r="G22" s="36"/>
      <c r="I22" s="55">
        <f>F_Inputs!G$76</f>
        <v>248.7</v>
      </c>
      <c r="J22" s="55">
        <f>F_Inputs!H$76</f>
        <v>254.8</v>
      </c>
      <c r="K22" s="55">
        <f>F_Inputs!I$76</f>
        <v>257.10000000000002</v>
      </c>
      <c r="L22" s="55">
        <f>F_Inputs!J$76</f>
        <v>261.10000000000002</v>
      </c>
      <c r="M22" s="55">
        <f>F_Inputs!K$76</f>
        <v>269.3</v>
      </c>
      <c r="N22" s="55">
        <f>F_Inputs!L$76</f>
        <v>278.3</v>
      </c>
      <c r="O22" s="55">
        <f>F_Inputs!M$76</f>
        <v>287.92437506367202</v>
      </c>
      <c r="P22" s="55">
        <f>F_Inputs!N$76</f>
        <v>296.81744315166299</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221</v>
      </c>
      <c r="E24" s="100" t="s">
        <v>222</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223</v>
      </c>
      <c r="I26" s="52">
        <v>0</v>
      </c>
      <c r="J26" s="52">
        <v>0</v>
      </c>
      <c r="K26" s="52">
        <v>0</v>
      </c>
      <c r="L26" s="52">
        <v>0</v>
      </c>
      <c r="M26" s="52">
        <v>0</v>
      </c>
      <c r="N26" s="52">
        <v>0</v>
      </c>
      <c r="O26" s="52">
        <v>0</v>
      </c>
      <c r="P26" s="52">
        <v>0</v>
      </c>
      <c r="Q26" s="52">
        <v>0</v>
      </c>
      <c r="R26" s="52">
        <v>0</v>
      </c>
      <c r="S26" s="52">
        <v>0</v>
      </c>
      <c r="T26" s="52">
        <v>0</v>
      </c>
      <c r="U26" s="52">
        <v>0</v>
      </c>
      <c r="V26" s="51" t="s">
        <v>224</v>
      </c>
    </row>
    <row r="27" spans="1:22" s="32" customFormat="1" ht="12.75" customHeight="1">
      <c r="C27" s="45"/>
      <c r="I27" s="49" t="s">
        <v>205</v>
      </c>
      <c r="J27" s="49" t="s">
        <v>205</v>
      </c>
      <c r="K27" s="49" t="s">
        <v>205</v>
      </c>
      <c r="L27" s="49" t="s">
        <v>205</v>
      </c>
      <c r="M27" s="49" t="s">
        <v>205</v>
      </c>
      <c r="N27" s="49" t="s">
        <v>205</v>
      </c>
      <c r="O27" s="49" t="s">
        <v>205</v>
      </c>
      <c r="P27" s="49" t="s">
        <v>205</v>
      </c>
      <c r="Q27" s="49" t="s">
        <v>205</v>
      </c>
      <c r="R27" s="49" t="s">
        <v>205</v>
      </c>
      <c r="S27" s="49" t="s">
        <v>205</v>
      </c>
      <c r="T27" s="49" t="s">
        <v>205</v>
      </c>
      <c r="U27" s="49" t="s">
        <v>205</v>
      </c>
      <c r="V27" s="33"/>
    </row>
    <row r="28" spans="1:22" s="32" customFormat="1" ht="12.75" customHeight="1">
      <c r="E28" s="50" t="s">
        <v>225</v>
      </c>
      <c r="F28" s="50"/>
      <c r="G28" s="50"/>
      <c r="I28" s="49"/>
      <c r="J28" s="49"/>
      <c r="K28" s="49"/>
      <c r="L28" s="49"/>
      <c r="M28" s="49"/>
      <c r="N28" s="49"/>
      <c r="O28" s="49"/>
      <c r="P28" s="49"/>
      <c r="Q28" s="49"/>
      <c r="R28" s="49"/>
      <c r="S28" s="49"/>
      <c r="T28" s="49"/>
      <c r="U28" s="49"/>
      <c r="V28" s="33"/>
    </row>
    <row r="29" spans="1:22" ht="12.75" customHeight="1">
      <c r="B29" s="47">
        <v>1</v>
      </c>
      <c r="C29" s="45"/>
      <c r="D29" s="44" t="s">
        <v>207</v>
      </c>
      <c r="E29" s="36" t="s">
        <v>208</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279.75376435698001</v>
      </c>
      <c r="P29" s="46">
        <f t="shared" si="2"/>
        <v>289.49309613042698</v>
      </c>
      <c r="Q29" s="19"/>
      <c r="R29" s="19"/>
      <c r="S29" s="19"/>
      <c r="T29" s="19"/>
      <c r="U29" s="19"/>
    </row>
    <row r="30" spans="1:22" ht="12.75" customHeight="1">
      <c r="B30" s="47">
        <v>2</v>
      </c>
      <c r="C30" s="45"/>
      <c r="D30" s="44" t="s">
        <v>207</v>
      </c>
      <c r="E30" s="36" t="s">
        <v>209</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281.28147815479201</v>
      </c>
      <c r="P30" s="46">
        <f t="shared" si="3"/>
        <v>290.53187575381298</v>
      </c>
      <c r="Q30" s="19"/>
      <c r="R30" s="19"/>
      <c r="S30" s="19"/>
      <c r="T30" s="19"/>
      <c r="U30" s="19"/>
    </row>
    <row r="31" spans="1:22" ht="12.75" customHeight="1">
      <c r="B31" s="47">
        <v>3</v>
      </c>
      <c r="C31" s="45"/>
      <c r="D31" s="44" t="s">
        <v>207</v>
      </c>
      <c r="E31" s="36" t="s">
        <v>210</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282.40067535053703</v>
      </c>
      <c r="P31" s="46">
        <f t="shared" si="4"/>
        <v>291.19785372564797</v>
      </c>
      <c r="Q31" s="19"/>
      <c r="R31" s="19"/>
      <c r="S31" s="19"/>
      <c r="T31" s="19"/>
      <c r="U31" s="19"/>
    </row>
    <row r="32" spans="1:22" ht="12.75" customHeight="1">
      <c r="B32" s="47">
        <v>4</v>
      </c>
      <c r="C32" s="45"/>
      <c r="D32" s="44" t="s">
        <v>207</v>
      </c>
      <c r="E32" s="36" t="s">
        <v>211</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282.544107067092</v>
      </c>
      <c r="P32" s="46">
        <f t="shared" si="5"/>
        <v>290.96626417169898</v>
      </c>
      <c r="Q32" s="19"/>
      <c r="R32" s="19"/>
      <c r="S32" s="19"/>
      <c r="T32" s="19"/>
      <c r="U32" s="19"/>
    </row>
    <row r="33" spans="2:22" ht="12.75" customHeight="1">
      <c r="B33" s="47">
        <v>5</v>
      </c>
      <c r="C33" s="45"/>
      <c r="D33" s="44" t="s">
        <v>207</v>
      </c>
      <c r="E33" s="36" t="s">
        <v>212</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284.195947031088</v>
      </c>
      <c r="P33" s="46">
        <f t="shared" si="6"/>
        <v>292.372408811269</v>
      </c>
      <c r="Q33" s="19"/>
      <c r="R33" s="19"/>
      <c r="S33" s="19"/>
      <c r="T33" s="19"/>
      <c r="U33" s="19"/>
    </row>
    <row r="34" spans="2:22" ht="12.75" customHeight="1">
      <c r="B34" s="47">
        <v>6</v>
      </c>
      <c r="C34" s="45"/>
      <c r="D34" s="44" t="s">
        <v>207</v>
      </c>
      <c r="E34" s="36" t="s">
        <v>213</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284.77230911357901</v>
      </c>
      <c r="P34" s="46">
        <f t="shared" si="7"/>
        <v>292.99035372793202</v>
      </c>
      <c r="Q34" s="19"/>
      <c r="R34" s="19"/>
      <c r="S34" s="19"/>
      <c r="T34" s="19"/>
      <c r="U34" s="19"/>
    </row>
    <row r="35" spans="2:22" ht="12.75" customHeight="1">
      <c r="B35" s="47">
        <v>7</v>
      </c>
      <c r="C35" s="45"/>
      <c r="D35" s="44" t="s">
        <v>207</v>
      </c>
      <c r="E35" s="36" t="s">
        <v>214</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285.11627489441298</v>
      </c>
      <c r="P35" s="46">
        <f t="shared" si="8"/>
        <v>293.38528668769197</v>
      </c>
      <c r="Q35" s="19"/>
      <c r="R35" s="19"/>
      <c r="S35" s="19"/>
      <c r="T35" s="19"/>
      <c r="U35" s="19"/>
    </row>
    <row r="36" spans="2:22" ht="12.75" customHeight="1">
      <c r="B36" s="47">
        <v>8</v>
      </c>
      <c r="C36" s="45"/>
      <c r="D36" s="44" t="s">
        <v>207</v>
      </c>
      <c r="E36" s="36" t="s">
        <v>215</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285.07582794855898</v>
      </c>
      <c r="P36" s="46">
        <f t="shared" si="9"/>
        <v>293.48122931214101</v>
      </c>
      <c r="Q36" s="19"/>
      <c r="R36" s="19"/>
      <c r="S36" s="19"/>
      <c r="T36" s="19"/>
      <c r="U36" s="19"/>
    </row>
    <row r="37" spans="2:22" ht="12.75" customHeight="1">
      <c r="B37" s="47">
        <v>9</v>
      </c>
      <c r="C37" s="45"/>
      <c r="D37" s="44" t="s">
        <v>207</v>
      </c>
      <c r="E37" s="36" t="s">
        <v>216</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286.44797240488498</v>
      </c>
      <c r="P37" s="46">
        <f t="shared" si="10"/>
        <v>294.90943763743201</v>
      </c>
      <c r="Q37" s="19"/>
      <c r="R37" s="19"/>
      <c r="S37" s="19"/>
      <c r="T37" s="19"/>
      <c r="U37" s="19"/>
    </row>
    <row r="38" spans="2:22" ht="12.75" customHeight="1">
      <c r="B38" s="47">
        <v>10</v>
      </c>
      <c r="C38" s="45"/>
      <c r="D38" s="44" t="s">
        <v>207</v>
      </c>
      <c r="E38" s="36" t="s">
        <v>217</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284.88319284802901</v>
      </c>
      <c r="P38" s="46">
        <f t="shared" si="11"/>
        <v>293.631301444592</v>
      </c>
      <c r="Q38" s="19"/>
      <c r="R38" s="19"/>
      <c r="S38" s="19"/>
      <c r="T38" s="19"/>
      <c r="U38" s="19"/>
    </row>
    <row r="39" spans="2:22" ht="12.75" customHeight="1">
      <c r="B39" s="47">
        <v>11</v>
      </c>
      <c r="C39" s="45"/>
      <c r="D39" s="44" t="s">
        <v>207</v>
      </c>
      <c r="E39" s="36" t="s">
        <v>218</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286.80584501338501</v>
      </c>
      <c r="P39" s="46">
        <f t="shared" si="12"/>
        <v>295.63572354982</v>
      </c>
      <c r="Q39" s="19"/>
      <c r="R39" s="19"/>
      <c r="S39" s="19"/>
      <c r="T39" s="19"/>
      <c r="U39" s="19"/>
    </row>
    <row r="40" spans="2:22" ht="12.75" customHeight="1">
      <c r="B40" s="47">
        <v>12</v>
      </c>
      <c r="C40" s="45"/>
      <c r="D40" s="44" t="s">
        <v>207</v>
      </c>
      <c r="E40" s="36" t="s">
        <v>220</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287.92437506367202</v>
      </c>
      <c r="P40" s="46">
        <f t="shared" si="13"/>
        <v>296.81744315166299</v>
      </c>
      <c r="Q40" s="19"/>
      <c r="R40" s="19"/>
      <c r="S40" s="19"/>
      <c r="T40" s="19"/>
      <c r="U40" s="19"/>
    </row>
    <row r="41" spans="2:22" ht="12.75" customHeight="1">
      <c r="B41" s="45"/>
      <c r="C41" s="45"/>
      <c r="D41" s="44" t="s">
        <v>207</v>
      </c>
      <c r="E41" s="36" t="s">
        <v>226</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284.26681410391757</v>
      </c>
      <c r="P41" s="42">
        <f t="shared" si="14"/>
        <v>292.95102284201062</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101"/>
      <c r="J44" s="101"/>
      <c r="K44" s="101"/>
      <c r="L44" s="101"/>
      <c r="M44" s="101"/>
      <c r="N44" s="101"/>
      <c r="O44" s="101"/>
      <c r="P44" s="101"/>
      <c r="Q44" s="101"/>
      <c r="R44" s="101"/>
      <c r="S44" s="101"/>
      <c r="T44" s="101"/>
      <c r="U44" s="101"/>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227</v>
      </c>
      <c r="F47" s="40"/>
      <c r="G47" s="40"/>
    </row>
    <row r="48" spans="2:22" s="32" customFormat="1" ht="12.75" customHeight="1">
      <c r="D48" s="35" t="s">
        <v>20</v>
      </c>
      <c r="E48" s="39" t="s">
        <v>228</v>
      </c>
      <c r="F48" s="39"/>
      <c r="G48" s="39"/>
      <c r="I48" s="38"/>
      <c r="J48" s="38"/>
      <c r="K48" s="38"/>
      <c r="L48" s="38"/>
      <c r="M48" s="38"/>
      <c r="N48" s="38"/>
      <c r="O48" s="38"/>
      <c r="P48" s="38"/>
      <c r="Q48" s="38"/>
      <c r="R48" s="19"/>
      <c r="S48" s="19"/>
      <c r="T48" s="19"/>
      <c r="U48" s="19"/>
      <c r="V48" s="33" t="s">
        <v>229</v>
      </c>
    </row>
    <row r="49" spans="1:22" s="32" customFormat="1" ht="12.75" customHeight="1">
      <c r="D49" s="35" t="s">
        <v>221</v>
      </c>
      <c r="E49" s="36" t="s">
        <v>230</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1.1952864903503522</v>
      </c>
      <c r="Q49" s="34">
        <f t="shared" si="15"/>
        <v>1.2305292633632747</v>
      </c>
      <c r="R49" s="19"/>
      <c r="S49" s="19"/>
      <c r="T49" s="19"/>
      <c r="U49" s="19"/>
      <c r="V49" s="33" t="s">
        <v>231</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221</v>
      </c>
      <c r="E51" s="41" t="s">
        <v>232</v>
      </c>
      <c r="F51" s="36"/>
      <c r="G51" s="36"/>
      <c r="H51" s="32"/>
      <c r="I51" s="34"/>
      <c r="J51" s="34">
        <f t="shared" ref="J51:Q51" si="16">IF(Indexation.November.Actual.Override&lt;&gt;"",IF(I48=0,0,J48/I48),IF(H36=0,0,I36/H36))</f>
        <v>1.0297693920335429</v>
      </c>
      <c r="K51" s="34">
        <f t="shared" si="16"/>
        <v>1.0264657980456027</v>
      </c>
      <c r="L51" s="34">
        <f t="shared" si="16"/>
        <v>1.0198333994446649</v>
      </c>
      <c r="M51" s="34">
        <f t="shared" si="16"/>
        <v>1.0105017502917153</v>
      </c>
      <c r="N51" s="34">
        <f t="shared" si="16"/>
        <v>1.0219399538106235</v>
      </c>
      <c r="O51" s="34">
        <f t="shared" si="16"/>
        <v>1.0387947269303202</v>
      </c>
      <c r="P51" s="34">
        <f t="shared" si="16"/>
        <v>1.0336324436133393</v>
      </c>
      <c r="Q51" s="34">
        <f t="shared" si="16"/>
        <v>1.0294847915520173</v>
      </c>
      <c r="R51" s="19"/>
      <c r="S51" s="19"/>
      <c r="T51" s="19"/>
      <c r="U51" s="19"/>
      <c r="V51" s="33" t="s">
        <v>233</v>
      </c>
    </row>
    <row r="52" spans="1:22" s="32" customFormat="1" ht="12.75" customHeight="1">
      <c r="E52" s="40"/>
      <c r="F52" s="40"/>
      <c r="G52" s="40"/>
    </row>
    <row r="53" spans="1:22" s="32" customFormat="1" ht="12.75" customHeight="1">
      <c r="E53" s="40" t="s">
        <v>234</v>
      </c>
      <c r="F53" s="40"/>
      <c r="G53" s="40"/>
    </row>
    <row r="54" spans="1:22" ht="12.75" customHeight="1">
      <c r="A54" s="32" t="s">
        <v>235</v>
      </c>
      <c r="B54" s="32"/>
      <c r="C54" s="37"/>
      <c r="D54" s="35" t="s">
        <v>137</v>
      </c>
      <c r="E54" s="36" t="s">
        <v>236</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3.363244361333928E-2</v>
      </c>
      <c r="P54" s="34">
        <f t="shared" si="17"/>
        <v>2.9484791552017331E-2</v>
      </c>
      <c r="Q54" s="19"/>
      <c r="R54" s="19"/>
      <c r="S54" s="19"/>
      <c r="T54" s="19"/>
      <c r="U54" s="19"/>
      <c r="V54" s="33"/>
    </row>
    <row r="55" spans="1:22" s="32" customFormat="1" ht="12.75" customHeight="1">
      <c r="D55" s="35"/>
      <c r="E55" s="39"/>
      <c r="F55" s="39"/>
      <c r="G55" s="39"/>
      <c r="I55" s="101"/>
      <c r="J55" s="101"/>
      <c r="K55" s="101"/>
      <c r="L55" s="101"/>
      <c r="M55" s="101"/>
      <c r="N55" s="101"/>
      <c r="O55" s="101"/>
      <c r="P55" s="101"/>
      <c r="Q55" s="101"/>
      <c r="R55" s="101"/>
      <c r="S55" s="101"/>
      <c r="T55" s="101"/>
      <c r="U55" s="101"/>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2"/>
      <c r="D58" s="35"/>
      <c r="E58" s="103"/>
      <c r="F58" s="103"/>
      <c r="G58" s="103"/>
      <c r="I58" s="34"/>
      <c r="J58" s="34"/>
      <c r="K58" s="34"/>
      <c r="L58" s="34"/>
      <c r="M58" s="34"/>
      <c r="N58" s="34"/>
      <c r="O58" s="34"/>
      <c r="P58" s="34"/>
      <c r="Q58" s="34"/>
      <c r="R58" s="34"/>
      <c r="S58" s="34"/>
      <c r="T58" s="34"/>
      <c r="U58" s="34"/>
      <c r="V58" s="33"/>
    </row>
    <row r="59" spans="1:22" ht="12.75" customHeight="1" thickBot="1"/>
    <row r="60" spans="1:22" ht="12.75" customHeight="1" thickBot="1">
      <c r="A60" s="31" t="s">
        <v>202</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 xml:space="preserve">&amp;L&amp;F&amp;CSheet: &amp;A&amp;ROFFICIAL
</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75" zoomScaleNormal="75" workbookViewId="0">
      <selection activeCell="H4" sqref="H4"/>
    </sheetView>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&amp;L&amp;F&amp;CSheet: &amp;A&amp;ROFFICIAL
</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Q69" activePane="bottomRight" state="frozen"/>
      <selection activeCell="H4" sqref="H4"/>
      <selection pane="topRight" activeCell="H4" sqref="H4"/>
      <selection pane="bottomLeft" activeCell="H4" sqref="H4"/>
      <selection pane="bottomRight" activeCell="H4" sqref="H4"/>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8.86328125" bestFit="1"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05"/>
      <c r="B1" s="105"/>
      <c r="C1" s="105"/>
      <c r="D1" s="105" t="s">
        <v>237</v>
      </c>
      <c r="E1" s="105"/>
      <c r="F1" s="106"/>
      <c r="G1" s="105"/>
      <c r="H1" s="105"/>
      <c r="I1" s="105"/>
      <c r="J1" s="105"/>
      <c r="K1" s="105"/>
      <c r="L1" s="105"/>
      <c r="M1" s="105"/>
      <c r="N1" s="105"/>
      <c r="O1" s="105"/>
      <c r="P1" s="105"/>
      <c r="Q1" s="105"/>
      <c r="R1" s="105"/>
      <c r="S1" s="105"/>
      <c r="T1" s="105"/>
      <c r="U1" s="105"/>
      <c r="V1" s="105"/>
      <c r="W1" s="105"/>
    </row>
    <row r="2" spans="1:23" s="1" customFormat="1" ht="13.9">
      <c r="F2" s="24"/>
      <c r="G2" s="11"/>
      <c r="O2" s="11"/>
      <c r="P2" s="11"/>
    </row>
    <row r="3" spans="1:23" s="2" customFormat="1" ht="13.15">
      <c r="A3" s="11"/>
      <c r="B3" s="11"/>
      <c r="C3" s="11"/>
      <c r="D3" s="11"/>
      <c r="E3" s="11" t="s">
        <v>125</v>
      </c>
      <c r="F3" s="24"/>
      <c r="G3" s="11"/>
      <c r="H3" s="11"/>
      <c r="I3" s="107" t="str">
        <f t="shared" ref="I3:U3" si="0">AMP.Years</f>
        <v>2012-13</v>
      </c>
      <c r="J3" s="107" t="str">
        <f t="shared" si="0"/>
        <v>2013-14</v>
      </c>
      <c r="K3" s="107" t="str">
        <f t="shared" si="0"/>
        <v>2014-15</v>
      </c>
      <c r="L3" s="108" t="str">
        <f t="shared" si="0"/>
        <v>2015-16</v>
      </c>
      <c r="M3" s="108" t="str">
        <f t="shared" si="0"/>
        <v>2016-17</v>
      </c>
      <c r="N3" s="108" t="str">
        <f t="shared" si="0"/>
        <v>2017-18</v>
      </c>
      <c r="O3" s="108" t="str">
        <f t="shared" si="0"/>
        <v>2018-19</v>
      </c>
      <c r="P3" s="108" t="str">
        <f t="shared" si="0"/>
        <v>2019-20</v>
      </c>
      <c r="Q3" s="107" t="str">
        <f t="shared" si="0"/>
        <v>2020-21</v>
      </c>
      <c r="R3" s="107" t="str">
        <f t="shared" si="0"/>
        <v>2021-22</v>
      </c>
      <c r="S3" s="107" t="str">
        <f t="shared" si="0"/>
        <v>2022-23</v>
      </c>
      <c r="T3" s="107" t="str">
        <f t="shared" si="0"/>
        <v>2023-24</v>
      </c>
      <c r="U3" s="107"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126</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127</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9"/>
      <c r="C8" s="109"/>
      <c r="D8" s="113"/>
      <c r="E8" s="111" t="s">
        <v>238</v>
      </c>
      <c r="F8" s="112"/>
      <c r="G8" s="110"/>
      <c r="H8" s="110"/>
      <c r="I8" s="110"/>
      <c r="J8" s="110"/>
      <c r="K8" s="110"/>
      <c r="L8" s="124"/>
      <c r="M8" s="124"/>
      <c r="N8" s="124"/>
      <c r="O8" s="124"/>
      <c r="P8" s="124"/>
      <c r="Q8" s="124"/>
      <c r="R8" s="124"/>
      <c r="S8" s="124"/>
      <c r="T8" s="124"/>
      <c r="U8" s="124"/>
      <c r="V8" s="110"/>
      <c r="W8" s="110"/>
    </row>
    <row r="9" spans="1:23" s="2" customFormat="1">
      <c r="A9" s="11"/>
      <c r="B9" s="11"/>
      <c r="C9" s="11"/>
      <c r="D9" s="12"/>
      <c r="E9" s="11"/>
      <c r="F9" s="24"/>
      <c r="G9" s="11"/>
      <c r="H9" s="11"/>
      <c r="I9" s="11"/>
      <c r="J9" s="11"/>
      <c r="K9" s="11"/>
      <c r="L9" s="20"/>
      <c r="M9" s="20"/>
      <c r="N9" s="20"/>
      <c r="O9" s="20"/>
      <c r="P9" s="20"/>
      <c r="Q9" s="20"/>
      <c r="R9" s="20"/>
      <c r="S9" s="20"/>
      <c r="T9" s="20"/>
      <c r="U9" s="20"/>
      <c r="V9" s="11"/>
      <c r="W9" s="11"/>
    </row>
    <row r="10" spans="1:23" s="2" customFormat="1">
      <c r="A10" s="11"/>
      <c r="B10" s="11"/>
      <c r="C10" s="11"/>
      <c r="D10" s="12"/>
      <c r="E10" s="24" t="s">
        <v>239</v>
      </c>
      <c r="F10" s="24"/>
      <c r="G10" s="11"/>
      <c r="H10" s="11"/>
      <c r="I10" s="11"/>
      <c r="J10" s="11"/>
      <c r="K10" s="11"/>
      <c r="L10" s="20"/>
      <c r="M10" s="20"/>
      <c r="N10" s="20"/>
      <c r="O10" s="20"/>
      <c r="P10" s="20"/>
      <c r="Q10" s="20"/>
      <c r="R10" s="20"/>
      <c r="S10" s="20"/>
      <c r="T10" s="20"/>
      <c r="U10" s="20"/>
      <c r="V10" s="11"/>
      <c r="W10" s="11"/>
    </row>
    <row r="11" spans="1:23" s="2" customFormat="1" ht="13.15">
      <c r="A11" s="11"/>
      <c r="B11" s="11"/>
      <c r="C11" s="11"/>
      <c r="D11" s="12"/>
      <c r="E11" s="5" t="s">
        <v>240</v>
      </c>
      <c r="F11" s="24"/>
      <c r="G11" s="11"/>
      <c r="H11" s="11"/>
      <c r="I11" s="11"/>
      <c r="J11" s="11"/>
      <c r="K11" s="11"/>
      <c r="L11" s="11"/>
      <c r="M11" s="20"/>
      <c r="N11" s="20"/>
      <c r="O11" s="20"/>
      <c r="P11" s="20"/>
      <c r="Q11" s="20"/>
      <c r="R11" s="20"/>
      <c r="S11" s="20"/>
      <c r="T11" s="20"/>
      <c r="U11" s="20"/>
      <c r="V11" s="11"/>
      <c r="W11" s="11"/>
    </row>
    <row r="12" spans="1:23" s="2" customFormat="1">
      <c r="A12" s="11"/>
      <c r="B12" s="11"/>
      <c r="C12" s="11"/>
      <c r="D12" s="12" t="s">
        <v>15</v>
      </c>
      <c r="E12" s="13" t="s">
        <v>158</v>
      </c>
      <c r="F12" s="24"/>
      <c r="G12" s="11"/>
      <c r="H12" s="11"/>
      <c r="I12" s="11"/>
      <c r="J12" s="11"/>
      <c r="K12" s="20"/>
      <c r="L12" s="20">
        <f>K.Water</f>
        <v>0</v>
      </c>
      <c r="M12" s="20">
        <f>K.Water</f>
        <v>1.1399999999999999</v>
      </c>
      <c r="N12" s="20">
        <f>K.Water</f>
        <v>0.82</v>
      </c>
      <c r="O12" s="20">
        <f>K.Water</f>
        <v>0</v>
      </c>
      <c r="P12" s="20">
        <f>K.Water</f>
        <v>-7.13</v>
      </c>
      <c r="Q12" s="20"/>
      <c r="R12" s="20"/>
      <c r="S12" s="20"/>
      <c r="T12" s="20"/>
      <c r="U12" s="20"/>
      <c r="V12" s="11"/>
      <c r="W12" s="11"/>
    </row>
    <row r="13" spans="1:23" s="2" customFormat="1">
      <c r="A13" s="11"/>
      <c r="B13" s="11"/>
      <c r="C13" s="11"/>
      <c r="D13" s="12" t="s">
        <v>15</v>
      </c>
      <c r="E13" s="13" t="s">
        <v>241</v>
      </c>
      <c r="F13" s="24"/>
      <c r="G13" s="11"/>
      <c r="H13" s="11"/>
      <c r="I13" s="11"/>
      <c r="J13" s="11"/>
      <c r="K13" s="20"/>
      <c r="L13" s="20">
        <f>(Indexation.November.Actual.YearOnYear-1)*100</f>
        <v>1.983339944466489</v>
      </c>
      <c r="M13" s="20">
        <f>(Indexation.November.Actual.YearOnYear-1)*100</f>
        <v>1.0501750291715295</v>
      </c>
      <c r="N13" s="20">
        <f>(Indexation.November.Actual.YearOnYear-1)*100</f>
        <v>2.1939953810623525</v>
      </c>
      <c r="O13" s="20">
        <f>(Indexation.November.Actual.YearOnYear-1)*100</f>
        <v>3.8794726930320156</v>
      </c>
      <c r="P13" s="20">
        <f>(Indexation.November.Actual.YearOnYear-1)*100</f>
        <v>3.363244361333928</v>
      </c>
      <c r="Q13" s="20"/>
      <c r="R13" s="20"/>
      <c r="S13" s="20"/>
      <c r="T13" s="20"/>
      <c r="U13" s="20"/>
      <c r="V13" s="11"/>
      <c r="W13" s="11"/>
    </row>
    <row r="14" spans="1:23" s="2" customFormat="1">
      <c r="A14" s="11"/>
      <c r="B14" s="11"/>
      <c r="C14" s="11"/>
      <c r="D14" s="12" t="s">
        <v>15</v>
      </c>
      <c r="E14" s="13" t="s">
        <v>242</v>
      </c>
      <c r="F14" s="24"/>
      <c r="G14" s="11"/>
      <c r="H14" s="11"/>
      <c r="I14" s="11"/>
      <c r="J14" s="11"/>
      <c r="K14" s="20"/>
      <c r="L14" s="20">
        <f>1+(L13+L12)/100</f>
        <v>1.0198333994446649</v>
      </c>
      <c r="M14" s="20">
        <f>1+(M13+M12)/100</f>
        <v>1.0219017502917154</v>
      </c>
      <c r="N14" s="20">
        <f t="shared" ref="N14:P14" si="2">1+(N13+N12)/100</f>
        <v>1.0301399538106235</v>
      </c>
      <c r="O14" s="20">
        <f t="shared" si="2"/>
        <v>1.0387947269303202</v>
      </c>
      <c r="P14" s="20">
        <f t="shared" si="2"/>
        <v>0.96233244361333925</v>
      </c>
      <c r="Q14" s="20"/>
      <c r="R14" s="20"/>
      <c r="S14" s="20"/>
      <c r="T14" s="20"/>
      <c r="U14" s="20"/>
      <c r="V14" s="11"/>
      <c r="W14" s="11"/>
    </row>
    <row r="15" spans="1:23" s="2" customFormat="1">
      <c r="A15" s="11"/>
      <c r="B15" s="11"/>
      <c r="C15" s="11"/>
      <c r="D15" s="12" t="s">
        <v>150</v>
      </c>
      <c r="E15" s="13" t="s">
        <v>243</v>
      </c>
      <c r="F15" s="24" t="s">
        <v>169</v>
      </c>
      <c r="G15" s="11"/>
      <c r="H15" s="11"/>
      <c r="I15" s="11"/>
      <c r="J15" s="11"/>
      <c r="K15" s="20">
        <f>AllRev.Water</f>
        <v>21.546294802240499</v>
      </c>
      <c r="L15" s="20">
        <f>K15*L14</f>
        <v>21.973631073605841</v>
      </c>
      <c r="M15" s="20">
        <f>L15*M14</f>
        <v>22.454892054382235</v>
      </c>
      <c r="N15" s="20">
        <f t="shared" ref="N15:P15" si="3">M15*N14</f>
        <v>23.131681463723851</v>
      </c>
      <c r="O15" s="20">
        <f t="shared" si="3"/>
        <v>24.029068729548165</v>
      </c>
      <c r="P15" s="20">
        <f t="shared" si="3"/>
        <v>23.123952428258963</v>
      </c>
      <c r="Q15" s="20"/>
      <c r="R15" s="20"/>
      <c r="S15" s="20"/>
      <c r="T15" s="20"/>
      <c r="U15" s="20"/>
      <c r="V15" s="8" t="s">
        <v>244</v>
      </c>
      <c r="W15" s="11"/>
    </row>
    <row r="16" spans="1:23" s="2" customFormat="1">
      <c r="A16" s="11"/>
      <c r="B16" s="11"/>
      <c r="C16" s="11"/>
      <c r="D16" s="12"/>
      <c r="E16" s="11"/>
      <c r="F16" s="24"/>
      <c r="G16" s="11"/>
      <c r="H16" s="11"/>
      <c r="I16" s="11"/>
      <c r="J16" s="11"/>
      <c r="K16" s="11"/>
      <c r="L16" s="20"/>
      <c r="M16" s="20"/>
      <c r="N16" s="20"/>
      <c r="O16" s="20"/>
      <c r="P16" s="20"/>
      <c r="Q16" s="20"/>
      <c r="R16" s="20"/>
      <c r="S16" s="20"/>
      <c r="T16" s="20"/>
      <c r="U16" s="20"/>
      <c r="V16" s="11"/>
      <c r="W16" s="11"/>
    </row>
    <row r="17" spans="1:23" s="174" customFormat="1">
      <c r="A17" s="170"/>
      <c r="B17" s="170"/>
      <c r="C17" s="170"/>
      <c r="D17" s="169" t="s">
        <v>15</v>
      </c>
      <c r="E17" s="175" t="s">
        <v>158</v>
      </c>
      <c r="F17" s="172"/>
      <c r="G17" s="170"/>
      <c r="H17" s="170"/>
      <c r="I17" s="170"/>
      <c r="J17" s="170"/>
      <c r="K17" s="170"/>
      <c r="L17" s="173"/>
      <c r="M17" s="173"/>
      <c r="N17" s="173"/>
      <c r="O17" s="173">
        <f>K.Water</f>
        <v>0</v>
      </c>
      <c r="P17" s="173">
        <f>K.Water</f>
        <v>-7.13</v>
      </c>
      <c r="Q17" s="173"/>
      <c r="R17" s="173"/>
      <c r="S17" s="173"/>
      <c r="T17" s="173"/>
      <c r="U17" s="173"/>
      <c r="V17" s="170"/>
      <c r="W17" s="170"/>
    </row>
    <row r="18" spans="1:23" s="174" customFormat="1">
      <c r="A18" s="170"/>
      <c r="B18" s="170"/>
      <c r="C18" s="170"/>
      <c r="D18" s="169" t="s">
        <v>15</v>
      </c>
      <c r="E18" s="175" t="s">
        <v>241</v>
      </c>
      <c r="F18" s="172"/>
      <c r="G18" s="170"/>
      <c r="H18" s="170"/>
      <c r="I18" s="170"/>
      <c r="J18" s="170"/>
      <c r="K18" s="170"/>
      <c r="L18" s="173"/>
      <c r="M18" s="173"/>
      <c r="N18" s="173"/>
      <c r="O18" s="173">
        <f>(Indexation.November.Actual.YearOnYear-1)*100</f>
        <v>3.8794726930320156</v>
      </c>
      <c r="P18" s="173">
        <f>(Indexation.November.Actual.YearOnYear-1)*100</f>
        <v>3.363244361333928</v>
      </c>
      <c r="Q18" s="173"/>
      <c r="R18" s="173"/>
      <c r="S18" s="173"/>
      <c r="T18" s="173"/>
      <c r="U18" s="173"/>
      <c r="V18" s="170"/>
      <c r="W18" s="170"/>
    </row>
    <row r="19" spans="1:23" s="174" customFormat="1">
      <c r="A19" s="170"/>
      <c r="B19" s="170"/>
      <c r="C19" s="170"/>
      <c r="D19" s="169" t="s">
        <v>15</v>
      </c>
      <c r="E19" s="175" t="s">
        <v>242</v>
      </c>
      <c r="F19" s="172"/>
      <c r="G19" s="170"/>
      <c r="H19" s="170"/>
      <c r="I19" s="170"/>
      <c r="J19" s="170"/>
      <c r="K19" s="170"/>
      <c r="L19" s="173"/>
      <c r="M19" s="173"/>
      <c r="N19" s="173"/>
      <c r="O19" s="173">
        <f>1+(O18+O17)/100</f>
        <v>1.0387947269303202</v>
      </c>
      <c r="P19" s="173">
        <f t="shared" ref="P19" si="4">1+(P18+P17)/100</f>
        <v>0.96233244361333925</v>
      </c>
      <c r="Q19" s="173"/>
      <c r="R19" s="173"/>
      <c r="S19" s="173"/>
      <c r="T19" s="173"/>
      <c r="U19" s="173"/>
      <c r="V19" s="170"/>
      <c r="W19" s="170"/>
    </row>
    <row r="20" spans="1:23" s="174" customFormat="1">
      <c r="A20" s="170"/>
      <c r="B20" s="170"/>
      <c r="C20" s="170"/>
      <c r="D20" s="169" t="s">
        <v>150</v>
      </c>
      <c r="E20" s="175" t="s">
        <v>243</v>
      </c>
      <c r="F20" s="172" t="s">
        <v>169</v>
      </c>
      <c r="G20" s="170"/>
      <c r="H20" s="170"/>
      <c r="I20" s="170"/>
      <c r="J20" s="170"/>
      <c r="K20" s="173"/>
      <c r="L20" s="173"/>
      <c r="M20" s="173"/>
      <c r="N20" s="173">
        <f xml:space="preserve"> IF(N6 = 3, Data!N$66, M20 * N19)</f>
        <v>19.591100001974855</v>
      </c>
      <c r="O20" s="173">
        <f xml:space="preserve"> IF(O6 = 3, Data!O$66, N20 * O19)</f>
        <v>20.351131376816063</v>
      </c>
      <c r="P20" s="173">
        <f xml:space="preserve"> IF(P6 = 3, Data!P$66, O20 * P19)</f>
        <v>19.584553988147505</v>
      </c>
      <c r="Q20" s="173"/>
      <c r="R20" s="173"/>
      <c r="S20" s="173"/>
      <c r="T20" s="173"/>
      <c r="U20" s="173"/>
      <c r="V20" s="170"/>
      <c r="W20" s="170"/>
    </row>
    <row r="21" spans="1:23" s="174" customFormat="1">
      <c r="A21" s="170"/>
      <c r="B21" s="170"/>
      <c r="C21" s="170"/>
      <c r="D21" s="176" t="str">
        <f xml:space="preserve"> Data!D$63</f>
        <v>True/False</v>
      </c>
      <c r="E21" s="176" t="str">
        <f xml:space="preserve"> Data!E$63</f>
        <v>Are NAV adjustments required for this company</v>
      </c>
      <c r="F21" s="176"/>
      <c r="G21" s="176" t="b">
        <f xml:space="preserve"> Data!G$63</f>
        <v>1</v>
      </c>
      <c r="H21" s="170"/>
      <c r="I21" s="170"/>
      <c r="J21" s="170"/>
      <c r="K21" s="170"/>
      <c r="L21" s="173"/>
      <c r="M21" s="173"/>
      <c r="N21" s="173"/>
      <c r="O21" s="173"/>
      <c r="P21" s="173"/>
      <c r="Q21" s="173"/>
      <c r="R21" s="173"/>
      <c r="S21" s="173"/>
      <c r="T21" s="173"/>
      <c r="U21" s="173"/>
      <c r="V21" s="170"/>
      <c r="W21" s="170"/>
    </row>
    <row r="22" spans="1:23" s="174" customFormat="1">
      <c r="A22" s="170"/>
      <c r="B22" s="170"/>
      <c r="C22" s="170"/>
      <c r="D22" s="176" t="str">
        <f xml:space="preserve"> Data!D$64</f>
        <v>Nr</v>
      </c>
      <c r="E22" s="176" t="str">
        <f xml:space="preserve"> Data!E$64</f>
        <v>NAV year</v>
      </c>
      <c r="F22" s="176"/>
      <c r="G22" s="176">
        <f xml:space="preserve"> Data!G$64</f>
        <v>2018</v>
      </c>
      <c r="H22" s="170"/>
      <c r="I22" s="170"/>
      <c r="J22" s="170"/>
      <c r="K22" s="170"/>
      <c r="L22" s="173"/>
      <c r="M22" s="173"/>
      <c r="N22" s="173"/>
      <c r="O22" s="173"/>
      <c r="P22" s="173"/>
      <c r="Q22" s="173"/>
      <c r="R22" s="173"/>
      <c r="S22" s="173"/>
      <c r="T22" s="173"/>
      <c r="U22" s="173"/>
      <c r="V22" s="170"/>
      <c r="W22" s="170"/>
    </row>
    <row r="23" spans="1:23" s="174" customFormat="1">
      <c r="A23" s="170"/>
      <c r="B23" s="170"/>
      <c r="C23" s="170"/>
      <c r="D23" s="169" t="s">
        <v>150</v>
      </c>
      <c r="E23" s="175" t="s">
        <v>243</v>
      </c>
      <c r="F23" s="172" t="s">
        <v>169</v>
      </c>
      <c r="G23" s="170"/>
      <c r="H23" s="170"/>
      <c r="I23" s="170"/>
      <c r="J23" s="170"/>
      <c r="K23" s="170"/>
      <c r="L23" s="173">
        <f xml:space="preserve"> IF($G$21=TRUE, IF(L$5 &lt; $G22, L15, L20), L15)</f>
        <v>21.973631073605841</v>
      </c>
      <c r="M23" s="173">
        <f t="shared" ref="M23:P23" si="5" xml:space="preserve"> IF($G$21=TRUE, IF(M$5 &lt; $G22, M15, M20), M15)</f>
        <v>22.454892054382235</v>
      </c>
      <c r="N23" s="173">
        <f t="shared" si="5"/>
        <v>23.131681463723851</v>
      </c>
      <c r="O23" s="173">
        <f t="shared" si="5"/>
        <v>20.351131376816063</v>
      </c>
      <c r="P23" s="173">
        <f t="shared" si="5"/>
        <v>19.584553988147505</v>
      </c>
      <c r="Q23" s="173"/>
      <c r="R23" s="173"/>
      <c r="S23" s="173"/>
      <c r="T23" s="173"/>
      <c r="U23" s="173"/>
      <c r="V23" s="177" t="s">
        <v>536</v>
      </c>
      <c r="W23" s="170"/>
    </row>
    <row r="24" spans="1:23" s="174" customFormat="1">
      <c r="A24" s="170"/>
      <c r="B24" s="170"/>
      <c r="C24" s="170"/>
      <c r="D24" s="169"/>
      <c r="E24" s="170"/>
      <c r="F24" s="172"/>
      <c r="G24" s="170"/>
      <c r="H24" s="170"/>
      <c r="I24" s="170"/>
      <c r="J24" s="170"/>
      <c r="K24" s="170"/>
      <c r="L24" s="173"/>
      <c r="M24" s="173"/>
      <c r="N24" s="173"/>
      <c r="O24" s="173"/>
      <c r="P24" s="173"/>
      <c r="Q24" s="173"/>
      <c r="R24" s="173"/>
      <c r="S24" s="173"/>
      <c r="T24" s="173"/>
      <c r="U24" s="173"/>
      <c r="V24" s="170"/>
      <c r="W24" s="170"/>
    </row>
    <row r="25" spans="1:23" s="2" customFormat="1">
      <c r="A25" s="11"/>
      <c r="B25" s="11"/>
      <c r="C25" s="11"/>
      <c r="D25" s="12"/>
      <c r="E25" s="24" t="s">
        <v>245</v>
      </c>
      <c r="F25" s="24"/>
      <c r="G25" s="11"/>
      <c r="H25" s="11"/>
      <c r="I25" s="11"/>
      <c r="J25" s="11"/>
      <c r="K25" s="11"/>
      <c r="L25" s="20"/>
      <c r="M25" s="20"/>
      <c r="N25" s="20"/>
      <c r="O25" s="20"/>
      <c r="P25" s="20"/>
      <c r="Q25" s="20"/>
      <c r="R25" s="20"/>
      <c r="S25" s="20"/>
      <c r="T25" s="20"/>
      <c r="U25" s="20"/>
      <c r="V25" s="11"/>
      <c r="W25" s="11"/>
    </row>
    <row r="26" spans="1:23" s="2" customFormat="1" ht="13.15">
      <c r="A26" s="11"/>
      <c r="B26" s="11"/>
      <c r="C26" s="11"/>
      <c r="D26" s="12"/>
      <c r="E26" s="5" t="s">
        <v>246</v>
      </c>
      <c r="F26" s="24"/>
      <c r="G26" s="11"/>
      <c r="H26" s="11"/>
      <c r="I26" s="11"/>
      <c r="J26" s="11"/>
      <c r="K26" s="11"/>
      <c r="L26" s="11"/>
      <c r="M26" s="11"/>
      <c r="N26" s="11"/>
      <c r="O26" s="11"/>
      <c r="P26" s="11"/>
      <c r="Q26" s="11"/>
      <c r="R26" s="11"/>
      <c r="S26" s="20"/>
      <c r="T26" s="20"/>
      <c r="U26" s="20"/>
      <c r="V26" s="11"/>
      <c r="W26" s="11"/>
    </row>
    <row r="27" spans="1:23" s="2" customFormat="1">
      <c r="A27" s="11"/>
      <c r="B27" s="11"/>
      <c r="C27" s="11"/>
      <c r="D27" s="12" t="s">
        <v>150</v>
      </c>
      <c r="E27" s="13" t="s">
        <v>247</v>
      </c>
      <c r="F27" s="24" t="s">
        <v>180</v>
      </c>
      <c r="G27" s="11"/>
      <c r="H27" s="11"/>
      <c r="I27" s="11"/>
      <c r="J27" s="11"/>
      <c r="K27" s="20">
        <f>BlindYear.1415.Adj.Water</f>
        <v>-0.31843915056032501</v>
      </c>
      <c r="L27" s="8" t="s">
        <v>248</v>
      </c>
      <c r="M27" s="11"/>
      <c r="N27" s="11"/>
      <c r="O27" s="11"/>
      <c r="P27" s="11"/>
      <c r="Q27" s="11"/>
      <c r="R27" s="11"/>
      <c r="S27" s="20"/>
      <c r="T27" s="20"/>
      <c r="U27" s="20"/>
      <c r="V27" s="11"/>
      <c r="W27" s="11"/>
    </row>
    <row r="28" spans="1:23" s="2" customFormat="1">
      <c r="A28" s="11"/>
      <c r="B28" s="11"/>
      <c r="C28" s="11"/>
      <c r="D28" s="12" t="s">
        <v>150</v>
      </c>
      <c r="E28" s="13" t="s">
        <v>249</v>
      </c>
      <c r="F28" s="24" t="s">
        <v>180</v>
      </c>
      <c r="G28" s="11"/>
      <c r="H28" s="11"/>
      <c r="I28" s="11"/>
      <c r="J28" s="11"/>
      <c r="K28" s="20">
        <f>AMP5.RCM.Adj.Water</f>
        <v>-0.31843915056032501</v>
      </c>
      <c r="L28" s="20">
        <f>K28*(1+Discount.Rate)</f>
        <v>-0.32990295998049673</v>
      </c>
      <c r="M28" s="20">
        <f>L28*(1+Discount.Rate)</f>
        <v>-0.34177946653979463</v>
      </c>
      <c r="N28" s="20">
        <f>M28*(1+Discount.Rate)</f>
        <v>-0.35408352733522724</v>
      </c>
      <c r="O28" s="20">
        <f>N28*(1+Discount.Rate)</f>
        <v>-0.36683053431929541</v>
      </c>
      <c r="P28" s="20">
        <f>O28*(1+Discount.Rate)</f>
        <v>-0.38003643355479005</v>
      </c>
      <c r="Q28" s="11"/>
      <c r="R28" s="11"/>
      <c r="S28" s="20"/>
      <c r="T28" s="20"/>
      <c r="U28" s="20"/>
      <c r="V28" s="11"/>
      <c r="W28" s="11"/>
    </row>
    <row r="29" spans="1:23" s="2" customFormat="1">
      <c r="A29" s="11"/>
      <c r="B29" s="11"/>
      <c r="C29" s="11"/>
      <c r="D29" s="12" t="s">
        <v>20</v>
      </c>
      <c r="E29" s="13" t="str">
        <f>Data!E47</f>
        <v>Percentage of blind year adjustment by year - water</v>
      </c>
      <c r="F29" s="24" t="s">
        <v>250</v>
      </c>
      <c r="G29" s="11"/>
      <c r="H29" s="11"/>
      <c r="I29" s="11"/>
      <c r="J29" s="11"/>
      <c r="K29" s="19"/>
      <c r="L29" s="19"/>
      <c r="M29" s="19"/>
      <c r="N29" s="97">
        <f>Data!N47</f>
        <v>0</v>
      </c>
      <c r="O29" s="97">
        <f>Data!O47</f>
        <v>0</v>
      </c>
      <c r="P29" s="97">
        <f>Data!P47</f>
        <v>0</v>
      </c>
      <c r="Q29" s="11"/>
      <c r="R29" s="11"/>
      <c r="S29" s="20"/>
      <c r="T29" s="20"/>
      <c r="U29" s="20"/>
      <c r="V29" s="11"/>
      <c r="W29" s="11"/>
    </row>
    <row r="30" spans="1:23" s="2" customFormat="1">
      <c r="A30" s="11"/>
      <c r="B30" s="11"/>
      <c r="C30" s="11"/>
      <c r="D30" s="12" t="s">
        <v>150</v>
      </c>
      <c r="E30" s="13" t="s">
        <v>251</v>
      </c>
      <c r="F30" s="24" t="s">
        <v>180</v>
      </c>
      <c r="G30" s="11"/>
      <c r="H30" s="11"/>
      <c r="I30" s="11"/>
      <c r="J30" s="11"/>
      <c r="K30" s="19"/>
      <c r="L30" s="19"/>
      <c r="M30" s="19"/>
      <c r="N30" s="20">
        <f>N28*N29</f>
        <v>0</v>
      </c>
      <c r="O30" s="20">
        <f t="shared" ref="O30:P30" si="6">O28*O29</f>
        <v>0</v>
      </c>
      <c r="P30" s="20">
        <f t="shared" si="6"/>
        <v>0</v>
      </c>
      <c r="Q30" s="20"/>
      <c r="R30" s="20"/>
      <c r="S30" s="20"/>
      <c r="T30" s="20"/>
      <c r="U30" s="20"/>
      <c r="V30" s="11"/>
      <c r="W30" s="11"/>
    </row>
    <row r="31" spans="1:23" s="2" customFormat="1">
      <c r="A31" s="11"/>
      <c r="B31" s="11"/>
      <c r="C31" s="11"/>
      <c r="D31" s="12" t="s">
        <v>150</v>
      </c>
      <c r="E31" s="13" t="s">
        <v>252</v>
      </c>
      <c r="F31" s="24" t="s">
        <v>169</v>
      </c>
      <c r="G31" s="11"/>
      <c r="H31" s="11"/>
      <c r="I31" s="11"/>
      <c r="J31" s="11"/>
      <c r="K31" s="19"/>
      <c r="L31" s="74"/>
      <c r="M31" s="19"/>
      <c r="N31" s="20">
        <f>N30*Indexation.November.Actual</f>
        <v>0</v>
      </c>
      <c r="O31" s="20">
        <f t="shared" ref="O31:P31" si="7">O30*Indexation.November.Actual</f>
        <v>0</v>
      </c>
      <c r="P31" s="20">
        <f t="shared" si="7"/>
        <v>0</v>
      </c>
      <c r="Q31" s="20"/>
      <c r="R31" s="20"/>
      <c r="S31" s="20"/>
      <c r="T31" s="20"/>
      <c r="U31" s="20"/>
      <c r="V31" s="8" t="s">
        <v>253</v>
      </c>
      <c r="W31" s="11"/>
    </row>
    <row r="32" spans="1:23" s="2" customFormat="1">
      <c r="A32" s="11"/>
      <c r="B32" s="11"/>
      <c r="C32" s="11"/>
      <c r="D32" s="12"/>
      <c r="E32" s="13"/>
      <c r="F32" s="24"/>
      <c r="G32" s="11"/>
      <c r="H32" s="11"/>
      <c r="I32" s="11"/>
      <c r="J32" s="11"/>
      <c r="K32" s="11"/>
      <c r="L32" s="20"/>
      <c r="M32" s="20"/>
      <c r="N32" s="20"/>
      <c r="O32" s="20"/>
      <c r="P32" s="20"/>
      <c r="Q32" s="20"/>
      <c r="R32" s="20"/>
      <c r="S32" s="20"/>
      <c r="T32" s="20"/>
      <c r="U32" s="20"/>
      <c r="V32" s="8"/>
      <c r="W32" s="11"/>
    </row>
    <row r="33" spans="1:23" s="2" customFormat="1">
      <c r="A33" s="11"/>
      <c r="B33" s="11"/>
      <c r="C33" s="11"/>
      <c r="D33" s="12" t="s">
        <v>20</v>
      </c>
      <c r="E33" s="180" t="s">
        <v>254</v>
      </c>
      <c r="F33" s="24" t="s">
        <v>250</v>
      </c>
      <c r="G33" s="11"/>
      <c r="H33" s="11"/>
      <c r="I33" s="11"/>
      <c r="J33" s="11"/>
      <c r="K33" s="19"/>
      <c r="L33" s="74"/>
      <c r="M33" s="19"/>
      <c r="N33" s="19"/>
      <c r="O33" s="19"/>
      <c r="P33" s="181">
        <f xml:space="preserve"> 1 - SUM(N29:P29)</f>
        <v>1</v>
      </c>
      <c r="Q33" s="20"/>
      <c r="R33" s="20"/>
      <c r="S33" s="20"/>
      <c r="T33" s="20"/>
      <c r="U33" s="20"/>
      <c r="V33" s="8"/>
      <c r="W33" s="11"/>
    </row>
    <row r="34" spans="1:23" s="2" customFormat="1">
      <c r="A34" s="11"/>
      <c r="B34" s="11"/>
      <c r="C34" s="11"/>
      <c r="D34" s="12" t="s">
        <v>150</v>
      </c>
      <c r="E34" s="180" t="s">
        <v>255</v>
      </c>
      <c r="F34" s="24" t="s">
        <v>180</v>
      </c>
      <c r="G34" s="11"/>
      <c r="H34" s="11"/>
      <c r="I34" s="11"/>
      <c r="J34" s="11"/>
      <c r="K34" s="19"/>
      <c r="L34" s="74"/>
      <c r="M34" s="19"/>
      <c r="N34" s="19"/>
      <c r="O34" s="19"/>
      <c r="P34" s="178">
        <f xml:space="preserve"> P28*(1+Discount.Rate)</f>
        <v>-0.39371774516276253</v>
      </c>
      <c r="Q34" s="20"/>
      <c r="R34" s="20"/>
      <c r="S34" s="20"/>
      <c r="T34" s="20"/>
      <c r="U34" s="20"/>
      <c r="V34" s="8"/>
      <c r="W34" s="11"/>
    </row>
    <row r="35" spans="1:23" s="2" customFormat="1">
      <c r="A35" s="11"/>
      <c r="B35" s="11"/>
      <c r="C35" s="11"/>
      <c r="D35" s="12" t="s">
        <v>150</v>
      </c>
      <c r="E35" s="180" t="s">
        <v>256</v>
      </c>
      <c r="F35" s="24" t="s">
        <v>180</v>
      </c>
      <c r="G35" s="11"/>
      <c r="H35" s="11"/>
      <c r="I35" s="11"/>
      <c r="J35" s="11"/>
      <c r="K35" s="19"/>
      <c r="L35" s="74"/>
      <c r="M35" s="19"/>
      <c r="N35" s="19"/>
      <c r="O35" s="19"/>
      <c r="P35" s="178">
        <f xml:space="preserve"> P33 * P34</f>
        <v>-0.39371774516276253</v>
      </c>
      <c r="Q35" s="20"/>
      <c r="R35" s="20"/>
      <c r="S35" s="20"/>
      <c r="T35" s="20"/>
      <c r="U35" s="20"/>
      <c r="V35" s="8"/>
      <c r="W35" s="11"/>
    </row>
    <row r="36" spans="1:23" s="2" customFormat="1">
      <c r="A36" s="11"/>
      <c r="B36" s="11"/>
      <c r="C36" s="11"/>
      <c r="D36" s="12" t="s">
        <v>150</v>
      </c>
      <c r="E36" s="180" t="s">
        <v>257</v>
      </c>
      <c r="F36" s="24" t="s">
        <v>169</v>
      </c>
      <c r="G36" s="11"/>
      <c r="H36" s="11"/>
      <c r="I36" s="11"/>
      <c r="J36" s="11"/>
      <c r="K36" s="19"/>
      <c r="L36" s="74"/>
      <c r="M36" s="19"/>
      <c r="N36" s="19"/>
      <c r="O36" s="19"/>
      <c r="P36" s="178">
        <f>P35*Indexation.November.Actual</f>
        <v>-0.47060550180425276</v>
      </c>
      <c r="Q36" s="20"/>
      <c r="R36" s="20"/>
      <c r="S36" s="20"/>
      <c r="T36" s="20"/>
      <c r="U36" s="20"/>
      <c r="V36" s="8"/>
      <c r="W36" s="11"/>
    </row>
    <row r="37" spans="1:23" s="2" customFormat="1">
      <c r="A37" s="11"/>
      <c r="B37" s="11"/>
      <c r="C37" s="11"/>
      <c r="D37" s="12"/>
      <c r="E37" s="11"/>
      <c r="F37" s="24"/>
      <c r="G37" s="11"/>
      <c r="H37" s="11"/>
      <c r="I37" s="11"/>
      <c r="J37" s="11"/>
      <c r="K37" s="11"/>
      <c r="L37" s="20"/>
      <c r="M37" s="20"/>
      <c r="N37" s="20"/>
      <c r="O37" s="20"/>
      <c r="P37" s="20"/>
      <c r="Q37" s="20"/>
      <c r="R37" s="20"/>
      <c r="S37" s="20"/>
      <c r="T37" s="20"/>
      <c r="U37" s="20"/>
      <c r="V37" s="11"/>
      <c r="W37" s="11"/>
    </row>
    <row r="38" spans="1:23" s="2" customFormat="1">
      <c r="A38" s="11"/>
      <c r="B38" s="11"/>
      <c r="C38" s="11"/>
      <c r="D38" s="12"/>
      <c r="E38" s="24" t="s">
        <v>258</v>
      </c>
      <c r="F38" s="24"/>
      <c r="G38" s="11"/>
      <c r="H38" s="11"/>
      <c r="I38" s="11"/>
      <c r="J38" s="11"/>
      <c r="K38" s="11"/>
      <c r="L38" s="20"/>
      <c r="M38" s="20"/>
      <c r="N38" s="20"/>
      <c r="O38" s="20"/>
      <c r="P38" s="20"/>
      <c r="Q38" s="20"/>
      <c r="R38" s="20"/>
      <c r="S38" s="20"/>
      <c r="T38" s="20"/>
      <c r="U38" s="20"/>
      <c r="V38" s="11"/>
      <c r="W38" s="11"/>
    </row>
    <row r="39" spans="1:23" s="2" customFormat="1" ht="13.15">
      <c r="A39" s="11"/>
      <c r="B39" s="11"/>
      <c r="C39" s="11"/>
      <c r="D39" s="12"/>
      <c r="E39" s="5" t="s">
        <v>259</v>
      </c>
      <c r="F39" s="24"/>
      <c r="G39" s="11"/>
      <c r="H39" s="11"/>
      <c r="I39" s="11"/>
      <c r="J39" s="11"/>
      <c r="K39" s="11"/>
      <c r="L39" s="20"/>
      <c r="M39" s="20"/>
      <c r="N39" s="20"/>
      <c r="O39" s="20"/>
      <c r="P39" s="20"/>
      <c r="Q39" s="20"/>
      <c r="R39" s="20"/>
      <c r="S39" s="20"/>
      <c r="T39" s="20"/>
      <c r="U39" s="20"/>
      <c r="V39" s="11"/>
      <c r="W39" s="11"/>
    </row>
    <row r="40" spans="1:23" s="2" customFormat="1">
      <c r="A40" s="11"/>
      <c r="B40" s="11"/>
      <c r="C40" s="11"/>
      <c r="D40" s="12" t="s">
        <v>150</v>
      </c>
      <c r="E40" s="13" t="s">
        <v>260</v>
      </c>
      <c r="F40" s="24" t="s">
        <v>169</v>
      </c>
      <c r="G40" s="11"/>
      <c r="H40" s="11"/>
      <c r="I40" s="11"/>
      <c r="J40" s="11"/>
      <c r="K40" s="11"/>
      <c r="L40" s="20">
        <f>J56+J66</f>
        <v>0</v>
      </c>
      <c r="M40" s="20">
        <f t="shared" ref="M40:P40" si="8">K56+K66</f>
        <v>0</v>
      </c>
      <c r="N40" s="20">
        <f t="shared" si="8"/>
        <v>1.3141584348539475</v>
      </c>
      <c r="O40" s="20">
        <f t="shared" si="8"/>
        <v>0.6079481397900991</v>
      </c>
      <c r="P40" s="20">
        <f t="shared" si="8"/>
        <v>2.1540124903653957</v>
      </c>
      <c r="Q40" s="20"/>
      <c r="R40" s="20"/>
      <c r="S40" s="14"/>
      <c r="T40" s="14"/>
      <c r="U40" s="14"/>
      <c r="V40" s="8" t="s">
        <v>261</v>
      </c>
      <c r="W40" s="11"/>
    </row>
    <row r="41" spans="1:23" s="2" customFormat="1">
      <c r="A41" s="11"/>
      <c r="B41" s="11"/>
      <c r="C41" s="11"/>
      <c r="D41" s="13" t="str">
        <f>Data!D12</f>
        <v>True/False</v>
      </c>
      <c r="E41" s="13" t="str">
        <f>Data!E12</f>
        <v>Company has accepted WRFIM licence modification</v>
      </c>
      <c r="F41" s="13"/>
      <c r="G41" s="13" t="b">
        <f>Data!G12</f>
        <v>1</v>
      </c>
      <c r="H41" s="13" t="str">
        <f>Data!H12</f>
        <v>True/False</v>
      </c>
      <c r="I41" s="13"/>
      <c r="J41" s="13"/>
      <c r="K41" s="13"/>
      <c r="L41" s="20"/>
      <c r="M41" s="20"/>
      <c r="N41" s="20"/>
      <c r="O41" s="20"/>
      <c r="P41" s="20"/>
      <c r="Q41" s="20"/>
      <c r="R41" s="20"/>
      <c r="S41" s="14"/>
      <c r="T41" s="14"/>
      <c r="U41" s="14"/>
      <c r="V41" s="8"/>
      <c r="W41" s="11"/>
    </row>
    <row r="42" spans="1:23" s="2" customFormat="1">
      <c r="A42" s="11"/>
      <c r="B42" s="11"/>
      <c r="C42" s="11"/>
      <c r="D42" s="12" t="s">
        <v>150</v>
      </c>
      <c r="E42" s="13" t="str">
        <f>Data!E53</f>
        <v>Over-recovered 17/18 revenue returned - water</v>
      </c>
      <c r="F42" s="24" t="s">
        <v>169</v>
      </c>
      <c r="G42" s="13"/>
      <c r="H42" s="13"/>
      <c r="I42" s="13"/>
      <c r="J42" s="13"/>
      <c r="K42" s="13"/>
      <c r="L42" s="20"/>
      <c r="M42" s="20"/>
      <c r="N42" s="20"/>
      <c r="O42" s="178">
        <f>(0 - Data!$O$53)</f>
        <v>0</v>
      </c>
      <c r="P42" s="178"/>
      <c r="Q42" s="20"/>
      <c r="R42" s="20"/>
      <c r="S42" s="14"/>
      <c r="T42" s="14"/>
      <c r="U42" s="14"/>
      <c r="V42" s="8"/>
      <c r="W42" s="11"/>
    </row>
    <row r="43" spans="1:23" s="2" customFormat="1">
      <c r="A43" s="11"/>
      <c r="B43" s="11"/>
      <c r="C43" s="11"/>
      <c r="D43" s="12" t="s">
        <v>150</v>
      </c>
      <c r="E43" s="13" t="s">
        <v>262</v>
      </c>
      <c r="F43" s="24" t="s">
        <v>169</v>
      </c>
      <c r="G43" s="13"/>
      <c r="H43" s="13"/>
      <c r="I43" s="13"/>
      <c r="J43" s="13"/>
      <c r="K43" s="13"/>
      <c r="L43" s="20"/>
      <c r="M43" s="20"/>
      <c r="N43" s="20"/>
      <c r="O43" s="178"/>
      <c r="P43" s="178">
        <f>(0-O42*(1+Discount.Rate))*(INDEX(Indexation.November.Actual.YearOnYear,,MATCH(P$5,Calendar.Years,0)))</f>
        <v>0</v>
      </c>
      <c r="Q43" s="20"/>
      <c r="R43" s="20"/>
      <c r="S43" s="14"/>
      <c r="T43" s="14"/>
      <c r="U43" s="14"/>
      <c r="V43" s="8"/>
      <c r="W43" s="11"/>
    </row>
    <row r="44" spans="1:23" s="2" customFormat="1">
      <c r="A44" s="11"/>
      <c r="B44" s="11"/>
      <c r="C44" s="11"/>
      <c r="D44" s="12" t="s">
        <v>150</v>
      </c>
      <c r="E44" s="13" t="str">
        <f>Data!E57</f>
        <v>Over-recovered 18/19 revenue returned - water</v>
      </c>
      <c r="F44" s="24" t="s">
        <v>169</v>
      </c>
      <c r="G44" s="13"/>
      <c r="H44" s="13"/>
      <c r="I44" s="13"/>
      <c r="J44" s="13"/>
      <c r="K44" s="13"/>
      <c r="L44" s="20"/>
      <c r="M44" s="20"/>
      <c r="N44" s="20"/>
      <c r="O44" s="178"/>
      <c r="P44" s="178">
        <f>(0 - Data!$P$57)</f>
        <v>0</v>
      </c>
      <c r="Q44" s="20"/>
      <c r="R44" s="20"/>
      <c r="S44" s="14"/>
      <c r="T44" s="14"/>
      <c r="U44" s="14"/>
      <c r="V44" s="8"/>
      <c r="W44" s="11"/>
    </row>
    <row r="45" spans="1:23">
      <c r="A45" s="11"/>
      <c r="B45" s="11"/>
      <c r="C45" s="11"/>
      <c r="D45" s="12" t="s">
        <v>150</v>
      </c>
      <c r="E45" s="13" t="s">
        <v>263</v>
      </c>
      <c r="F45" s="24" t="s">
        <v>169</v>
      </c>
      <c r="L45" s="173">
        <f>L23</f>
        <v>21.973631073605841</v>
      </c>
      <c r="M45" s="173">
        <f t="shared" ref="M45:P45" si="9">M23</f>
        <v>22.454892054382235</v>
      </c>
      <c r="N45" s="173">
        <f t="shared" si="9"/>
        <v>23.131681463723851</v>
      </c>
      <c r="O45" s="173">
        <f t="shared" si="9"/>
        <v>20.351131376816063</v>
      </c>
      <c r="P45" s="173">
        <f t="shared" si="9"/>
        <v>19.584553988147505</v>
      </c>
      <c r="Q45" s="20"/>
      <c r="R45" s="20"/>
      <c r="S45" s="20"/>
      <c r="T45" s="20"/>
      <c r="U45" s="20"/>
      <c r="V45" s="8"/>
      <c r="W45" s="11"/>
    </row>
    <row r="46" spans="1:23" s="2" customFormat="1">
      <c r="A46" s="11"/>
      <c r="B46" s="11"/>
      <c r="C46" s="11"/>
      <c r="D46" s="12" t="s">
        <v>150</v>
      </c>
      <c r="E46" s="13" t="s">
        <v>264</v>
      </c>
      <c r="F46" s="24" t="s">
        <v>169</v>
      </c>
      <c r="G46" s="11"/>
      <c r="H46" s="11"/>
      <c r="I46" s="11"/>
      <c r="J46" s="11"/>
      <c r="K46" s="11"/>
      <c r="L46" s="173">
        <f>AllRev.Outturn.Water.Revised+RCM.BlindYear.Adj.Water+AMP6.FI.Adj.Water+L42+L43+L44</f>
        <v>21.973631073605841</v>
      </c>
      <c r="M46" s="173">
        <f>AllRev.Outturn.Water.Revised+RCM.BlindYear.Adj.Water+AMP6.FI.Adj.Water+M42+M43+M44</f>
        <v>22.454892054382235</v>
      </c>
      <c r="N46" s="173">
        <f>AllRev.Outturn.Water.Revised+RCM.BlindYear.Adj.Water+AMP6.FI.Adj.Water+N42+N43+N44</f>
        <v>24.445839898577798</v>
      </c>
      <c r="O46" s="173">
        <f>AllRev.Outturn.Water.Revised+RCM.BlindYear.Adj.Water+AMP6.FI.Adj.Water+O42+O43+O44</f>
        <v>20.959079516606163</v>
      </c>
      <c r="P46" s="173">
        <f>AllRev.Outturn.Water.Revised+RCM.BlindYear.Adj.Water+AMP6.FI.Adj.Water+P42+P43+P44</f>
        <v>21.738566478512901</v>
      </c>
      <c r="Q46" s="20"/>
      <c r="R46" s="20"/>
      <c r="S46" s="20"/>
      <c r="T46" s="20"/>
      <c r="U46" s="20"/>
      <c r="V46" s="8" t="s">
        <v>265</v>
      </c>
      <c r="W46" s="11"/>
    </row>
    <row r="47" spans="1:23">
      <c r="A47" s="11"/>
      <c r="B47" s="11"/>
      <c r="C47" s="11"/>
      <c r="D47" s="12" t="s">
        <v>150</v>
      </c>
      <c r="E47" s="13" t="s">
        <v>266</v>
      </c>
      <c r="F47" s="24" t="s">
        <v>169</v>
      </c>
      <c r="L47" s="20">
        <f>IF($G41=TRUE,L46,MIN(L45:L46))</f>
        <v>21.973631073605841</v>
      </c>
      <c r="M47" s="20">
        <f>IF($G41=TRUE,M46,MIN(M45:M46))</f>
        <v>22.454892054382235</v>
      </c>
      <c r="N47" s="20">
        <f>IF($G41=TRUE,N46,MIN(N45:N46))</f>
        <v>24.445839898577798</v>
      </c>
      <c r="O47" s="20">
        <f>IF($G41=TRUE,O46,MIN(O45:O46))</f>
        <v>20.959079516606163</v>
      </c>
      <c r="P47" s="20">
        <f>IF($G41=TRUE,P46,MIN(P45:P46))</f>
        <v>21.738566478512901</v>
      </c>
      <c r="Q47" s="20"/>
      <c r="R47" s="20"/>
      <c r="S47" s="20"/>
      <c r="T47" s="20"/>
      <c r="U47" s="20"/>
      <c r="V47" s="8" t="s">
        <v>267</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1"/>
      <c r="W48" s="11"/>
    </row>
    <row r="49" spans="1:23" s="2" customFormat="1">
      <c r="A49" s="11"/>
      <c r="B49" s="11"/>
      <c r="C49" s="11"/>
      <c r="D49" s="12" t="s">
        <v>150</v>
      </c>
      <c r="E49" s="13" t="s">
        <v>268</v>
      </c>
      <c r="F49" s="24" t="s">
        <v>169</v>
      </c>
      <c r="G49" s="11"/>
      <c r="H49" s="11"/>
      <c r="I49" s="11"/>
      <c r="J49" s="11"/>
      <c r="K49" s="11"/>
      <c r="L49" s="20">
        <f t="shared" ref="L49:P49" si="10">RecRev.Water</f>
        <v>20.752597678541989</v>
      </c>
      <c r="M49" s="20">
        <f t="shared" si="10"/>
        <v>21.914999999999999</v>
      </c>
      <c r="N49" s="20">
        <f t="shared" si="10"/>
        <v>22.520999999999997</v>
      </c>
      <c r="O49" s="20">
        <f t="shared" si="10"/>
        <v>20.959079516606156</v>
      </c>
      <c r="P49" s="20">
        <f t="shared" si="10"/>
        <v>21.73856647851288</v>
      </c>
      <c r="Q49" s="20"/>
      <c r="R49" s="20"/>
      <c r="S49" s="14"/>
      <c r="T49" s="14"/>
      <c r="U49" s="14"/>
      <c r="V49" s="1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1"/>
      <c r="W50" s="11"/>
    </row>
    <row r="51" spans="1:23" s="2" customFormat="1">
      <c r="A51" s="11"/>
      <c r="B51" s="11"/>
      <c r="C51" s="11"/>
      <c r="D51" s="12" t="s">
        <v>150</v>
      </c>
      <c r="E51" s="13" t="s">
        <v>269</v>
      </c>
      <c r="F51" s="24" t="s">
        <v>169</v>
      </c>
      <c r="G51" s="11"/>
      <c r="H51" s="11"/>
      <c r="I51" s="11"/>
      <c r="J51" s="11"/>
      <c r="K51" s="11"/>
      <c r="L51" s="20">
        <f t="shared" ref="L51:M51" si="11">L49-L46</f>
        <v>-1.2210333950638521</v>
      </c>
      <c r="M51" s="20">
        <f t="shared" si="11"/>
        <v>-0.53989205438223564</v>
      </c>
      <c r="N51" s="20">
        <f>N49-N46</f>
        <v>-1.924839898577801</v>
      </c>
      <c r="O51" s="20">
        <f t="shared" ref="O51:P51" si="12">O49-O46</f>
        <v>0</v>
      </c>
      <c r="P51" s="20">
        <f t="shared" si="12"/>
        <v>0</v>
      </c>
      <c r="Q51" s="20"/>
      <c r="R51" s="20"/>
      <c r="S51" s="20"/>
      <c r="T51" s="20"/>
      <c r="U51" s="20"/>
      <c r="V51" s="11"/>
      <c r="W51" s="11"/>
    </row>
    <row r="52" spans="1:23" s="2" customFormat="1">
      <c r="A52" s="11"/>
      <c r="B52" s="11"/>
      <c r="C52" s="11"/>
      <c r="D52" s="12" t="s">
        <v>137</v>
      </c>
      <c r="E52" s="13" t="s">
        <v>270</v>
      </c>
      <c r="F52" s="24"/>
      <c r="G52" s="11"/>
      <c r="H52" s="11"/>
      <c r="I52" s="11"/>
      <c r="J52" s="11"/>
      <c r="K52" s="11"/>
      <c r="L52" s="92">
        <f>IF(L46=0,0,L51/L46)</f>
        <v>-5.5568121216457753E-2</v>
      </c>
      <c r="M52" s="92">
        <f t="shared" ref="M52:P52" si="13">IF(M46=0,0,M51/M46)</f>
        <v>-2.4043404576370334E-2</v>
      </c>
      <c r="N52" s="92">
        <f t="shared" si="13"/>
        <v>-7.8738955444512412E-2</v>
      </c>
      <c r="O52" s="92">
        <f t="shared" si="13"/>
        <v>0</v>
      </c>
      <c r="P52" s="92">
        <f t="shared" si="13"/>
        <v>0</v>
      </c>
      <c r="Q52" s="20"/>
      <c r="R52" s="20"/>
      <c r="S52" s="20"/>
      <c r="T52" s="20"/>
      <c r="U52" s="20"/>
      <c r="V52" s="8" t="s">
        <v>271</v>
      </c>
      <c r="W52" s="11"/>
    </row>
    <row r="53" spans="1:23">
      <c r="A53" s="11"/>
      <c r="B53" s="11"/>
      <c r="C53" s="11"/>
      <c r="D53" s="12"/>
      <c r="E53" s="13"/>
      <c r="K53" s="11"/>
      <c r="L53" s="92"/>
      <c r="M53" s="92"/>
      <c r="N53" s="92"/>
      <c r="O53" s="92"/>
      <c r="P53" s="92"/>
      <c r="Q53" s="20"/>
      <c r="R53" s="20"/>
      <c r="S53" s="20"/>
      <c r="T53" s="20"/>
      <c r="U53" s="20"/>
      <c r="V53" s="8"/>
    </row>
    <row r="54" spans="1:23" ht="13.15">
      <c r="A54" s="11"/>
      <c r="B54" s="11"/>
      <c r="C54" s="11"/>
      <c r="D54" s="12"/>
      <c r="E54" s="22" t="s">
        <v>272</v>
      </c>
      <c r="K54" s="11"/>
      <c r="L54" s="92"/>
      <c r="M54" s="92"/>
      <c r="N54" s="92"/>
      <c r="O54" s="92"/>
      <c r="P54" s="92"/>
      <c r="Q54" s="20"/>
      <c r="R54" s="20"/>
      <c r="S54" s="20"/>
      <c r="T54" s="20"/>
      <c r="U54" s="20"/>
      <c r="V54" s="8"/>
    </row>
    <row r="55" spans="1:23">
      <c r="A55" s="11"/>
      <c r="B55" s="11"/>
      <c r="C55" s="11"/>
      <c r="D55" s="12" t="s">
        <v>150</v>
      </c>
      <c r="E55" s="13" t="s">
        <v>273</v>
      </c>
      <c r="F55" s="24" t="s">
        <v>169</v>
      </c>
      <c r="J55" s="19">
        <v>0</v>
      </c>
      <c r="K55" s="19">
        <v>0</v>
      </c>
      <c r="L55" s="20">
        <f>0-L51*(1+Discount.Rate)*(1+Discount.Rate)</f>
        <v>1.3105302587884522</v>
      </c>
      <c r="M55" s="20">
        <f>0-M51*(1+Discount.Rate)*(1+Discount.Rate)</f>
        <v>0.579463982400236</v>
      </c>
      <c r="N55" s="20">
        <f>0-N51*(1+Discount.Rate)*(1+Discount.Rate)</f>
        <v>2.0659229637839598</v>
      </c>
      <c r="O55" s="19"/>
      <c r="P55" s="19"/>
      <c r="Q55" s="20"/>
      <c r="R55" s="20"/>
      <c r="S55" s="20"/>
      <c r="T55" s="20"/>
      <c r="U55" s="20"/>
      <c r="V55" s="8"/>
    </row>
    <row r="56" spans="1:23">
      <c r="A56" s="11"/>
      <c r="B56" s="11"/>
      <c r="C56" s="11"/>
      <c r="D56" s="12" t="s">
        <v>150</v>
      </c>
      <c r="E56" s="13" t="s">
        <v>274</v>
      </c>
      <c r="F56" s="24" t="s">
        <v>275</v>
      </c>
      <c r="J56" s="74">
        <v>0</v>
      </c>
      <c r="K56" s="19">
        <v>0</v>
      </c>
      <c r="L56" s="20">
        <f>L55*INDEX(Indexation.November.Actual.YearOnYear,,MATCH(M$5,Calendar.Years,0))*(INDEX(Indexation.November.Actual.YearOnYear,,MATCH(N$5,Calendar.Years,0)))</f>
        <v>1.3533480502074449</v>
      </c>
      <c r="M56" s="20">
        <f>M55*INDEX(Indexation.November.Actual.YearOnYear,,MATCH(N$5,Calendar.Years,0))*(INDEX(Indexation.November.Actual.YearOnYear,,MATCH(O$5,Calendar.Years,0)))</f>
        <v>0.6151507557582182</v>
      </c>
      <c r="N56" s="20">
        <f>N55*INDEX(Indexation.November.Actual.YearOnYear,,MATCH(O$5,Calendar.Years,0))*(INDEX(Indexation.November.Actual.YearOnYear,,MATCH(P$5,Calendar.Years,0)))</f>
        <v>2.218247455286829</v>
      </c>
      <c r="O56" s="19"/>
      <c r="P56" s="19"/>
      <c r="Q56" s="20"/>
      <c r="R56" s="20"/>
      <c r="S56" s="20"/>
      <c r="T56" s="20"/>
      <c r="U56" s="20"/>
      <c r="V56" s="8"/>
    </row>
    <row r="57" spans="1:23">
      <c r="A57" s="11" t="s">
        <v>36</v>
      </c>
      <c r="B57" s="11"/>
      <c r="C57" s="11"/>
      <c r="D57" s="12" t="s">
        <v>150</v>
      </c>
      <c r="E57" s="13" t="s">
        <v>276</v>
      </c>
      <c r="F57" s="24" t="s">
        <v>169</v>
      </c>
      <c r="J57" s="19"/>
      <c r="K57" s="19"/>
      <c r="L57" s="19"/>
      <c r="M57" s="19"/>
      <c r="N57" s="20">
        <f>L56</f>
        <v>1.3533480502074449</v>
      </c>
      <c r="O57" s="20">
        <f>M56</f>
        <v>0.6151507557582182</v>
      </c>
      <c r="P57" s="20">
        <f>N56</f>
        <v>2.218247455286829</v>
      </c>
      <c r="Q57" s="20"/>
      <c r="R57" s="20"/>
      <c r="S57" s="20"/>
      <c r="T57" s="20"/>
      <c r="U57" s="20"/>
      <c r="V57" s="8"/>
    </row>
    <row r="58" spans="1:23" ht="13.15">
      <c r="A58" s="11"/>
      <c r="B58" s="11"/>
      <c r="C58" s="11"/>
      <c r="D58" s="12"/>
      <c r="E58" s="15"/>
      <c r="F58" s="24"/>
      <c r="Q58" s="20"/>
      <c r="R58" s="20"/>
      <c r="S58" s="20"/>
      <c r="T58" s="20"/>
      <c r="U58" s="20"/>
      <c r="V58" s="8"/>
    </row>
    <row r="59" spans="1:23" ht="13.15">
      <c r="A59" s="11"/>
      <c r="B59" s="11"/>
      <c r="C59" s="11"/>
      <c r="D59" s="12"/>
      <c r="E59" s="22" t="s">
        <v>277</v>
      </c>
      <c r="F59" s="24"/>
      <c r="Q59" s="20"/>
      <c r="R59" s="20"/>
      <c r="S59" s="20"/>
      <c r="T59" s="20"/>
      <c r="U59" s="20"/>
      <c r="V59" s="8"/>
    </row>
    <row r="60" spans="1:23">
      <c r="A60" s="11"/>
      <c r="B60" s="11"/>
      <c r="C60" s="11"/>
      <c r="D60" s="12" t="s">
        <v>137</v>
      </c>
      <c r="E60" s="13" t="s">
        <v>278</v>
      </c>
      <c r="F60" s="24"/>
      <c r="L60" s="92">
        <f>IF(L47=0,0,ABS((L49-L47)/L47))</f>
        <v>5.5568121216457753E-2</v>
      </c>
      <c r="M60" s="92">
        <f t="shared" ref="M60:P60" si="14">IF(M47=0,0,ABS((M49-M47)/M47))</f>
        <v>2.4043404576370334E-2</v>
      </c>
      <c r="N60" s="92">
        <f t="shared" si="14"/>
        <v>7.8738955444512412E-2</v>
      </c>
      <c r="O60" s="92">
        <f t="shared" si="14"/>
        <v>3.3901428504869572E-16</v>
      </c>
      <c r="P60" s="92">
        <f t="shared" si="14"/>
        <v>9.8057441339900233E-16</v>
      </c>
      <c r="Q60" s="20"/>
      <c r="R60" s="20"/>
      <c r="S60" s="20"/>
      <c r="T60" s="20"/>
      <c r="U60" s="20"/>
      <c r="V60" s="8"/>
    </row>
    <row r="61" spans="1:23" s="2" customFormat="1">
      <c r="A61" s="11"/>
      <c r="B61" s="11"/>
      <c r="C61" s="11"/>
      <c r="D61" s="17" t="s">
        <v>18</v>
      </c>
      <c r="E61" s="13" t="s">
        <v>279</v>
      </c>
      <c r="F61" s="24"/>
      <c r="G61" s="11"/>
      <c r="H61" s="11"/>
      <c r="I61" s="11"/>
      <c r="J61" s="11"/>
      <c r="K61" s="11"/>
      <c r="L61" s="93" t="b">
        <f>L60&gt;Threshold.Min</f>
        <v>1</v>
      </c>
      <c r="M61" s="93" t="b">
        <f>M60&gt;Threshold.Min</f>
        <v>1</v>
      </c>
      <c r="N61" s="93" t="b">
        <f>N60&gt;Threshold.Min</f>
        <v>1</v>
      </c>
      <c r="O61" s="93" t="b">
        <f>O60&gt;Threshold.Min</f>
        <v>0</v>
      </c>
      <c r="P61" s="93" t="b">
        <f>P60&gt;Threshold.Min</f>
        <v>0</v>
      </c>
      <c r="Q61" s="20"/>
      <c r="R61" s="20"/>
      <c r="S61" s="20"/>
      <c r="T61" s="20"/>
      <c r="U61" s="20"/>
      <c r="V61" s="11"/>
      <c r="W61"/>
    </row>
    <row r="62" spans="1:23">
      <c r="B62" s="11"/>
      <c r="C62" s="11"/>
      <c r="D62" s="12" t="s">
        <v>137</v>
      </c>
      <c r="E62" s="13" t="s">
        <v>280</v>
      </c>
      <c r="K62" s="11"/>
      <c r="L62" s="92">
        <f>L61*Penalty.Rate.General*MIN(1,(L60-Threshold.Min)/(Threshold.Max-Threshold.Min))</f>
        <v>0.03</v>
      </c>
      <c r="M62" s="92">
        <f>M61*Penalty.Rate.General*MIN(1,(M60-Threshold.Min)/(Threshold.Max-Threshold.Min))</f>
        <v>1.2130213729111003E-2</v>
      </c>
      <c r="N62" s="92">
        <f>N61*Penalty.Rate.General*MIN(1,(N60-Threshold.Min)/(Threshold.Max-Threshold.Min))</f>
        <v>0.03</v>
      </c>
      <c r="O62" s="92">
        <f>O61*Penalty.Rate.General*MIN(1,(O60-Threshold.Min)/(Threshold.Max-Threshold.Min))</f>
        <v>0</v>
      </c>
      <c r="P62" s="92">
        <f>P61*Penalty.Rate.General*MIN(1,(P60-Threshold.Min)/(Threshold.Max-Threshold.Min))</f>
        <v>0</v>
      </c>
      <c r="Q62" s="20"/>
      <c r="R62" s="20"/>
      <c r="S62" s="20"/>
      <c r="T62" s="20"/>
      <c r="U62" s="20"/>
    </row>
    <row r="63" spans="1:23" ht="13.15">
      <c r="A63" s="11"/>
      <c r="B63" s="11"/>
      <c r="C63" s="11"/>
      <c r="D63" s="12"/>
      <c r="E63" s="22"/>
      <c r="F63" s="24"/>
      <c r="Q63" s="20"/>
      <c r="R63" s="20"/>
      <c r="S63" s="20"/>
      <c r="T63" s="20"/>
      <c r="U63" s="20"/>
      <c r="V63" s="8"/>
    </row>
    <row r="64" spans="1:23">
      <c r="A64" s="11"/>
      <c r="B64" s="11"/>
      <c r="C64" s="11"/>
      <c r="D64" s="12" t="s">
        <v>150</v>
      </c>
      <c r="E64" s="13" t="s">
        <v>281</v>
      </c>
      <c r="F64" s="24" t="s">
        <v>169</v>
      </c>
      <c r="J64" s="19"/>
      <c r="K64" s="19"/>
      <c r="L64" s="20">
        <f>0-L62*ABS(L49-L47)</f>
        <v>-3.6631001851915562E-2</v>
      </c>
      <c r="M64" s="20">
        <f>0-M62*ABS(M49-M47)</f>
        <v>-6.5490060103053395E-3</v>
      </c>
      <c r="N64" s="20">
        <f>0-N62*ABS(N49-N47)</f>
        <v>-5.774519695733403E-2</v>
      </c>
      <c r="O64" s="20">
        <f t="shared" ref="O64:P64" si="15">0-O62*ABS(O49-O47)</f>
        <v>0</v>
      </c>
      <c r="P64" s="20">
        <f t="shared" si="15"/>
        <v>0</v>
      </c>
      <c r="Q64" s="20"/>
      <c r="R64" s="20"/>
      <c r="S64" s="20"/>
      <c r="T64" s="20"/>
      <c r="U64" s="20"/>
      <c r="V64" s="8"/>
    </row>
    <row r="65" spans="1:23">
      <c r="A65" s="11"/>
      <c r="B65" s="11"/>
      <c r="C65" s="11"/>
      <c r="D65" s="12" t="s">
        <v>150</v>
      </c>
      <c r="E65" s="13" t="s">
        <v>282</v>
      </c>
      <c r="F65" s="24" t="s">
        <v>169</v>
      </c>
      <c r="J65" s="19"/>
      <c r="K65" s="19"/>
      <c r="L65" s="20">
        <f>L64*(1+Discount.Rate)</f>
        <v>-3.7949717918584522E-2</v>
      </c>
      <c r="M65" s="20">
        <f>M64*(1+Discount.Rate)</f>
        <v>-6.7847702266763321E-3</v>
      </c>
      <c r="N65" s="20">
        <f>N64*(1+Discount.Rate)</f>
        <v>-5.9824024047798054E-2</v>
      </c>
      <c r="O65" s="19"/>
      <c r="P65" s="19"/>
      <c r="Q65" s="20"/>
      <c r="R65" s="20"/>
      <c r="S65" s="20"/>
      <c r="T65" s="20"/>
      <c r="U65" s="20"/>
      <c r="V65" s="8"/>
    </row>
    <row r="66" spans="1:23">
      <c r="A66" s="11"/>
      <c r="B66" s="11"/>
      <c r="C66" s="11"/>
      <c r="D66" s="12" t="s">
        <v>150</v>
      </c>
      <c r="E66" s="13" t="s">
        <v>283</v>
      </c>
      <c r="F66" s="24" t="s">
        <v>169</v>
      </c>
      <c r="J66" s="74"/>
      <c r="K66" s="19"/>
      <c r="L66" s="20">
        <f>L65*INDEX(Indexation.November.Actual.YearOnYear,,MATCH(M$5,Calendar.Years,0))*(INDEX(Indexation.November.Actual.YearOnYear,,MATCH(N$5,Calendar.Years,0)))</f>
        <v>-3.9189615353497437E-2</v>
      </c>
      <c r="M66" s="20">
        <f>M65*INDEX(Indexation.November.Actual.YearOnYear,,MATCH(N$5,Calendar.Years,0))*(INDEX(Indexation.November.Actual.YearOnYear,,MATCH(O$5,Calendar.Years,0)))</f>
        <v>-7.2026159681190622E-3</v>
      </c>
      <c r="N66" s="20">
        <f>N65*INDEX(Indexation.November.Actual.YearOnYear,,MATCH(O$5,Calendar.Years,0))*(INDEX(Indexation.November.Actual.YearOnYear,,MATCH(P$5,Calendar.Years,0)))</f>
        <v>-6.4234964921433269E-2</v>
      </c>
      <c r="O66" s="19"/>
      <c r="P66" s="19"/>
      <c r="Q66" s="20"/>
      <c r="R66" s="20"/>
      <c r="S66" s="20"/>
      <c r="T66" s="20"/>
      <c r="U66" s="20"/>
      <c r="V66" s="8"/>
    </row>
    <row r="67" spans="1:23">
      <c r="A67" s="11" t="s">
        <v>37</v>
      </c>
      <c r="B67" s="11"/>
      <c r="C67" s="11"/>
      <c r="D67" s="12" t="s">
        <v>150</v>
      </c>
      <c r="E67" s="13" t="s">
        <v>284</v>
      </c>
      <c r="F67" s="24" t="s">
        <v>169</v>
      </c>
      <c r="J67" s="19"/>
      <c r="K67" s="19"/>
      <c r="L67" s="19"/>
      <c r="M67" s="19"/>
      <c r="N67" s="20">
        <f>L66</f>
        <v>-3.9189615353497437E-2</v>
      </c>
      <c r="O67" s="20">
        <f>M66</f>
        <v>-7.2026159681190622E-3</v>
      </c>
      <c r="P67" s="20">
        <f>N66</f>
        <v>-6.4234964921433269E-2</v>
      </c>
      <c r="Q67" s="20"/>
      <c r="R67" s="20"/>
      <c r="T67" s="20"/>
      <c r="U67" s="20"/>
      <c r="V67" s="8"/>
    </row>
    <row r="68" spans="1:23">
      <c r="A68" s="11"/>
      <c r="B68" s="11"/>
      <c r="C68" s="11"/>
      <c r="F68"/>
      <c r="Q68" s="20"/>
      <c r="R68" s="20"/>
      <c r="S68" s="20"/>
      <c r="T68" s="20"/>
      <c r="U68" s="20"/>
      <c r="V68" s="8"/>
    </row>
    <row r="69" spans="1:23" ht="13.15">
      <c r="A69" s="11"/>
      <c r="B69" s="11"/>
      <c r="C69" s="11"/>
      <c r="E69" s="22" t="s">
        <v>285</v>
      </c>
      <c r="F69"/>
      <c r="Q69" s="20"/>
      <c r="R69" s="20"/>
      <c r="S69" s="20"/>
      <c r="T69" s="20"/>
      <c r="U69" s="20"/>
      <c r="V69" s="8"/>
    </row>
    <row r="70" spans="1:23">
      <c r="A70" s="11"/>
      <c r="B70" s="11"/>
      <c r="C70" s="11"/>
      <c r="D70" s="12" t="s">
        <v>150</v>
      </c>
      <c r="E70" s="13" t="s">
        <v>286</v>
      </c>
      <c r="F70" s="24" t="s">
        <v>169</v>
      </c>
      <c r="L70" s="19"/>
      <c r="M70" s="19"/>
      <c r="N70" s="20">
        <f>N57</f>
        <v>1.3533480502074449</v>
      </c>
      <c r="O70" s="20">
        <f>O57</f>
        <v>0.6151507557582182</v>
      </c>
      <c r="P70" s="20">
        <f>P57</f>
        <v>2.218247455286829</v>
      </c>
      <c r="Q70" s="20"/>
      <c r="R70" s="20"/>
      <c r="S70" s="20"/>
      <c r="T70" s="20"/>
      <c r="U70" s="20"/>
      <c r="V70" s="8"/>
    </row>
    <row r="71" spans="1:23">
      <c r="A71" s="11"/>
      <c r="B71" s="11"/>
      <c r="C71" s="11"/>
      <c r="D71" s="12" t="s">
        <v>150</v>
      </c>
      <c r="E71" s="13" t="s">
        <v>287</v>
      </c>
      <c r="F71" s="24" t="s">
        <v>169</v>
      </c>
      <c r="L71" s="19"/>
      <c r="M71" s="19"/>
      <c r="N71" s="20">
        <f>N67</f>
        <v>-3.9189615353497437E-2</v>
      </c>
      <c r="O71" s="20">
        <f>O67</f>
        <v>-7.2026159681190622E-3</v>
      </c>
      <c r="P71" s="20">
        <f>P67</f>
        <v>-6.4234964921433269E-2</v>
      </c>
      <c r="Q71" s="20"/>
      <c r="R71" s="20"/>
      <c r="S71" s="20"/>
      <c r="T71" s="20"/>
      <c r="U71" s="20"/>
      <c r="V71" s="8"/>
    </row>
    <row r="72" spans="1:23">
      <c r="A72" s="11" t="s">
        <v>38</v>
      </c>
      <c r="B72" s="11"/>
      <c r="C72" s="11"/>
      <c r="D72" s="12" t="s">
        <v>150</v>
      </c>
      <c r="E72" s="13" t="s">
        <v>288</v>
      </c>
      <c r="F72" s="24" t="s">
        <v>169</v>
      </c>
      <c r="K72" s="11"/>
      <c r="L72" s="19"/>
      <c r="M72" s="19"/>
      <c r="N72" s="20">
        <f>SUM(N70:N71)</f>
        <v>1.3141584348539475</v>
      </c>
      <c r="O72" s="20">
        <f>SUM(O70:O71)</f>
        <v>0.6079481397900991</v>
      </c>
      <c r="P72" s="20">
        <f>SUM(P70:P71)</f>
        <v>2.1540124903653957</v>
      </c>
    </row>
    <row r="73" spans="1:23">
      <c r="A73" s="11"/>
      <c r="B73" s="11"/>
      <c r="C73" s="11"/>
      <c r="K73" s="11"/>
    </row>
    <row r="74" spans="1:23">
      <c r="A74" s="11"/>
      <c r="B74" s="11"/>
      <c r="C74" s="11"/>
      <c r="E74" s="24" t="s">
        <v>289</v>
      </c>
      <c r="K74" s="11"/>
    </row>
    <row r="75" spans="1:23">
      <c r="D75" s="17" t="s">
        <v>18</v>
      </c>
      <c r="E75" s="13" t="s">
        <v>290</v>
      </c>
      <c r="K75" s="11"/>
      <c r="L75" s="93" t="b">
        <f t="shared" ref="L75:O75" si="16">ABS(Perc.Recovered.Water)&gt;Additional.Analysis</f>
        <v>0</v>
      </c>
      <c r="M75" s="93" t="b">
        <f t="shared" si="16"/>
        <v>0</v>
      </c>
      <c r="N75" s="93" t="b">
        <f t="shared" si="16"/>
        <v>1</v>
      </c>
      <c r="O75" s="93" t="b">
        <f t="shared" si="16"/>
        <v>0</v>
      </c>
      <c r="P75" s="93" t="b">
        <f>ABS(Perc.Recovered.Water)&gt;Additional.Analysis</f>
        <v>0</v>
      </c>
    </row>
    <row r="76" spans="1:23">
      <c r="D76" s="17"/>
      <c r="E76" s="13"/>
    </row>
    <row r="77" spans="1:23" s="4" customFormat="1" ht="13.9">
      <c r="A77" s="89"/>
      <c r="B77" s="109"/>
      <c r="C77" s="109"/>
      <c r="D77" s="113"/>
      <c r="E77" s="111" t="s">
        <v>291</v>
      </c>
      <c r="F77" s="112"/>
      <c r="G77" s="110"/>
      <c r="H77" s="110"/>
      <c r="I77" s="110"/>
      <c r="J77" s="110"/>
      <c r="K77" s="110"/>
      <c r="L77" s="124"/>
      <c r="M77" s="124"/>
      <c r="N77" s="124"/>
      <c r="O77" s="124"/>
      <c r="P77" s="124"/>
      <c r="Q77" s="124"/>
      <c r="R77" s="124"/>
      <c r="S77" s="124"/>
      <c r="T77" s="124"/>
      <c r="U77" s="124"/>
      <c r="V77" s="110"/>
      <c r="W77" s="110"/>
    </row>
    <row r="78" spans="1:23">
      <c r="E78" s="13"/>
    </row>
    <row r="79" spans="1:23">
      <c r="E79" s="24" t="s">
        <v>292</v>
      </c>
    </row>
    <row r="80" spans="1:23">
      <c r="A80" t="s">
        <v>293</v>
      </c>
      <c r="D80" s="12" t="s">
        <v>150</v>
      </c>
      <c r="E80" s="13" t="s">
        <v>294</v>
      </c>
      <c r="F80" s="24" t="s">
        <v>169</v>
      </c>
      <c r="L80" s="19"/>
      <c r="M80" s="19"/>
      <c r="N80" s="19"/>
      <c r="O80" s="19"/>
      <c r="P80" s="20">
        <f>0-O51*(1+Discount.Rate)*Indexation.November.Actual.YearOnYear</f>
        <v>0</v>
      </c>
    </row>
    <row r="81" spans="1:17">
      <c r="A81" t="s">
        <v>295</v>
      </c>
      <c r="D81" s="12" t="s">
        <v>150</v>
      </c>
      <c r="E81" s="13" t="s">
        <v>296</v>
      </c>
      <c r="F81" s="24" t="s">
        <v>169</v>
      </c>
      <c r="L81" s="19"/>
      <c r="M81" s="19"/>
      <c r="N81" s="19"/>
      <c r="O81" s="19"/>
      <c r="P81" s="20">
        <f>O64*Indexation.November.Actual.YearOnYear</f>
        <v>0</v>
      </c>
    </row>
    <row r="82" spans="1:17">
      <c r="A82" t="s">
        <v>297</v>
      </c>
      <c r="D82" s="12" t="s">
        <v>150</v>
      </c>
      <c r="E82" s="13" t="s">
        <v>298</v>
      </c>
      <c r="F82" s="24" t="s">
        <v>169</v>
      </c>
      <c r="L82" s="19"/>
      <c r="M82" s="19"/>
      <c r="N82" s="19"/>
      <c r="O82" s="19"/>
      <c r="P82" s="20">
        <f>SUM(P80:P81)</f>
        <v>0</v>
      </c>
    </row>
    <row r="83" spans="1:17"/>
    <row r="84" spans="1:17">
      <c r="E84" s="24" t="s">
        <v>299</v>
      </c>
    </row>
    <row r="85" spans="1:17">
      <c r="A85" t="s">
        <v>300</v>
      </c>
      <c r="D85" s="12" t="s">
        <v>150</v>
      </c>
      <c r="E85" s="13" t="s">
        <v>301</v>
      </c>
      <c r="F85" s="24" t="s">
        <v>169</v>
      </c>
      <c r="L85" s="19"/>
      <c r="M85" s="19"/>
      <c r="N85" s="19"/>
      <c r="O85" s="19"/>
      <c r="P85" s="20">
        <f>0-P51</f>
        <v>0</v>
      </c>
    </row>
    <row r="86" spans="1:17">
      <c r="A86" t="s">
        <v>302</v>
      </c>
      <c r="D86" s="12" t="s">
        <v>150</v>
      </c>
      <c r="E86" s="13" t="s">
        <v>303</v>
      </c>
      <c r="F86" s="24" t="s">
        <v>169</v>
      </c>
      <c r="L86" s="19"/>
      <c r="M86" s="19"/>
      <c r="N86" s="19"/>
      <c r="O86" s="19"/>
      <c r="P86" s="20">
        <f>P64</f>
        <v>0</v>
      </c>
    </row>
    <row r="87" spans="1:17">
      <c r="A87" t="s">
        <v>304</v>
      </c>
      <c r="D87" s="12" t="s">
        <v>150</v>
      </c>
      <c r="E87" s="13" t="s">
        <v>305</v>
      </c>
      <c r="F87" s="24" t="s">
        <v>169</v>
      </c>
      <c r="L87" s="19"/>
      <c r="M87" s="19"/>
      <c r="N87" s="19"/>
      <c r="O87" s="19"/>
      <c r="P87" s="20">
        <f>SUM(P85:P86)</f>
        <v>0</v>
      </c>
    </row>
    <row r="88" spans="1:17">
      <c r="E88" s="13"/>
    </row>
    <row r="89" spans="1:17">
      <c r="E89" s="24" t="s">
        <v>306</v>
      </c>
    </row>
    <row r="90" spans="1:17">
      <c r="A90" t="s">
        <v>307</v>
      </c>
      <c r="D90" s="12" t="s">
        <v>150</v>
      </c>
      <c r="E90" s="180" t="str">
        <f>E36 &amp; " - water"</f>
        <v>AMP5 RCM adjustment to be applied at PR19 (Outturn price base) - water</v>
      </c>
      <c r="F90" s="24" t="s">
        <v>169</v>
      </c>
      <c r="L90" s="19"/>
      <c r="M90" s="19"/>
      <c r="N90" s="19"/>
      <c r="O90" s="19"/>
      <c r="P90" s="178">
        <f>P36</f>
        <v>-0.47060550180425276</v>
      </c>
    </row>
    <row r="91" spans="1:17">
      <c r="D91" s="12"/>
      <c r="E91" s="180"/>
      <c r="F91" s="24"/>
      <c r="P91" s="178"/>
    </row>
    <row r="92" spans="1:17">
      <c r="D92" s="12"/>
      <c r="E92" s="24" t="s">
        <v>547</v>
      </c>
      <c r="F92" s="24"/>
      <c r="P92" s="178"/>
    </row>
    <row r="93" spans="1:17">
      <c r="A93" t="s">
        <v>295</v>
      </c>
      <c r="D93" s="12" t="s">
        <v>150</v>
      </c>
      <c r="E93" s="180" t="s">
        <v>543</v>
      </c>
      <c r="F93" s="24" t="s">
        <v>169</v>
      </c>
      <c r="L93" s="19"/>
      <c r="M93" s="19"/>
      <c r="N93" s="19"/>
      <c r="O93" s="19"/>
      <c r="P93" s="178">
        <f>Data!$P$70</f>
        <v>2.4540000000000002</v>
      </c>
    </row>
    <row r="94" spans="1:17">
      <c r="E94" s="13"/>
      <c r="P94" s="179"/>
    </row>
    <row r="95" spans="1:17" ht="13.15">
      <c r="A95" t="s">
        <v>41</v>
      </c>
      <c r="D95" s="12" t="s">
        <v>150</v>
      </c>
      <c r="E95" s="22" t="s">
        <v>308</v>
      </c>
      <c r="F95" s="24" t="s">
        <v>169</v>
      </c>
      <c r="L95" s="19"/>
      <c r="M95" s="19"/>
      <c r="N95" s="19"/>
      <c r="O95" s="19"/>
      <c r="P95" s="178">
        <f>SUM(P82,P87,P90,P93)</f>
        <v>1.9833944981957474</v>
      </c>
      <c r="Q95" s="8" t="s">
        <v>309</v>
      </c>
    </row>
    <row r="96" spans="1:17" ht="13.15" thickBot="1">
      <c r="E96" s="16"/>
    </row>
    <row r="97" spans="1:23" ht="13.5" thickBot="1">
      <c r="A97" s="6" t="s">
        <v>202</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 xml:space="preserve">&amp;L&amp;F&amp;CSheet: &amp;A&amp;ROFFICIAL
</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F_Inputs</vt:lpstr>
      <vt:lpstr>F_Outputs</vt:lpstr>
      <vt:lpstr>Change Log</vt:lpstr>
      <vt:lpstr>Inputs &gt;</vt:lpstr>
      <vt:lpstr>Input_Override</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'Change Log'!Print_Area</vt:lpstr>
      <vt:lpstr>Data!Print_Area</vt:lpstr>
      <vt:lpstr>F_Inputs!Print_Area</vt:lpstr>
      <vt:lpstr>F_Outputs!Print_Area</vt:lpstr>
      <vt:lpstr>Input_Override!Print_Area</vt:lpstr>
      <vt:lpstr>RPI!Print_Area</vt:lpstr>
      <vt:lpstr>Timeline!Print_Area</vt:lpstr>
      <vt:lpstr>'WFRIM adjustments'!Print_Area</vt:lpstr>
      <vt:lpstr>'WRFIM - Dmmy'!Print_Area</vt:lpstr>
      <vt:lpstr>'WRFIM - Waste'!Print_Area</vt:lpstr>
      <vt:lpstr>'WRFIM - Water'!Print_Area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2019-01-17T14:39:14Z</dcterms:created>
  <dcterms:modified xsi:type="dcterms:W3CDTF">2019-01-17T14:39:25Z</dcterms:modified>
  <cp:category/>
  <cp:contentStatus/>
</cp:coreProperties>
</file>